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P:\Chris\"/>
    </mc:Choice>
  </mc:AlternateContent>
  <xr:revisionPtr revIDLastSave="0" documentId="13_ncr:1_{7F386816-7C1D-4112-B0DA-25FCEA2CF5EC}" xr6:coauthVersionLast="47" xr6:coauthVersionMax="47" xr10:uidLastSave="{00000000-0000-0000-0000-000000000000}"/>
  <bookViews>
    <workbookView xWindow="-120" yWindow="-120" windowWidth="29040" windowHeight="15840" xr2:uid="{00000000-000D-0000-FFFF-FFFF00000000}"/>
  </bookViews>
  <sheets>
    <sheet name="ESTIMATE" sheetId="5" r:id="rId1"/>
    <sheet name="MASTER" sheetId="29" r:id="rId2"/>
    <sheet name="FINISHING" sheetId="30" r:id="rId3"/>
    <sheet name="Tank Types" sheetId="21" state="hidden" r:id="rId4"/>
    <sheet name="CST" sheetId="12" state="hidden" r:id="rId5"/>
    <sheet name="304LSS" sheetId="23" state="hidden" r:id="rId6"/>
    <sheet name="316L SS" sheetId="24" state="hidden" r:id="rId7"/>
    <sheet name="ADD-ONS" sheetId="10" state="hidden" r:id="rId8"/>
    <sheet name="Plate Price" sheetId="22" r:id="rId9"/>
    <sheet name="Notes" sheetId="17" state="hidden" r:id="rId10"/>
    <sheet name="Change Order" sheetId="28" r:id="rId11"/>
    <sheet name="Sheet Calculator" sheetId="26" state="hidden" r:id="rId12"/>
    <sheet name="Plate Weight" sheetId="16" state="hidden" r:id="rId13"/>
    <sheet name="Tank Pricing" sheetId="27" state="hidden" r:id="rId14"/>
    <sheet name="2205 Duplex SS" sheetId="20" state="hidden" r:id="rId15"/>
    <sheet name="C276" sheetId="25" state="hidden" r:id="rId16"/>
  </sheets>
  <definedNames>
    <definedName name="_xlnm.Print_Area" localSheetId="14">'2205 Duplex SS'!$A$5:$F$55</definedName>
    <definedName name="_xlnm.Print_Area" localSheetId="7">'ADD-ONS'!$A$4:$F$60</definedName>
    <definedName name="_xlnm.Print_Area" localSheetId="10">'Change Order'!$A$2:$F$32</definedName>
    <definedName name="_xlnm.Print_Area" localSheetId="4">CST!#REF!</definedName>
    <definedName name="_xlnm.Print_Area" localSheetId="0">ESTIMATE!$A$13:$F$93</definedName>
    <definedName name="_xlnm.Print_Area" localSheetId="9">Notes!$A$2:$F$19</definedName>
    <definedName name="_xlnm.Print_Area" localSheetId="8">'Plate Price'!$A$2:$C$73</definedName>
    <definedName name="_xlnm.Print_Area" localSheetId="3">'Tank Types'!$A$3:$F$56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4" i="5" l="1"/>
  <c r="F63" i="5"/>
  <c r="JH77" i="29" a="1"/>
  <c r="JH77" i="29" s="1"/>
  <c r="JG77" i="29"/>
  <c r="JH76" i="29" a="1"/>
  <c r="JH76" i="29" s="1"/>
  <c r="JG76" i="29"/>
  <c r="JH75" i="29" a="1"/>
  <c r="JH75" i="29" s="1"/>
  <c r="JG75" i="29"/>
  <c r="JH74" i="29" a="1"/>
  <c r="JH74" i="29" s="1"/>
  <c r="JG74" i="29"/>
  <c r="JH73" i="29" a="1"/>
  <c r="JH73" i="29" s="1"/>
  <c r="JG73" i="29"/>
  <c r="JH72" i="29" a="1"/>
  <c r="JH72" i="29" s="1"/>
  <c r="JG72" i="29"/>
  <c r="JH71" i="29" a="1"/>
  <c r="JH71" i="29" s="1"/>
  <c r="JG71" i="29"/>
  <c r="JH70" i="29" a="1"/>
  <c r="JH70" i="29" s="1"/>
  <c r="JG70" i="29"/>
  <c r="JH69" i="29" a="1"/>
  <c r="JH69" i="29" s="1"/>
  <c r="JG69" i="29"/>
  <c r="JH68" i="29" a="1"/>
  <c r="JH68" i="29" s="1"/>
  <c r="JG68" i="29"/>
  <c r="JH67" i="29" a="1"/>
  <c r="JH67" i="29" s="1"/>
  <c r="JG67" i="29"/>
  <c r="JH66" i="29" a="1"/>
  <c r="JH66" i="29" s="1"/>
  <c r="JG66" i="29"/>
  <c r="JH65" i="29" a="1"/>
  <c r="JH65" i="29" s="1"/>
  <c r="JG65" i="29"/>
  <c r="BB94" i="29"/>
  <c r="BB95" i="29"/>
  <c r="CB96" i="29"/>
  <c r="CB101" i="29"/>
  <c r="CB99" i="29"/>
  <c r="CB93" i="29"/>
  <c r="CB94" i="29"/>
  <c r="CB4" i="29"/>
  <c r="CB16" i="29"/>
  <c r="CB11" i="29"/>
  <c r="CB6" i="29"/>
  <c r="CK16" i="29"/>
  <c r="CK205" i="29"/>
  <c r="CK187" i="29"/>
  <c r="CK186" i="29"/>
  <c r="BB184" i="29"/>
  <c r="CK19" i="29"/>
  <c r="CB38" i="29"/>
  <c r="CB18" i="29"/>
  <c r="CB25" i="29"/>
  <c r="AC14" i="29"/>
  <c r="AL18" i="29"/>
  <c r="AC18" i="29"/>
  <c r="AC8" i="29"/>
  <c r="AC7" i="29"/>
  <c r="AC6" i="29"/>
  <c r="AC9" i="29"/>
  <c r="AC4" i="29"/>
  <c r="AC13" i="29"/>
  <c r="AC12" i="29"/>
  <c r="AC10" i="29"/>
  <c r="AL187" i="29"/>
  <c r="AC49" i="29"/>
  <c r="AC56" i="29"/>
  <c r="AL60" i="29"/>
  <c r="AC60" i="29"/>
  <c r="AC58" i="29"/>
  <c r="AC52" i="29"/>
  <c r="AC51" i="29"/>
  <c r="AC50" i="29"/>
  <c r="AC184" i="29"/>
  <c r="AL55" i="29"/>
  <c r="AC55" i="29"/>
  <c r="AL50" i="29"/>
  <c r="AC48" i="29"/>
  <c r="BB14" i="29"/>
  <c r="BB9" i="29"/>
  <c r="BB186" i="29"/>
  <c r="BB6" i="29"/>
  <c r="BK187" i="29"/>
  <c r="BB8" i="29"/>
  <c r="BB10" i="29"/>
  <c r="BB17" i="29"/>
  <c r="CK18" i="29"/>
  <c r="CB13" i="29"/>
  <c r="CB10" i="29"/>
  <c r="CB8" i="29"/>
  <c r="CB7" i="29"/>
  <c r="BB26" i="29"/>
  <c r="BB7" i="29"/>
  <c r="BB4" i="29"/>
  <c r="DF68" i="29"/>
  <c r="DF67" i="29"/>
  <c r="DF66" i="29"/>
  <c r="DF65" i="29"/>
  <c r="DF64" i="29"/>
  <c r="DF63" i="29"/>
  <c r="DF62" i="29"/>
  <c r="DF61" i="29"/>
  <c r="DF60" i="29"/>
  <c r="DF59" i="29"/>
  <c r="DF58" i="29"/>
  <c r="DF57" i="29"/>
  <c r="DF56" i="29"/>
  <c r="DF55" i="29"/>
  <c r="DF54" i="29"/>
  <c r="DF53" i="29"/>
  <c r="DF52" i="29"/>
  <c r="DF51" i="29"/>
  <c r="DF50" i="29"/>
  <c r="DF49" i="29"/>
  <c r="DF48" i="29"/>
  <c r="DF47" i="29"/>
  <c r="DF46" i="29"/>
  <c r="AB4" i="30"/>
  <c r="Z4" i="30"/>
  <c r="X4" i="30"/>
  <c r="V4" i="30" a="1"/>
  <c r="V4" i="30" s="1"/>
  <c r="G13" i="30"/>
  <c r="E13" i="30"/>
  <c r="C13" i="30" a="1"/>
  <c r="C13" i="30" s="1"/>
  <c r="G12" i="30"/>
  <c r="E12" i="30"/>
  <c r="C12" i="30" a="1"/>
  <c r="C12" i="30" s="1"/>
  <c r="G11" i="30"/>
  <c r="E11" i="30"/>
  <c r="C11" i="30" a="1"/>
  <c r="C11" i="30" s="1"/>
  <c r="I4" i="30"/>
  <c r="L4" i="30"/>
  <c r="N4" i="30"/>
  <c r="P4" i="30"/>
  <c r="R6" i="30"/>
  <c r="P6" i="30"/>
  <c r="P5" i="30"/>
  <c r="N6" i="30"/>
  <c r="N5" i="30"/>
  <c r="L6" i="30"/>
  <c r="L5" i="30"/>
  <c r="R5" i="30"/>
  <c r="R4" i="30"/>
  <c r="I6" i="30"/>
  <c r="I5" i="30"/>
  <c r="A3" i="30"/>
  <c r="B3" i="30" s="1"/>
  <c r="J4" i="30" s="1"/>
  <c r="DP185" i="29"/>
  <c r="DM185" i="29" s="1"/>
  <c r="DP184" i="29"/>
  <c r="DM184" i="29" s="1"/>
  <c r="DP183" i="29"/>
  <c r="DM183" i="29" s="1"/>
  <c r="DP182" i="29"/>
  <c r="DM182" i="29" s="1"/>
  <c r="DP181" i="29"/>
  <c r="DM181" i="29" s="1"/>
  <c r="DP180" i="29"/>
  <c r="DM180" i="29" s="1"/>
  <c r="DP179" i="29"/>
  <c r="DM179" i="29" s="1"/>
  <c r="DP178" i="29"/>
  <c r="DM178" i="29" s="1"/>
  <c r="DF182" i="29"/>
  <c r="DE182" i="29"/>
  <c r="DF181" i="29"/>
  <c r="DE181" i="29"/>
  <c r="DF180" i="29"/>
  <c r="DE180" i="29"/>
  <c r="DF179" i="29"/>
  <c r="DE179" i="29"/>
  <c r="DF178" i="29"/>
  <c r="DE178" i="29"/>
  <c r="DI173" i="29"/>
  <c r="DH173" i="29"/>
  <c r="DG173" i="29"/>
  <c r="DI172" i="29"/>
  <c r="DH172" i="29"/>
  <c r="DG172" i="29"/>
  <c r="DI171" i="29"/>
  <c r="DH171" i="29"/>
  <c r="DG171" i="29"/>
  <c r="DI170" i="29"/>
  <c r="DH170" i="29"/>
  <c r="DG170" i="29"/>
  <c r="DJ156" i="29"/>
  <c r="DJ155" i="29"/>
  <c r="DJ154" i="29"/>
  <c r="DJ153" i="29"/>
  <c r="DJ152" i="29"/>
  <c r="DJ151" i="29"/>
  <c r="DJ150" i="29"/>
  <c r="DJ149" i="29"/>
  <c r="DJ148" i="29"/>
  <c r="DJ147" i="29"/>
  <c r="DJ146" i="29"/>
  <c r="DJ145" i="29"/>
  <c r="DJ144" i="29"/>
  <c r="DJ143" i="29"/>
  <c r="DJ142" i="29"/>
  <c r="DJ141" i="29"/>
  <c r="DJ140" i="29"/>
  <c r="DJ139" i="29"/>
  <c r="DJ138" i="29"/>
  <c r="DJ137" i="29"/>
  <c r="DJ136" i="29"/>
  <c r="DJ135" i="29"/>
  <c r="DJ134" i="29"/>
  <c r="JI77" i="29" l="1"/>
  <c r="JI74" i="29"/>
  <c r="JI68" i="29"/>
  <c r="JI73" i="29"/>
  <c r="JI71" i="29"/>
  <c r="JI75" i="29"/>
  <c r="JI65" i="29"/>
  <c r="JI69" i="29"/>
  <c r="JI66" i="29"/>
  <c r="JI72" i="29"/>
  <c r="JI70" i="29"/>
  <c r="JI67" i="29"/>
  <c r="JI76" i="29"/>
  <c r="AC4" i="30"/>
  <c r="H13" i="30"/>
  <c r="H11" i="30"/>
  <c r="H12" i="30"/>
  <c r="D3" i="30"/>
  <c r="DC179" i="29"/>
  <c r="DC180" i="29"/>
  <c r="DC178" i="29"/>
  <c r="DD172" i="29"/>
  <c r="DC182" i="29"/>
  <c r="DD173" i="29"/>
  <c r="DD170" i="29"/>
  <c r="DD171" i="29"/>
  <c r="DC181" i="29"/>
  <c r="E14" i="5"/>
  <c r="E15" i="5"/>
  <c r="CK101" i="29"/>
  <c r="CK100" i="29"/>
  <c r="CK99" i="29"/>
  <c r="CK98" i="29"/>
  <c r="CK96" i="29"/>
  <c r="CK95" i="29"/>
  <c r="CK94" i="29"/>
  <c r="CK93" i="29"/>
  <c r="CK92" i="29"/>
  <c r="CK17" i="29"/>
  <c r="CK14" i="29"/>
  <c r="CK13" i="29"/>
  <c r="CK12" i="29"/>
  <c r="CK11" i="29"/>
  <c r="CK10" i="29"/>
  <c r="CK8" i="29"/>
  <c r="CK7" i="29"/>
  <c r="CK6" i="29"/>
  <c r="CK5" i="29"/>
  <c r="CK4" i="29"/>
  <c r="CB17" i="29"/>
  <c r="CB15" i="29"/>
  <c r="CB14" i="29"/>
  <c r="CB12" i="29"/>
  <c r="CB5" i="29"/>
  <c r="BK101" i="29"/>
  <c r="BK100" i="29"/>
  <c r="BK99" i="29"/>
  <c r="BK98" i="29"/>
  <c r="BK96" i="29"/>
  <c r="BK95" i="29"/>
  <c r="BK94" i="29"/>
  <c r="BK93" i="29"/>
  <c r="BK92" i="29"/>
  <c r="BK17" i="29"/>
  <c r="BK18" i="29"/>
  <c r="BK14" i="29"/>
  <c r="BK13" i="29"/>
  <c r="BK12" i="29"/>
  <c r="BK11" i="29"/>
  <c r="BK10" i="29"/>
  <c r="BK8" i="29"/>
  <c r="BK7" i="29"/>
  <c r="BK6" i="29"/>
  <c r="BK5" i="29"/>
  <c r="BK4" i="29"/>
  <c r="BB18" i="29"/>
  <c r="BB13" i="29"/>
  <c r="BB12" i="29"/>
  <c r="BB11" i="29"/>
  <c r="BB5" i="29"/>
  <c r="A91" i="5"/>
  <c r="B91" i="5"/>
  <c r="C91" i="5"/>
  <c r="A92" i="5"/>
  <c r="B92" i="5"/>
  <c r="C92" i="5"/>
  <c r="A93" i="5"/>
  <c r="B93" i="5"/>
  <c r="C93" i="5"/>
  <c r="B90" i="5"/>
  <c r="C90" i="5"/>
  <c r="K8" i="5"/>
  <c r="D90" i="5" s="1"/>
  <c r="K9" i="5"/>
  <c r="D91" i="5" s="1"/>
  <c r="A90" i="5"/>
  <c r="B85" i="5"/>
  <c r="B86" i="5"/>
  <c r="B84" i="5"/>
  <c r="I14" i="5"/>
  <c r="E84" i="5" s="1"/>
  <c r="F6" i="30" l="1"/>
  <c r="G6" i="30"/>
  <c r="C3" i="30"/>
  <c r="J6" i="30"/>
  <c r="G4" i="30"/>
  <c r="F4" i="30"/>
  <c r="K10" i="5"/>
  <c r="D92" i="5" s="1"/>
  <c r="K11" i="5"/>
  <c r="D93" i="5" s="1"/>
  <c r="S6" i="30" l="1"/>
  <c r="S4" i="30"/>
  <c r="F5" i="30"/>
  <c r="J5" i="30"/>
  <c r="G5" i="30"/>
  <c r="I15" i="5"/>
  <c r="E85" i="5" s="1"/>
  <c r="BB185" i="29"/>
  <c r="BB183" i="29"/>
  <c r="BB182" i="29"/>
  <c r="BB99" i="29"/>
  <c r="BB98" i="29"/>
  <c r="BB96" i="29"/>
  <c r="BB93" i="29"/>
  <c r="BB92" i="29"/>
  <c r="AC99" i="29"/>
  <c r="AC98" i="29"/>
  <c r="AC96" i="29"/>
  <c r="AC95" i="29"/>
  <c r="AC93" i="29"/>
  <c r="AC94" i="29"/>
  <c r="AC92" i="29"/>
  <c r="AC16" i="29"/>
  <c r="AL186" i="29"/>
  <c r="CK62" i="29"/>
  <c r="CB62" i="29"/>
  <c r="CK52" i="29"/>
  <c r="CB52" i="29"/>
  <c r="CB51" i="29"/>
  <c r="CB184" i="29"/>
  <c r="CK50" i="29"/>
  <c r="CB50" i="29"/>
  <c r="CB48" i="29"/>
  <c r="BK188" i="29"/>
  <c r="CB98" i="29"/>
  <c r="CB95" i="29"/>
  <c r="CB92" i="29"/>
  <c r="S5" i="30" l="1"/>
  <c r="D67" i="5"/>
  <c r="E67" i="5" s="1"/>
  <c r="E68" i="5" s="1"/>
  <c r="E65" i="5"/>
  <c r="B73" i="5" s="1"/>
  <c r="B74" i="5" l="1"/>
  <c r="E66" i="5"/>
  <c r="E69" i="5" s="1"/>
  <c r="E70" i="5"/>
  <c r="B75" i="5" s="1"/>
  <c r="B76" i="5" s="1"/>
  <c r="E71" i="5" l="1"/>
  <c r="E73" i="5" s="1"/>
  <c r="E74" i="5" s="1"/>
  <c r="E75" i="5" l="1"/>
  <c r="E76" i="5" s="1"/>
  <c r="D347" i="29"/>
  <c r="D346" i="29"/>
  <c r="D345" i="29"/>
  <c r="D344" i="29"/>
  <c r="D343" i="29"/>
  <c r="AT311" i="29" s="1"/>
  <c r="D342" i="29"/>
  <c r="AT310" i="29" s="1"/>
  <c r="D341" i="29"/>
  <c r="AT309" i="29" s="1"/>
  <c r="D340" i="29"/>
  <c r="AT308" i="29" s="1"/>
  <c r="D339" i="29"/>
  <c r="AT307" i="29" s="1"/>
  <c r="D338" i="29"/>
  <c r="AR311" i="29" s="1"/>
  <c r="D337" i="29"/>
  <c r="AR310" i="29" s="1"/>
  <c r="D336" i="29"/>
  <c r="AR309" i="29" s="1"/>
  <c r="D335" i="29"/>
  <c r="AR308" i="29" s="1"/>
  <c r="D334" i="29"/>
  <c r="AR307" i="29" s="1"/>
  <c r="D333" i="29"/>
  <c r="AN311" i="29" s="1"/>
  <c r="D332" i="29"/>
  <c r="AN310" i="29" s="1"/>
  <c r="D331" i="29"/>
  <c r="AN309" i="29" s="1"/>
  <c r="D330" i="29"/>
  <c r="AN308" i="29" s="1"/>
  <c r="D329" i="29"/>
  <c r="AN307" i="29" s="1"/>
  <c r="D328" i="29"/>
  <c r="AL314" i="29" s="1"/>
  <c r="D327" i="29"/>
  <c r="AL313" i="29" s="1"/>
  <c r="D326" i="29"/>
  <c r="AL312" i="29" s="1"/>
  <c r="D325" i="29"/>
  <c r="AL311" i="29" s="1"/>
  <c r="D324" i="29"/>
  <c r="AL310" i="29" s="1"/>
  <c r="D323" i="29"/>
  <c r="AL309" i="29" s="1"/>
  <c r="D322" i="29"/>
  <c r="AL308" i="29" s="1"/>
  <c r="D321" i="29"/>
  <c r="AL307" i="29" s="1"/>
  <c r="D320" i="29"/>
  <c r="AF315" i="29" s="1"/>
  <c r="AH315" i="29" s="1"/>
  <c r="D319" i="29"/>
  <c r="AF314" i="29" s="1"/>
  <c r="AH314" i="29" s="1"/>
  <c r="D318" i="29"/>
  <c r="AF313" i="29" s="1"/>
  <c r="AH313" i="29" s="1"/>
  <c r="D317" i="29"/>
  <c r="AF312" i="29" s="1"/>
  <c r="AH312" i="29" s="1"/>
  <c r="D316" i="29"/>
  <c r="AF311" i="29" s="1"/>
  <c r="AH311" i="29" s="1"/>
  <c r="D315" i="29"/>
  <c r="AF310" i="29" s="1"/>
  <c r="AH310" i="29" s="1"/>
  <c r="D314" i="29"/>
  <c r="AF309" i="29" s="1"/>
  <c r="AH309" i="29" s="1"/>
  <c r="D313" i="29"/>
  <c r="AF308" i="29" s="1"/>
  <c r="AH308" i="29" s="1"/>
  <c r="D312" i="29"/>
  <c r="AF307" i="29" s="1"/>
  <c r="AH307" i="29" s="1"/>
  <c r="D311" i="29"/>
  <c r="Z314" i="29" s="1"/>
  <c r="AB314" i="29" s="1"/>
  <c r="D310" i="29"/>
  <c r="Z313" i="29" s="1"/>
  <c r="AB313" i="29" s="1"/>
  <c r="Z309" i="29"/>
  <c r="AB309" i="29" s="1"/>
  <c r="D309" i="29"/>
  <c r="Z312" i="29" s="1"/>
  <c r="AB312" i="29" s="1"/>
  <c r="Z308" i="29"/>
  <c r="AB308" i="29" s="1"/>
  <c r="O308" i="29"/>
  <c r="N308" i="29"/>
  <c r="M308" i="29"/>
  <c r="L308" i="29"/>
  <c r="D308" i="29"/>
  <c r="Z311" i="29" s="1"/>
  <c r="AB311" i="29" s="1"/>
  <c r="Z307" i="29"/>
  <c r="AB307" i="29" s="1"/>
  <c r="D307" i="29"/>
  <c r="Z310" i="29" s="1"/>
  <c r="AB310" i="29" s="1"/>
  <c r="E251" i="29"/>
  <c r="AD216" i="29"/>
  <c r="AC216" i="29"/>
  <c r="CC215" i="29"/>
  <c r="CB215" i="29"/>
  <c r="BC215" i="29"/>
  <c r="BB215" i="29"/>
  <c r="AD215" i="29"/>
  <c r="AC215" i="29"/>
  <c r="CC214" i="29"/>
  <c r="CB214" i="29"/>
  <c r="BC214" i="29"/>
  <c r="BB214" i="29"/>
  <c r="BB213" i="29"/>
  <c r="CK212" i="29"/>
  <c r="BB212" i="29"/>
  <c r="BB211" i="29"/>
  <c r="CK210" i="29"/>
  <c r="BK210" i="29"/>
  <c r="AD210" i="29"/>
  <c r="AC210" i="29"/>
  <c r="CK209" i="29"/>
  <c r="CC209" i="29"/>
  <c r="CB209" i="29"/>
  <c r="BK209" i="29"/>
  <c r="BC209" i="29"/>
  <c r="BB209" i="29"/>
  <c r="AD209" i="29"/>
  <c r="AC209" i="29"/>
  <c r="CC208" i="29"/>
  <c r="CB208" i="29"/>
  <c r="BC208" i="29"/>
  <c r="BB208" i="29"/>
  <c r="AC208" i="29"/>
  <c r="CK207" i="29"/>
  <c r="CB207" i="29"/>
  <c r="BB207" i="29"/>
  <c r="AC207" i="29"/>
  <c r="CK206" i="29"/>
  <c r="CB206" i="29"/>
  <c r="BK206" i="29"/>
  <c r="BB206" i="29"/>
  <c r="BK205" i="29"/>
  <c r="BB205" i="29"/>
  <c r="CK204" i="29"/>
  <c r="BK204" i="29"/>
  <c r="AD204" i="29"/>
  <c r="AC204" i="29"/>
  <c r="CK203" i="29"/>
  <c r="CC203" i="29"/>
  <c r="CB203" i="29"/>
  <c r="BK203" i="29"/>
  <c r="BC203" i="29"/>
  <c r="BB203" i="29"/>
  <c r="AD203" i="29"/>
  <c r="AC203" i="29"/>
  <c r="CK202" i="29"/>
  <c r="CC202" i="29"/>
  <c r="CB202" i="29"/>
  <c r="BK202" i="29"/>
  <c r="BC202" i="29"/>
  <c r="BB202" i="29"/>
  <c r="CK201" i="29"/>
  <c r="BK201" i="29"/>
  <c r="CK200" i="29"/>
  <c r="T198" i="29"/>
  <c r="M198" i="29"/>
  <c r="F198" i="29"/>
  <c r="BK190" i="29"/>
  <c r="BB190" i="29"/>
  <c r="BK189" i="29"/>
  <c r="BB189" i="29"/>
  <c r="AL189" i="29"/>
  <c r="BB188" i="29"/>
  <c r="AC188" i="29"/>
  <c r="BK186" i="29"/>
  <c r="CB185" i="29"/>
  <c r="AC185" i="29"/>
  <c r="CB183" i="29"/>
  <c r="CB182" i="29"/>
  <c r="M159" i="29"/>
  <c r="DR156" i="29"/>
  <c r="DT156" i="29" s="1"/>
  <c r="DO156" i="29"/>
  <c r="DE156" i="29"/>
  <c r="DR155" i="29"/>
  <c r="DW155" i="29" s="1"/>
  <c r="DY155" i="29" s="1"/>
  <c r="DO155" i="29"/>
  <c r="DE155" i="29"/>
  <c r="DR154" i="29"/>
  <c r="DT154" i="29" s="1"/>
  <c r="DO154" i="29"/>
  <c r="DE154" i="29"/>
  <c r="DR153" i="29"/>
  <c r="DO153" i="29"/>
  <c r="DE153" i="29"/>
  <c r="DR152" i="29"/>
  <c r="DW152" i="29" s="1"/>
  <c r="DY152" i="29" s="1"/>
  <c r="DO152" i="29"/>
  <c r="DE152" i="29"/>
  <c r="DR151" i="29"/>
  <c r="DW151" i="29" s="1"/>
  <c r="DY151" i="29" s="1"/>
  <c r="DO151" i="29"/>
  <c r="DE151" i="29"/>
  <c r="DR150" i="29"/>
  <c r="DT150" i="29" s="1"/>
  <c r="DO150" i="29"/>
  <c r="DE150" i="29"/>
  <c r="DR149" i="29"/>
  <c r="DW149" i="29" s="1"/>
  <c r="DY149" i="29" s="1"/>
  <c r="DO149" i="29"/>
  <c r="DE149" i="29"/>
  <c r="DR148" i="29"/>
  <c r="DT148" i="29" s="1"/>
  <c r="DO148" i="29"/>
  <c r="DE148" i="29"/>
  <c r="DR147" i="29"/>
  <c r="DO147" i="29"/>
  <c r="DE147" i="29"/>
  <c r="DR146" i="29"/>
  <c r="DW146" i="29" s="1"/>
  <c r="DY146" i="29" s="1"/>
  <c r="DO146" i="29"/>
  <c r="DE146" i="29"/>
  <c r="CK146" i="29"/>
  <c r="BK146" i="29"/>
  <c r="DR145" i="29"/>
  <c r="DW145" i="29" s="1"/>
  <c r="DY145" i="29" s="1"/>
  <c r="DO145" i="29"/>
  <c r="DE145" i="29"/>
  <c r="BK145" i="29"/>
  <c r="AL145" i="29"/>
  <c r="DR144" i="29"/>
  <c r="DW144" i="29" s="1"/>
  <c r="DY144" i="29" s="1"/>
  <c r="DO144" i="29"/>
  <c r="DE144" i="29"/>
  <c r="CK144" i="29"/>
  <c r="BK144" i="29"/>
  <c r="AL144" i="29"/>
  <c r="AC144" i="29"/>
  <c r="DR143" i="29"/>
  <c r="DO143" i="29"/>
  <c r="DE143" i="29"/>
  <c r="CK143" i="29"/>
  <c r="BK143" i="29"/>
  <c r="AL143" i="29"/>
  <c r="DR142" i="29"/>
  <c r="DW142" i="29" s="1"/>
  <c r="DY142" i="29" s="1"/>
  <c r="DO142" i="29"/>
  <c r="DE142" i="29"/>
  <c r="DR141" i="29"/>
  <c r="DT141" i="29" s="1"/>
  <c r="DO141" i="29"/>
  <c r="DE141" i="29"/>
  <c r="CK141" i="29"/>
  <c r="BK141" i="29"/>
  <c r="AL141" i="29"/>
  <c r="AC141" i="29"/>
  <c r="DR140" i="29"/>
  <c r="DT140" i="29" s="1"/>
  <c r="DO140" i="29"/>
  <c r="DE140" i="29"/>
  <c r="CK140" i="29"/>
  <c r="BK140" i="29"/>
  <c r="AL140" i="29"/>
  <c r="DR139" i="29"/>
  <c r="DT139" i="29" s="1"/>
  <c r="DO139" i="29"/>
  <c r="DE139" i="29"/>
  <c r="CK139" i="29"/>
  <c r="BK139" i="29"/>
  <c r="AL139" i="29"/>
  <c r="AC139" i="29"/>
  <c r="DR138" i="29"/>
  <c r="DW138" i="29" s="1"/>
  <c r="DY138" i="29" s="1"/>
  <c r="DO138" i="29"/>
  <c r="DE138" i="29"/>
  <c r="CK138" i="29"/>
  <c r="BK138" i="29"/>
  <c r="AL138" i="29"/>
  <c r="AC138" i="29"/>
  <c r="DR137" i="29"/>
  <c r="DO137" i="29"/>
  <c r="DE137" i="29"/>
  <c r="CK137" i="29"/>
  <c r="BK137" i="29"/>
  <c r="AL137" i="29"/>
  <c r="AC137" i="29"/>
  <c r="DR136" i="29"/>
  <c r="DT136" i="29" s="1"/>
  <c r="DO136" i="29"/>
  <c r="DE136" i="29"/>
  <c r="DR135" i="29"/>
  <c r="DO135" i="29"/>
  <c r="DE135" i="29"/>
  <c r="DR134" i="29"/>
  <c r="DW134" i="29" s="1"/>
  <c r="DY134" i="29" s="1"/>
  <c r="DO134" i="29"/>
  <c r="DE134" i="29"/>
  <c r="DT115" i="29"/>
  <c r="DS115" i="29"/>
  <c r="DK115" i="29"/>
  <c r="DE115" i="29"/>
  <c r="DT114" i="29"/>
  <c r="DS114" i="29"/>
  <c r="DK114" i="29"/>
  <c r="DE114" i="29"/>
  <c r="DT113" i="29"/>
  <c r="DS113" i="29"/>
  <c r="DK113" i="29"/>
  <c r="DE113" i="29"/>
  <c r="DT112" i="29"/>
  <c r="DS112" i="29"/>
  <c r="DK112" i="29"/>
  <c r="DE112" i="29"/>
  <c r="DT111" i="29"/>
  <c r="DS111" i="29"/>
  <c r="DK111" i="29"/>
  <c r="DE111" i="29"/>
  <c r="DT110" i="29"/>
  <c r="DS110" i="29"/>
  <c r="DK110" i="29"/>
  <c r="DE110" i="29"/>
  <c r="DT109" i="29"/>
  <c r="DS109" i="29"/>
  <c r="DK109" i="29"/>
  <c r="DE109" i="29"/>
  <c r="DT108" i="29"/>
  <c r="DS108" i="29"/>
  <c r="DK108" i="29"/>
  <c r="DE108" i="29"/>
  <c r="DT107" i="29"/>
  <c r="DS107" i="29"/>
  <c r="DK107" i="29"/>
  <c r="DE107" i="29"/>
  <c r="DT106" i="29"/>
  <c r="DS106" i="29"/>
  <c r="DK106" i="29"/>
  <c r="DE106" i="29"/>
  <c r="DT105" i="29"/>
  <c r="DS105" i="29"/>
  <c r="DK105" i="29"/>
  <c r="DE105" i="29"/>
  <c r="FU104" i="29"/>
  <c r="FT104" i="29"/>
  <c r="FS104" i="29"/>
  <c r="FR104" i="29"/>
  <c r="FQ104" i="29"/>
  <c r="FV104" i="29" s="1"/>
  <c r="GA104" i="29" s="1"/>
  <c r="DT104" i="29"/>
  <c r="DS104" i="29"/>
  <c r="DK104" i="29"/>
  <c r="DE104" i="29"/>
  <c r="FU103" i="29"/>
  <c r="FT103" i="29"/>
  <c r="FS103" i="29"/>
  <c r="FR103" i="29"/>
  <c r="FQ103" i="29"/>
  <c r="FV103" i="29" s="1"/>
  <c r="GA103" i="29" s="1"/>
  <c r="DT103" i="29"/>
  <c r="DS103" i="29"/>
  <c r="DK103" i="29"/>
  <c r="DE103" i="29"/>
  <c r="T103" i="29"/>
  <c r="M103" i="29"/>
  <c r="F103" i="29"/>
  <c r="FU102" i="29"/>
  <c r="FT102" i="29"/>
  <c r="FS102" i="29"/>
  <c r="FR102" i="29"/>
  <c r="FQ102" i="29"/>
  <c r="FV102" i="29" s="1"/>
  <c r="GA102" i="29" s="1"/>
  <c r="DT102" i="29"/>
  <c r="DS102" i="29"/>
  <c r="DK102" i="29"/>
  <c r="DE102" i="29"/>
  <c r="FU101" i="29"/>
  <c r="FT101" i="29"/>
  <c r="FS101" i="29"/>
  <c r="FR101" i="29"/>
  <c r="FQ101" i="29"/>
  <c r="FV101" i="29" s="1"/>
  <c r="GA101" i="29" s="1"/>
  <c r="DT101" i="29"/>
  <c r="DS101" i="29"/>
  <c r="DK101" i="29"/>
  <c r="DE101" i="29"/>
  <c r="BB101" i="29"/>
  <c r="AL101" i="29"/>
  <c r="AC101" i="29"/>
  <c r="FU100" i="29"/>
  <c r="FT100" i="29"/>
  <c r="FS100" i="29"/>
  <c r="FR100" i="29"/>
  <c r="FQ100" i="29"/>
  <c r="FV100" i="29" s="1"/>
  <c r="GA100" i="29" s="1"/>
  <c r="DS100" i="29"/>
  <c r="DP100" i="29"/>
  <c r="DT100" i="29" s="1"/>
  <c r="DK100" i="29"/>
  <c r="DE100" i="29"/>
  <c r="BB100" i="29"/>
  <c r="AL100" i="29"/>
  <c r="AC100" i="29"/>
  <c r="FU99" i="29"/>
  <c r="FT99" i="29"/>
  <c r="FS99" i="29"/>
  <c r="FR99" i="29"/>
  <c r="FQ99" i="29"/>
  <c r="FV99" i="29" s="1"/>
  <c r="GA99" i="29" s="1"/>
  <c r="DS99" i="29"/>
  <c r="DP99" i="29"/>
  <c r="DT99" i="29" s="1"/>
  <c r="DK99" i="29"/>
  <c r="DE99" i="29"/>
  <c r="AL99" i="29"/>
  <c r="FU98" i="29"/>
  <c r="FT98" i="29"/>
  <c r="FS98" i="29"/>
  <c r="FR98" i="29"/>
  <c r="FQ98" i="29"/>
  <c r="FV98" i="29" s="1"/>
  <c r="GA98" i="29" s="1"/>
  <c r="DS98" i="29"/>
  <c r="DP98" i="29"/>
  <c r="DT98" i="29" s="1"/>
  <c r="DK98" i="29"/>
  <c r="DE98" i="29"/>
  <c r="AL98" i="29"/>
  <c r="FU97" i="29"/>
  <c r="FT97" i="29"/>
  <c r="FS97" i="29"/>
  <c r="FR97" i="29"/>
  <c r="FQ97" i="29"/>
  <c r="FV97" i="29" s="1"/>
  <c r="GA97" i="29" s="1"/>
  <c r="DS97" i="29"/>
  <c r="DP97" i="29"/>
  <c r="DT97" i="29" s="1"/>
  <c r="DK97" i="29"/>
  <c r="DE97" i="29"/>
  <c r="BB97" i="29"/>
  <c r="FU96" i="29"/>
  <c r="FT96" i="29"/>
  <c r="FS96" i="29"/>
  <c r="FR96" i="29"/>
  <c r="FQ96" i="29"/>
  <c r="FV96" i="29" s="1"/>
  <c r="GA96" i="29" s="1"/>
  <c r="DS96" i="29"/>
  <c r="DP96" i="29"/>
  <c r="DT96" i="29" s="1"/>
  <c r="DK96" i="29"/>
  <c r="DE96" i="29"/>
  <c r="AL96" i="29"/>
  <c r="FU95" i="29"/>
  <c r="FT95" i="29"/>
  <c r="FS95" i="29"/>
  <c r="FR95" i="29"/>
  <c r="FQ95" i="29"/>
  <c r="FV95" i="29" s="1"/>
  <c r="GA95" i="29" s="1"/>
  <c r="DS95" i="29"/>
  <c r="DP95" i="29"/>
  <c r="DT95" i="29" s="1"/>
  <c r="DK95" i="29"/>
  <c r="DE95" i="29"/>
  <c r="FU94" i="29"/>
  <c r="FT94" i="29"/>
  <c r="FS94" i="29"/>
  <c r="FR94" i="29"/>
  <c r="FQ94" i="29"/>
  <c r="FV94" i="29" s="1"/>
  <c r="GA94" i="29" s="1"/>
  <c r="DS94" i="29"/>
  <c r="DP94" i="29"/>
  <c r="DT94" i="29" s="1"/>
  <c r="DK94" i="29"/>
  <c r="DE94" i="29"/>
  <c r="AL94" i="29"/>
  <c r="FU93" i="29"/>
  <c r="FT93" i="29"/>
  <c r="FS93" i="29"/>
  <c r="FR93" i="29"/>
  <c r="FQ93" i="29"/>
  <c r="FV93" i="29" s="1"/>
  <c r="GA93" i="29" s="1"/>
  <c r="DS93" i="29"/>
  <c r="DP93" i="29"/>
  <c r="DT93" i="29" s="1"/>
  <c r="DK93" i="29"/>
  <c r="DE93" i="29"/>
  <c r="AL93" i="29"/>
  <c r="FU92" i="29"/>
  <c r="FT92" i="29"/>
  <c r="FS92" i="29"/>
  <c r="FR92" i="29"/>
  <c r="FQ92" i="29"/>
  <c r="FV92" i="29" s="1"/>
  <c r="GA92" i="29" s="1"/>
  <c r="AL92" i="29"/>
  <c r="FU91" i="29"/>
  <c r="FT91" i="29"/>
  <c r="FS91" i="29"/>
  <c r="FR91" i="29"/>
  <c r="FQ91" i="29"/>
  <c r="FV91" i="29" s="1"/>
  <c r="GA91" i="29" s="1"/>
  <c r="FU80" i="29"/>
  <c r="FT80" i="29"/>
  <c r="FS80" i="29"/>
  <c r="FR80" i="29"/>
  <c r="FQ80" i="29"/>
  <c r="FV80" i="29" s="1"/>
  <c r="GA80" i="29" s="1"/>
  <c r="FU79" i="29"/>
  <c r="FT79" i="29"/>
  <c r="FS79" i="29"/>
  <c r="FR79" i="29"/>
  <c r="FQ79" i="29"/>
  <c r="FV79" i="29" s="1"/>
  <c r="GA79" i="29" s="1"/>
  <c r="FU78" i="29"/>
  <c r="FT78" i="29"/>
  <c r="FS78" i="29"/>
  <c r="FR78" i="29"/>
  <c r="FQ78" i="29"/>
  <c r="FV78" i="29" s="1"/>
  <c r="GA78" i="29" s="1"/>
  <c r="FU77" i="29"/>
  <c r="FT77" i="29"/>
  <c r="FS77" i="29"/>
  <c r="FR77" i="29"/>
  <c r="FQ77" i="29"/>
  <c r="FV77" i="29" s="1"/>
  <c r="GA77" i="29" s="1"/>
  <c r="FU76" i="29"/>
  <c r="FT76" i="29"/>
  <c r="FS76" i="29"/>
  <c r="FR76" i="29"/>
  <c r="FQ76" i="29"/>
  <c r="FV76" i="29" s="1"/>
  <c r="GA76" i="29" s="1"/>
  <c r="FU75" i="29"/>
  <c r="FT75" i="29"/>
  <c r="FS75" i="29"/>
  <c r="FR75" i="29"/>
  <c r="FQ75" i="29"/>
  <c r="FV75" i="29" s="1"/>
  <c r="GA75" i="29" s="1"/>
  <c r="FU74" i="29"/>
  <c r="FT74" i="29"/>
  <c r="FS74" i="29"/>
  <c r="FR74" i="29"/>
  <c r="FQ74" i="29"/>
  <c r="FV74" i="29" s="1"/>
  <c r="GA74" i="29" s="1"/>
  <c r="FU73" i="29"/>
  <c r="FT73" i="29"/>
  <c r="FS73" i="29"/>
  <c r="FR73" i="29"/>
  <c r="FQ73" i="29"/>
  <c r="FV73" i="29" s="1"/>
  <c r="GA73" i="29" s="1"/>
  <c r="FU72" i="29"/>
  <c r="FT72" i="29"/>
  <c r="FS72" i="29"/>
  <c r="FR72" i="29"/>
  <c r="FQ72" i="29"/>
  <c r="FV72" i="29" s="1"/>
  <c r="GA72" i="29" s="1"/>
  <c r="FU71" i="29"/>
  <c r="FT71" i="29"/>
  <c r="FS71" i="29"/>
  <c r="FR71" i="29"/>
  <c r="FQ71" i="29"/>
  <c r="FV71" i="29" s="1"/>
  <c r="GA71" i="29" s="1"/>
  <c r="AC71" i="29"/>
  <c r="FU70" i="29"/>
  <c r="FT70" i="29"/>
  <c r="FS70" i="29"/>
  <c r="FR70" i="29"/>
  <c r="FQ70" i="29"/>
  <c r="FV70" i="29" s="1"/>
  <c r="GA70" i="29" s="1"/>
  <c r="AC70" i="29"/>
  <c r="FU69" i="29"/>
  <c r="FT69" i="29"/>
  <c r="FS69" i="29"/>
  <c r="FR69" i="29"/>
  <c r="FQ69" i="29"/>
  <c r="FV69" i="29" s="1"/>
  <c r="GA69" i="29" s="1"/>
  <c r="FU68" i="29"/>
  <c r="FT68" i="29"/>
  <c r="FS68" i="29"/>
  <c r="FR68" i="29"/>
  <c r="FQ68" i="29"/>
  <c r="FV68" i="29" s="1"/>
  <c r="GA68" i="29" s="1"/>
  <c r="DS68" i="29"/>
  <c r="DW68" i="29" s="1"/>
  <c r="DN68" i="29"/>
  <c r="DR68" i="29" s="1"/>
  <c r="DH68" i="29"/>
  <c r="DL68" i="29" s="1"/>
  <c r="FU67" i="29"/>
  <c r="FT67" i="29"/>
  <c r="FS67" i="29"/>
  <c r="FR67" i="29"/>
  <c r="FQ67" i="29"/>
  <c r="FV67" i="29" s="1"/>
  <c r="GA67" i="29" s="1"/>
  <c r="DS67" i="29"/>
  <c r="DW67" i="29" s="1"/>
  <c r="DN67" i="29"/>
  <c r="DR67" i="29" s="1"/>
  <c r="DH67" i="29"/>
  <c r="DL67" i="29" s="1"/>
  <c r="DS66" i="29"/>
  <c r="DW66" i="29" s="1"/>
  <c r="DN66" i="29"/>
  <c r="DR66" i="29" s="1"/>
  <c r="DH66" i="29"/>
  <c r="DL66" i="29" s="1"/>
  <c r="DS65" i="29"/>
  <c r="DW65" i="29" s="1"/>
  <c r="DN65" i="29"/>
  <c r="DR65" i="29" s="1"/>
  <c r="DH65" i="29"/>
  <c r="DL65" i="29" s="1"/>
  <c r="GW64" i="29"/>
  <c r="GU64" i="29" s="1"/>
  <c r="DS64" i="29"/>
  <c r="DW64" i="29" s="1"/>
  <c r="DN64" i="29"/>
  <c r="DR64" i="29" s="1"/>
  <c r="DH64" i="29"/>
  <c r="DL64" i="29" s="1"/>
  <c r="GW63" i="29"/>
  <c r="GU63" i="29" s="1"/>
  <c r="GK63" i="29"/>
  <c r="DS63" i="29"/>
  <c r="DW63" i="29" s="1"/>
  <c r="DN63" i="29"/>
  <c r="DR63" i="29" s="1"/>
  <c r="DH63" i="29"/>
  <c r="DL63" i="29" s="1"/>
  <c r="GW62" i="29"/>
  <c r="GU62" i="29" s="1"/>
  <c r="GK62" i="29"/>
  <c r="DS62" i="29"/>
  <c r="DW62" i="29" s="1"/>
  <c r="DN62" i="29"/>
  <c r="DR62" i="29" s="1"/>
  <c r="DH62" i="29"/>
  <c r="DL62" i="29" s="1"/>
  <c r="GW61" i="29"/>
  <c r="GU61" i="29" s="1"/>
  <c r="GK61" i="29"/>
  <c r="DS61" i="29"/>
  <c r="DW61" i="29" s="1"/>
  <c r="DN61" i="29"/>
  <c r="DR61" i="29" s="1"/>
  <c r="DH61" i="29"/>
  <c r="DL61" i="29" s="1"/>
  <c r="GW60" i="29"/>
  <c r="GU60" i="29" s="1"/>
  <c r="GK60" i="29"/>
  <c r="DS60" i="29"/>
  <c r="DW60" i="29" s="1"/>
  <c r="DN60" i="29"/>
  <c r="DR60" i="29" s="1"/>
  <c r="DH60" i="29"/>
  <c r="DL60" i="29" s="1"/>
  <c r="GW59" i="29"/>
  <c r="GU59" i="29" s="1"/>
  <c r="GK59" i="29"/>
  <c r="FU59" i="29"/>
  <c r="FT59" i="29"/>
  <c r="FS59" i="29"/>
  <c r="FR59" i="29"/>
  <c r="FQ59" i="29"/>
  <c r="FV59" i="29" s="1"/>
  <c r="GA59" i="29" s="1"/>
  <c r="DS59" i="29"/>
  <c r="DW59" i="29" s="1"/>
  <c r="DN59" i="29"/>
  <c r="DR59" i="29" s="1"/>
  <c r="DH59" i="29"/>
  <c r="DL59" i="29" s="1"/>
  <c r="GW58" i="29"/>
  <c r="GU58" i="29" s="1"/>
  <c r="GK58" i="29"/>
  <c r="FU58" i="29"/>
  <c r="FT58" i="29"/>
  <c r="FS58" i="29"/>
  <c r="FR58" i="29"/>
  <c r="FQ58" i="29"/>
  <c r="FV58" i="29" s="1"/>
  <c r="GA58" i="29" s="1"/>
  <c r="DS58" i="29"/>
  <c r="DW58" i="29" s="1"/>
  <c r="DN58" i="29"/>
  <c r="DR58" i="29" s="1"/>
  <c r="DH58" i="29"/>
  <c r="DL58" i="29" s="1"/>
  <c r="GW57" i="29"/>
  <c r="GU57" i="29" s="1"/>
  <c r="GK57" i="29"/>
  <c r="FU57" i="29"/>
  <c r="FT57" i="29"/>
  <c r="FS57" i="29"/>
  <c r="FR57" i="29"/>
  <c r="FQ57" i="29"/>
  <c r="FV57" i="29" s="1"/>
  <c r="GA57" i="29" s="1"/>
  <c r="DS57" i="29"/>
  <c r="DW57" i="29" s="1"/>
  <c r="DN57" i="29"/>
  <c r="DR57" i="29" s="1"/>
  <c r="DH57" i="29"/>
  <c r="DL57" i="29" s="1"/>
  <c r="GW56" i="29"/>
  <c r="GU56" i="29" s="1"/>
  <c r="GK56" i="29"/>
  <c r="FU56" i="29"/>
  <c r="FT56" i="29"/>
  <c r="FS56" i="29"/>
  <c r="FR56" i="29"/>
  <c r="FQ56" i="29"/>
  <c r="FV56" i="29" s="1"/>
  <c r="GA56" i="29" s="1"/>
  <c r="DS56" i="29"/>
  <c r="DW56" i="29" s="1"/>
  <c r="DN56" i="29"/>
  <c r="DR56" i="29" s="1"/>
  <c r="DH56" i="29"/>
  <c r="DL56" i="29" s="1"/>
  <c r="T56" i="29"/>
  <c r="M56" i="29"/>
  <c r="F56" i="29"/>
  <c r="GW55" i="29"/>
  <c r="GU55" i="29" s="1"/>
  <c r="GK55" i="29"/>
  <c r="FU55" i="29"/>
  <c r="FT55" i="29"/>
  <c r="FS55" i="29"/>
  <c r="FR55" i="29"/>
  <c r="FQ55" i="29"/>
  <c r="FV55" i="29" s="1"/>
  <c r="GA55" i="29" s="1"/>
  <c r="DS55" i="29"/>
  <c r="DW55" i="29" s="1"/>
  <c r="DN55" i="29"/>
  <c r="DR55" i="29" s="1"/>
  <c r="DH55" i="29"/>
  <c r="DL55" i="29" s="1"/>
  <c r="GW54" i="29"/>
  <c r="GU54" i="29" s="1"/>
  <c r="GK54" i="29"/>
  <c r="FU54" i="29"/>
  <c r="FT54" i="29"/>
  <c r="FS54" i="29"/>
  <c r="FR54" i="29"/>
  <c r="FQ54" i="29"/>
  <c r="FV54" i="29" s="1"/>
  <c r="GA54" i="29" s="1"/>
  <c r="DS54" i="29"/>
  <c r="DW54" i="29" s="1"/>
  <c r="DN54" i="29"/>
  <c r="DR54" i="29" s="1"/>
  <c r="DH54" i="29"/>
  <c r="DL54" i="29" s="1"/>
  <c r="GW53" i="29"/>
  <c r="GU53" i="29" s="1"/>
  <c r="GK53" i="29"/>
  <c r="FU53" i="29"/>
  <c r="FT53" i="29"/>
  <c r="FS53" i="29"/>
  <c r="FR53" i="29"/>
  <c r="FQ53" i="29"/>
  <c r="FV53" i="29" s="1"/>
  <c r="GA53" i="29" s="1"/>
  <c r="DS53" i="29"/>
  <c r="DW53" i="29" s="1"/>
  <c r="DN53" i="29"/>
  <c r="DR53" i="29" s="1"/>
  <c r="DH53" i="29"/>
  <c r="DL53" i="29" s="1"/>
  <c r="GW52" i="29"/>
  <c r="GU52" i="29" s="1"/>
  <c r="GK52" i="29"/>
  <c r="FU52" i="29"/>
  <c r="FT52" i="29"/>
  <c r="FS52" i="29"/>
  <c r="FR52" i="29"/>
  <c r="FQ52" i="29"/>
  <c r="FV52" i="29" s="1"/>
  <c r="GA52" i="29" s="1"/>
  <c r="DS52" i="29"/>
  <c r="DW52" i="29" s="1"/>
  <c r="DN52" i="29"/>
  <c r="DR52" i="29" s="1"/>
  <c r="DH52" i="29"/>
  <c r="DL52" i="29" s="1"/>
  <c r="GW51" i="29"/>
  <c r="GU51" i="29" s="1"/>
  <c r="GK51" i="29"/>
  <c r="FU51" i="29"/>
  <c r="FT51" i="29"/>
  <c r="FS51" i="29"/>
  <c r="FR51" i="29"/>
  <c r="FQ51" i="29"/>
  <c r="FV51" i="29" s="1"/>
  <c r="GA51" i="29" s="1"/>
  <c r="DS51" i="29"/>
  <c r="DW51" i="29" s="1"/>
  <c r="DN51" i="29"/>
  <c r="DR51" i="29" s="1"/>
  <c r="DH51" i="29"/>
  <c r="DL51" i="29" s="1"/>
  <c r="GK50" i="29"/>
  <c r="FU50" i="29"/>
  <c r="FT50" i="29"/>
  <c r="FS50" i="29"/>
  <c r="FR50" i="29"/>
  <c r="FQ50" i="29"/>
  <c r="FV50" i="29" s="1"/>
  <c r="GA50" i="29" s="1"/>
  <c r="DS50" i="29"/>
  <c r="DW50" i="29" s="1"/>
  <c r="DN50" i="29"/>
  <c r="DR50" i="29" s="1"/>
  <c r="DH50" i="29"/>
  <c r="DL50" i="29" s="1"/>
  <c r="FU49" i="29"/>
  <c r="FT49" i="29"/>
  <c r="FS49" i="29"/>
  <c r="FR49" i="29"/>
  <c r="FQ49" i="29"/>
  <c r="FV49" i="29" s="1"/>
  <c r="GA49" i="29" s="1"/>
  <c r="DS49" i="29"/>
  <c r="DW49" i="29" s="1"/>
  <c r="DN49" i="29"/>
  <c r="DR49" i="29" s="1"/>
  <c r="DH49" i="29"/>
  <c r="DL49" i="29" s="1"/>
  <c r="FU48" i="29"/>
  <c r="FT48" i="29"/>
  <c r="FS48" i="29"/>
  <c r="FR48" i="29"/>
  <c r="FQ48" i="29"/>
  <c r="FV48" i="29" s="1"/>
  <c r="GA48" i="29" s="1"/>
  <c r="DS48" i="29"/>
  <c r="DW48" i="29" s="1"/>
  <c r="DN48" i="29"/>
  <c r="DR48" i="29" s="1"/>
  <c r="DH48" i="29"/>
  <c r="DL48" i="29" s="1"/>
  <c r="FU47" i="29"/>
  <c r="FT47" i="29"/>
  <c r="FS47" i="29"/>
  <c r="FR47" i="29"/>
  <c r="FQ47" i="29"/>
  <c r="FV47" i="29" s="1"/>
  <c r="GA47" i="29" s="1"/>
  <c r="DS47" i="29"/>
  <c r="DW47" i="29" s="1"/>
  <c r="DN47" i="29"/>
  <c r="DR47" i="29" s="1"/>
  <c r="DH47" i="29"/>
  <c r="DL47" i="29" s="1"/>
  <c r="FU46" i="29"/>
  <c r="FT46" i="29"/>
  <c r="FS46" i="29"/>
  <c r="FR46" i="29"/>
  <c r="FQ46" i="29"/>
  <c r="FV46" i="29" s="1"/>
  <c r="GA46" i="29" s="1"/>
  <c r="DS46" i="29"/>
  <c r="DW46" i="29" s="1"/>
  <c r="DN46" i="29"/>
  <c r="DR46" i="29" s="1"/>
  <c r="DH46" i="29"/>
  <c r="DL46" i="29" s="1"/>
  <c r="CK37" i="29"/>
  <c r="BK37" i="29"/>
  <c r="AL37" i="29"/>
  <c r="FU36" i="29"/>
  <c r="FT36" i="29"/>
  <c r="FS36" i="29"/>
  <c r="FR36" i="29"/>
  <c r="FQ36" i="29"/>
  <c r="FV36" i="29" s="1"/>
  <c r="GA36" i="29" s="1"/>
  <c r="CK36" i="29"/>
  <c r="AL36" i="29"/>
  <c r="FU35" i="29"/>
  <c r="FT35" i="29"/>
  <c r="FS35" i="29"/>
  <c r="FR35" i="29"/>
  <c r="FQ35" i="29"/>
  <c r="FV35" i="29" s="1"/>
  <c r="GA35" i="29" s="1"/>
  <c r="EY35" i="29"/>
  <c r="EX35" i="29"/>
  <c r="AL35" i="29"/>
  <c r="FU34" i="29"/>
  <c r="FT34" i="29"/>
  <c r="FS34" i="29"/>
  <c r="FR34" i="29"/>
  <c r="FQ34" i="29"/>
  <c r="FV34" i="29" s="1"/>
  <c r="GA34" i="29" s="1"/>
  <c r="EY34" i="29"/>
  <c r="EX34" i="29"/>
  <c r="BK34" i="29"/>
  <c r="BB34" i="29"/>
  <c r="AL34" i="29"/>
  <c r="FU33" i="29"/>
  <c r="FT33" i="29"/>
  <c r="FS33" i="29"/>
  <c r="FR33" i="29"/>
  <c r="FQ33" i="29"/>
  <c r="FV33" i="29" s="1"/>
  <c r="GA33" i="29" s="1"/>
  <c r="EY33" i="29"/>
  <c r="EX33" i="29"/>
  <c r="FU32" i="29"/>
  <c r="FT32" i="29"/>
  <c r="FS32" i="29"/>
  <c r="FR32" i="29"/>
  <c r="FQ32" i="29"/>
  <c r="FV32" i="29" s="1"/>
  <c r="GA32" i="29" s="1"/>
  <c r="EY32" i="29"/>
  <c r="EX32" i="29"/>
  <c r="CK32" i="29"/>
  <c r="BK32" i="29"/>
  <c r="BB32" i="29"/>
  <c r="AL32" i="29"/>
  <c r="FU31" i="29"/>
  <c r="FT31" i="29"/>
  <c r="FS31" i="29"/>
  <c r="FR31" i="29"/>
  <c r="FQ31" i="29"/>
  <c r="FV31" i="29" s="1"/>
  <c r="GA31" i="29" s="1"/>
  <c r="EY31" i="29"/>
  <c r="EX31" i="29"/>
  <c r="BK31" i="29"/>
  <c r="BB31" i="29"/>
  <c r="AL31" i="29"/>
  <c r="FU30" i="29"/>
  <c r="FT30" i="29"/>
  <c r="FS30" i="29"/>
  <c r="FR30" i="29"/>
  <c r="FQ30" i="29"/>
  <c r="FV30" i="29" s="1"/>
  <c r="GA30" i="29" s="1"/>
  <c r="EY30" i="29"/>
  <c r="EX30" i="29"/>
  <c r="CK30" i="29"/>
  <c r="BK30" i="29"/>
  <c r="BB30" i="29"/>
  <c r="AL30" i="29"/>
  <c r="F30" i="29"/>
  <c r="E30" i="29"/>
  <c r="FU29" i="29"/>
  <c r="FT29" i="29"/>
  <c r="FS29" i="29"/>
  <c r="FR29" i="29"/>
  <c r="FQ29" i="29"/>
  <c r="FV29" i="29" s="1"/>
  <c r="GA29" i="29" s="1"/>
  <c r="EY29" i="29"/>
  <c r="EX29" i="29"/>
  <c r="CK29" i="29"/>
  <c r="BK29" i="29"/>
  <c r="BB29" i="29"/>
  <c r="AL29" i="29"/>
  <c r="F29" i="29"/>
  <c r="E29" i="29"/>
  <c r="FU28" i="29"/>
  <c r="FT28" i="29"/>
  <c r="FS28" i="29"/>
  <c r="FR28" i="29"/>
  <c r="FQ28" i="29"/>
  <c r="FV28" i="29" s="1"/>
  <c r="GA28" i="29" s="1"/>
  <c r="EY28" i="29"/>
  <c r="EX28" i="29"/>
  <c r="DH28" i="29"/>
  <c r="FU27" i="29"/>
  <c r="FT27" i="29"/>
  <c r="FS27" i="29"/>
  <c r="FR27" i="29"/>
  <c r="FQ27" i="29"/>
  <c r="FV27" i="29" s="1"/>
  <c r="GA27" i="29" s="1"/>
  <c r="EY27" i="29"/>
  <c r="EX27" i="29"/>
  <c r="CK27" i="29"/>
  <c r="BK27" i="29"/>
  <c r="BB27" i="29"/>
  <c r="AL27" i="29"/>
  <c r="FU26" i="29"/>
  <c r="FT26" i="29"/>
  <c r="FS26" i="29"/>
  <c r="FR26" i="29"/>
  <c r="FQ26" i="29"/>
  <c r="FV26" i="29" s="1"/>
  <c r="GA26" i="29" s="1"/>
  <c r="EY26" i="29"/>
  <c r="EX26" i="29"/>
  <c r="CK26" i="29"/>
  <c r="BK26" i="29"/>
  <c r="AL26" i="29"/>
  <c r="E26" i="29"/>
  <c r="FU25" i="29"/>
  <c r="FT25" i="29"/>
  <c r="FS25" i="29"/>
  <c r="FR25" i="29"/>
  <c r="FQ25" i="29"/>
  <c r="FV25" i="29" s="1"/>
  <c r="GA25" i="29" s="1"/>
  <c r="EY25" i="29"/>
  <c r="EX25" i="29"/>
  <c r="CK25" i="29"/>
  <c r="BK25" i="29"/>
  <c r="BB25" i="29"/>
  <c r="AL25" i="29"/>
  <c r="E25" i="29"/>
  <c r="IL24" i="29"/>
  <c r="IK24" i="29"/>
  <c r="IJ24" i="29"/>
  <c r="II24" i="29"/>
  <c r="IH24" i="29"/>
  <c r="FU24" i="29"/>
  <c r="FT24" i="29"/>
  <c r="FS24" i="29"/>
  <c r="FR24" i="29"/>
  <c r="FQ24" i="29"/>
  <c r="FV24" i="29" s="1"/>
  <c r="GA24" i="29" s="1"/>
  <c r="EY24" i="29"/>
  <c r="EX24" i="29"/>
  <c r="CK24" i="29"/>
  <c r="BK24" i="29"/>
  <c r="AL24" i="29"/>
  <c r="E24" i="29"/>
  <c r="FU23" i="29"/>
  <c r="FT23" i="29"/>
  <c r="FS23" i="29"/>
  <c r="FR23" i="29"/>
  <c r="FQ23" i="29"/>
  <c r="FV23" i="29" s="1"/>
  <c r="GA23" i="29" s="1"/>
  <c r="EY23" i="29"/>
  <c r="EX23" i="29"/>
  <c r="CK23" i="29"/>
  <c r="BK23" i="29"/>
  <c r="BB23" i="29"/>
  <c r="AL23" i="29"/>
  <c r="JE22" i="29"/>
  <c r="JF22" i="29" s="1"/>
  <c r="JF27" i="29" s="1"/>
  <c r="EY22" i="29"/>
  <c r="EX22" i="29"/>
  <c r="DS20" i="29"/>
  <c r="DW20" i="29" s="1"/>
  <c r="DN20" i="29"/>
  <c r="DR20" i="29" s="1"/>
  <c r="DH20" i="29"/>
  <c r="DL20" i="29" s="1"/>
  <c r="DS19" i="29"/>
  <c r="DW19" i="29" s="1"/>
  <c r="DN19" i="29"/>
  <c r="DR19" i="29" s="1"/>
  <c r="DH19" i="29"/>
  <c r="DL19" i="29" s="1"/>
  <c r="IK18" i="29"/>
  <c r="IL18" i="29" s="1"/>
  <c r="IJ18" i="29"/>
  <c r="II18" i="29"/>
  <c r="IH18" i="29"/>
  <c r="DS18" i="29"/>
  <c r="DW18" i="29" s="1"/>
  <c r="DN18" i="29"/>
  <c r="DR18" i="29" s="1"/>
  <c r="DH18" i="29"/>
  <c r="DL18" i="29" s="1"/>
  <c r="JE17" i="29"/>
  <c r="JF17" i="29" s="1"/>
  <c r="HI17" i="29"/>
  <c r="HD17" i="29" s="1"/>
  <c r="DS17" i="29"/>
  <c r="DW17" i="29" s="1"/>
  <c r="DN17" i="29"/>
  <c r="DR17" i="29" s="1"/>
  <c r="DH17" i="29"/>
  <c r="DL17" i="29" s="1"/>
  <c r="AL17" i="29"/>
  <c r="HI16" i="29"/>
  <c r="HD16" i="29" s="1"/>
  <c r="FU16" i="29"/>
  <c r="FT16" i="29"/>
  <c r="FS16" i="29"/>
  <c r="FR16" i="29"/>
  <c r="FQ16" i="29"/>
  <c r="FV16" i="29" s="1"/>
  <c r="GA16" i="29" s="1"/>
  <c r="DS16" i="29"/>
  <c r="DW16" i="29" s="1"/>
  <c r="DN16" i="29"/>
  <c r="DR16" i="29" s="1"/>
  <c r="DH16" i="29"/>
  <c r="DL16" i="29" s="1"/>
  <c r="AL16" i="29"/>
  <c r="HI15" i="29"/>
  <c r="HD15" i="29" s="1"/>
  <c r="FU15" i="29"/>
  <c r="FT15" i="29"/>
  <c r="FS15" i="29"/>
  <c r="FR15" i="29"/>
  <c r="FQ15" i="29"/>
  <c r="FV15" i="29" s="1"/>
  <c r="GA15" i="29" s="1"/>
  <c r="EZ15" i="29"/>
  <c r="EU15" i="29" s="1"/>
  <c r="DS15" i="29"/>
  <c r="DW15" i="29" s="1"/>
  <c r="DN15" i="29"/>
  <c r="DR15" i="29" s="1"/>
  <c r="DH15" i="29"/>
  <c r="DL15" i="29" s="1"/>
  <c r="AL15" i="29"/>
  <c r="KB14" i="29"/>
  <c r="KC14" i="29" s="1"/>
  <c r="KE14" i="29" s="1"/>
  <c r="HI14" i="29"/>
  <c r="HD14" i="29" s="1"/>
  <c r="FU14" i="29"/>
  <c r="FT14" i="29"/>
  <c r="FS14" i="29"/>
  <c r="FR14" i="29"/>
  <c r="FQ14" i="29"/>
  <c r="FV14" i="29" s="1"/>
  <c r="GA14" i="29" s="1"/>
  <c r="EZ14" i="29"/>
  <c r="EU14" i="29" s="1"/>
  <c r="DB14" i="29"/>
  <c r="DH14" i="29" s="1"/>
  <c r="DL14" i="29" s="1"/>
  <c r="LK13" i="29"/>
  <c r="KB13" i="29"/>
  <c r="KC13" i="29" s="1"/>
  <c r="KE13" i="29" s="1"/>
  <c r="HI13" i="29"/>
  <c r="HD13" i="29" s="1"/>
  <c r="FU13" i="29"/>
  <c r="FT13" i="29"/>
  <c r="FS13" i="29"/>
  <c r="FR13" i="29"/>
  <c r="FQ13" i="29"/>
  <c r="FV13" i="29" s="1"/>
  <c r="GA13" i="29" s="1"/>
  <c r="EZ13" i="29"/>
  <c r="EU13" i="29" s="1"/>
  <c r="DB13" i="29"/>
  <c r="DN13" i="29" s="1"/>
  <c r="DR13" i="29" s="1"/>
  <c r="AL13" i="29"/>
  <c r="LK12" i="29"/>
  <c r="KB12" i="29"/>
  <c r="KC12" i="29" s="1"/>
  <c r="KE12" i="29" s="1"/>
  <c r="HI12" i="29"/>
  <c r="HD12" i="29" s="1"/>
  <c r="FU12" i="29"/>
  <c r="FT12" i="29"/>
  <c r="FS12" i="29"/>
  <c r="FR12" i="29"/>
  <c r="FQ12" i="29"/>
  <c r="FV12" i="29" s="1"/>
  <c r="GA12" i="29" s="1"/>
  <c r="EZ12" i="29"/>
  <c r="EU12" i="29" s="1"/>
  <c r="DB12" i="29"/>
  <c r="DN12" i="29" s="1"/>
  <c r="DR12" i="29" s="1"/>
  <c r="AL12" i="29"/>
  <c r="T12" i="29"/>
  <c r="M12" i="29"/>
  <c r="F12" i="29"/>
  <c r="LK11" i="29"/>
  <c r="KB11" i="29"/>
  <c r="KC11" i="29" s="1"/>
  <c r="KE11" i="29" s="1"/>
  <c r="HI11" i="29"/>
  <c r="HD11" i="29" s="1"/>
  <c r="FU11" i="29"/>
  <c r="FT11" i="29"/>
  <c r="FS11" i="29"/>
  <c r="FR11" i="29"/>
  <c r="FQ11" i="29"/>
  <c r="FV11" i="29" s="1"/>
  <c r="GA11" i="29" s="1"/>
  <c r="EZ11" i="29"/>
  <c r="EU11" i="29" s="1"/>
  <c r="DB11" i="29"/>
  <c r="AL11" i="29"/>
  <c r="AC11" i="29"/>
  <c r="T11" i="29"/>
  <c r="M11" i="29"/>
  <c r="F11" i="29"/>
  <c r="LK10" i="29"/>
  <c r="KB10" i="29"/>
  <c r="KC10" i="29" s="1"/>
  <c r="KE10" i="29" s="1"/>
  <c r="IK10" i="29"/>
  <c r="IJ10" i="29"/>
  <c r="II10" i="29"/>
  <c r="IH10" i="29"/>
  <c r="HI10" i="29"/>
  <c r="HD10" i="29" s="1"/>
  <c r="FU10" i="29"/>
  <c r="FT10" i="29"/>
  <c r="FS10" i="29"/>
  <c r="FR10" i="29"/>
  <c r="FQ10" i="29"/>
  <c r="FV10" i="29" s="1"/>
  <c r="GA10" i="29" s="1"/>
  <c r="EZ10" i="29"/>
  <c r="EU10" i="29" s="1"/>
  <c r="DB10" i="29"/>
  <c r="AL10" i="29"/>
  <c r="KB9" i="29"/>
  <c r="KC9" i="29" s="1"/>
  <c r="KE9" i="29" s="1"/>
  <c r="JI9" i="29"/>
  <c r="JH9" i="29"/>
  <c r="JG9" i="29"/>
  <c r="JF9" i="29"/>
  <c r="HI9" i="29"/>
  <c r="HD9" i="29" s="1"/>
  <c r="GU9" i="29"/>
  <c r="GT9" i="29"/>
  <c r="GS9" i="29"/>
  <c r="GR9" i="29"/>
  <c r="GQ9" i="29"/>
  <c r="FU9" i="29"/>
  <c r="FT9" i="29"/>
  <c r="FS9" i="29"/>
  <c r="FR9" i="29"/>
  <c r="FQ9" i="29"/>
  <c r="FV9" i="29" s="1"/>
  <c r="GA9" i="29" s="1"/>
  <c r="EZ9" i="29"/>
  <c r="EU9" i="29" s="1"/>
  <c r="DB9" i="29"/>
  <c r="KB8" i="29"/>
  <c r="KC8" i="29" s="1"/>
  <c r="KE8" i="29" s="1"/>
  <c r="HI8" i="29"/>
  <c r="HD8" i="29" s="1"/>
  <c r="FU8" i="29"/>
  <c r="FT8" i="29"/>
  <c r="FS8" i="29"/>
  <c r="FR8" i="29"/>
  <c r="FQ8" i="29"/>
  <c r="FV8" i="29" s="1"/>
  <c r="GA8" i="29" s="1"/>
  <c r="EZ8" i="29"/>
  <c r="EU8" i="29" s="1"/>
  <c r="DB8" i="29"/>
  <c r="DN8" i="29" s="1"/>
  <c r="DR8" i="29" s="1"/>
  <c r="AL8" i="29"/>
  <c r="KB7" i="29"/>
  <c r="KC7" i="29" s="1"/>
  <c r="KE7" i="29" s="1"/>
  <c r="HI7" i="29"/>
  <c r="HD7" i="29" s="1"/>
  <c r="FU7" i="29"/>
  <c r="FT7" i="29"/>
  <c r="FS7" i="29"/>
  <c r="FR7" i="29"/>
  <c r="FQ7" i="29"/>
  <c r="FV7" i="29" s="1"/>
  <c r="GA7" i="29" s="1"/>
  <c r="EZ7" i="29"/>
  <c r="EU7" i="29" s="1"/>
  <c r="DB7" i="29"/>
  <c r="DN7" i="29" s="1"/>
  <c r="DR7" i="29" s="1"/>
  <c r="AL7" i="29"/>
  <c r="KB6" i="29"/>
  <c r="KC6" i="29" s="1"/>
  <c r="KE6" i="29" s="1"/>
  <c r="HI6" i="29"/>
  <c r="HD6" i="29" s="1"/>
  <c r="FU6" i="29"/>
  <c r="FT6" i="29"/>
  <c r="FS6" i="29"/>
  <c r="FR6" i="29"/>
  <c r="FQ6" i="29"/>
  <c r="FV6" i="29" s="1"/>
  <c r="GA6" i="29" s="1"/>
  <c r="EZ6" i="29"/>
  <c r="EU6" i="29" s="1"/>
  <c r="DB6" i="29"/>
  <c r="DS6" i="29" s="1"/>
  <c r="DW6" i="29" s="1"/>
  <c r="AL6" i="29"/>
  <c r="KB5" i="29"/>
  <c r="KC5" i="29" s="1"/>
  <c r="KE5" i="29" s="1"/>
  <c r="HI5" i="29"/>
  <c r="HD5" i="29" s="1"/>
  <c r="FU5" i="29"/>
  <c r="FT5" i="29"/>
  <c r="FS5" i="29"/>
  <c r="FR5" i="29"/>
  <c r="FQ5" i="29"/>
  <c r="FV5" i="29" s="1"/>
  <c r="GA5" i="29" s="1"/>
  <c r="EZ5" i="29"/>
  <c r="EU5" i="29" s="1"/>
  <c r="DB5" i="29"/>
  <c r="DN5" i="29" s="1"/>
  <c r="DR5" i="29" s="1"/>
  <c r="AL5" i="29"/>
  <c r="AC5" i="29"/>
  <c r="KB4" i="29"/>
  <c r="KC4" i="29" s="1"/>
  <c r="KE4" i="29" s="1"/>
  <c r="IJ4" i="29"/>
  <c r="IK4" i="29" s="1"/>
  <c r="II4" i="29"/>
  <c r="IH4" i="29"/>
  <c r="HI4" i="29"/>
  <c r="HD4" i="29" s="1"/>
  <c r="GU4" i="29"/>
  <c r="GT4" i="29"/>
  <c r="GS4" i="29"/>
  <c r="GR4" i="29"/>
  <c r="GQ4" i="29"/>
  <c r="FU4" i="29"/>
  <c r="FT4" i="29"/>
  <c r="FS4" i="29"/>
  <c r="FR4" i="29"/>
  <c r="FQ4" i="29"/>
  <c r="FV4" i="29" s="1"/>
  <c r="GA4" i="29" s="1"/>
  <c r="EZ4" i="29"/>
  <c r="EU4" i="29" s="1"/>
  <c r="AL4" i="29"/>
  <c r="LL3" i="29"/>
  <c r="LJ3" i="29" s="1"/>
  <c r="LE3" i="29"/>
  <c r="LB3" i="29"/>
  <c r="KB3" i="29"/>
  <c r="KC3" i="29" s="1"/>
  <c r="KE3" i="29" s="1"/>
  <c r="JI3" i="29"/>
  <c r="JH3" i="29"/>
  <c r="JG3" i="29"/>
  <c r="JF3" i="29"/>
  <c r="HI3" i="29"/>
  <c r="HD3" i="29" s="1"/>
  <c r="FU3" i="29"/>
  <c r="FT3" i="29"/>
  <c r="FS3" i="29"/>
  <c r="FR3" i="29"/>
  <c r="FQ3" i="29"/>
  <c r="FV3" i="29" s="1"/>
  <c r="GA3" i="29" s="1"/>
  <c r="EZ3" i="29"/>
  <c r="EU3" i="29" s="1"/>
  <c r="KB2" i="29"/>
  <c r="KC2" i="29" s="1"/>
  <c r="KE2" i="29" s="1"/>
  <c r="HI2" i="29"/>
  <c r="HD2" i="29" s="1"/>
  <c r="EZ2" i="29"/>
  <c r="EU2" i="29" s="1"/>
  <c r="EV25" i="29" l="1"/>
  <c r="LD20" i="29"/>
  <c r="FO54" i="29"/>
  <c r="LD17" i="29"/>
  <c r="EV24" i="29"/>
  <c r="EV26" i="29"/>
  <c r="DW140" i="29"/>
  <c r="DY140" i="29" s="1"/>
  <c r="DW154" i="29"/>
  <c r="DY154" i="29" s="1"/>
  <c r="LD12" i="29"/>
  <c r="EV34" i="29"/>
  <c r="FO101" i="29"/>
  <c r="EV27" i="29"/>
  <c r="DS12" i="29"/>
  <c r="DW12" i="29" s="1"/>
  <c r="DN14" i="29"/>
  <c r="DR14" i="29" s="1"/>
  <c r="LD18" i="29"/>
  <c r="EV28" i="29"/>
  <c r="EV29" i="29"/>
  <c r="EV33" i="29"/>
  <c r="FO79" i="29"/>
  <c r="FO92" i="29"/>
  <c r="FO3" i="29"/>
  <c r="FO103" i="29"/>
  <c r="LD14" i="29"/>
  <c r="FO16" i="29"/>
  <c r="FO35" i="29"/>
  <c r="DW150" i="29"/>
  <c r="DY150" i="29" s="1"/>
  <c r="DH8" i="29"/>
  <c r="DL8" i="29" s="1"/>
  <c r="FO11" i="29"/>
  <c r="EV23" i="29"/>
  <c r="FO31" i="29"/>
  <c r="DT145" i="29"/>
  <c r="DW156" i="29"/>
  <c r="DY156" i="29" s="1"/>
  <c r="IF18" i="29"/>
  <c r="DW148" i="29"/>
  <c r="DY148" i="29" s="1"/>
  <c r="DT149" i="29"/>
  <c r="DT151" i="29"/>
  <c r="FO26" i="29"/>
  <c r="DS7" i="29"/>
  <c r="DW7" i="29" s="1"/>
  <c r="IF10" i="29"/>
  <c r="LD10" i="29"/>
  <c r="FO49" i="29"/>
  <c r="FO68" i="29"/>
  <c r="EV32" i="29"/>
  <c r="DT152" i="29"/>
  <c r="LC3" i="29"/>
  <c r="EV22" i="29"/>
  <c r="DN9" i="29"/>
  <c r="DR9" i="29" s="1"/>
  <c r="GO9" i="29"/>
  <c r="DH12" i="29"/>
  <c r="DL12" i="29" s="1"/>
  <c r="FO5" i="29"/>
  <c r="FO8" i="29"/>
  <c r="FO9" i="29"/>
  <c r="LD19" i="29"/>
  <c r="FO57" i="29"/>
  <c r="FO67" i="29"/>
  <c r="FO75" i="29"/>
  <c r="FO93" i="29"/>
  <c r="FO100" i="29"/>
  <c r="FO102" i="29"/>
  <c r="DW136" i="29"/>
  <c r="DY136" i="29" s="1"/>
  <c r="DT138" i="29"/>
  <c r="DT155" i="29"/>
  <c r="FO6" i="29"/>
  <c r="IF24" i="29"/>
  <c r="DB27" i="29"/>
  <c r="FO33" i="29"/>
  <c r="FO48" i="29"/>
  <c r="FO74" i="29"/>
  <c r="FO78" i="29"/>
  <c r="FO94" i="29"/>
  <c r="JD9" i="29"/>
  <c r="FO47" i="29"/>
  <c r="FO97" i="29"/>
  <c r="DB21" i="29"/>
  <c r="DS21" i="29" s="1"/>
  <c r="DW21" i="29" s="1"/>
  <c r="DH9" i="29"/>
  <c r="DL9" i="29" s="1"/>
  <c r="LD11" i="29"/>
  <c r="FO14" i="29"/>
  <c r="FO29" i="29"/>
  <c r="FO55" i="29"/>
  <c r="FO96" i="29"/>
  <c r="FO104" i="29"/>
  <c r="DW141" i="29"/>
  <c r="DY141" i="29" s="1"/>
  <c r="DT142" i="29"/>
  <c r="GO4" i="29"/>
  <c r="FO30" i="29"/>
  <c r="FO59" i="29"/>
  <c r="FO70" i="29"/>
  <c r="FO73" i="29"/>
  <c r="FO95" i="29"/>
  <c r="JD3" i="29"/>
  <c r="IF4" i="29"/>
  <c r="DH6" i="29"/>
  <c r="DL6" i="29" s="1"/>
  <c r="FO10" i="29"/>
  <c r="LD15" i="29"/>
  <c r="LD16" i="29"/>
  <c r="FO25" i="29"/>
  <c r="FO46" i="29"/>
  <c r="FO51" i="29"/>
  <c r="FO56" i="29"/>
  <c r="FO58" i="29"/>
  <c r="FO69" i="29"/>
  <c r="FO72" i="29"/>
  <c r="FO80" i="29"/>
  <c r="FO99" i="29"/>
  <c r="Q308" i="29"/>
  <c r="I311" i="29" s="1"/>
  <c r="FO4" i="29"/>
  <c r="DN10" i="29"/>
  <c r="DR10" i="29" s="1"/>
  <c r="DH10" i="29"/>
  <c r="DL10" i="29" s="1"/>
  <c r="DS10" i="29"/>
  <c r="DW10" i="29" s="1"/>
  <c r="FO24" i="29"/>
  <c r="FO98" i="29"/>
  <c r="DW139" i="29"/>
  <c r="DY139" i="29" s="1"/>
  <c r="DH5" i="29"/>
  <c r="DL5" i="29" s="1"/>
  <c r="DN6" i="29"/>
  <c r="DR6" i="29" s="1"/>
  <c r="FO13" i="29"/>
  <c r="FO15" i="29"/>
  <c r="FO28" i="29"/>
  <c r="FO32" i="29"/>
  <c r="FO53" i="29"/>
  <c r="FO71" i="29"/>
  <c r="FO77" i="29"/>
  <c r="DT144" i="29"/>
  <c r="DW143" i="29"/>
  <c r="DY143" i="29" s="1"/>
  <c r="DT143" i="29"/>
  <c r="DH11" i="29"/>
  <c r="DL11" i="29" s="1"/>
  <c r="DT146" i="29"/>
  <c r="DH7" i="29"/>
  <c r="DL7" i="29" s="1"/>
  <c r="FO36" i="29"/>
  <c r="FO50" i="29"/>
  <c r="FO52" i="29"/>
  <c r="FO76" i="29"/>
  <c r="FO91" i="29"/>
  <c r="DW153" i="29"/>
  <c r="DY153" i="29" s="1"/>
  <c r="DT153" i="29"/>
  <c r="DS5" i="29"/>
  <c r="DW5" i="29" s="1"/>
  <c r="DT134" i="29"/>
  <c r="DW137" i="29"/>
  <c r="DY137" i="29" s="1"/>
  <c r="DT137" i="29"/>
  <c r="DN11" i="29"/>
  <c r="DR11" i="29" s="1"/>
  <c r="DS11" i="29"/>
  <c r="DW11" i="29" s="1"/>
  <c r="DH13" i="29"/>
  <c r="DL13" i="29" s="1"/>
  <c r="FO7" i="29"/>
  <c r="FO12" i="29"/>
  <c r="DS13" i="29"/>
  <c r="DW13" i="29" s="1"/>
  <c r="LD13" i="29"/>
  <c r="FO23" i="29"/>
  <c r="FO27" i="29"/>
  <c r="EV30" i="29"/>
  <c r="EV31" i="29"/>
  <c r="FO34" i="29"/>
  <c r="EV35" i="29"/>
  <c r="DW135" i="29"/>
  <c r="DY135" i="29" s="1"/>
  <c r="DT135" i="29"/>
  <c r="DW147" i="29"/>
  <c r="DY147" i="29" s="1"/>
  <c r="DT147" i="29"/>
  <c r="DS9" i="29"/>
  <c r="DW9" i="29" s="1"/>
  <c r="DS14" i="29"/>
  <c r="DW14" i="29" s="1"/>
  <c r="DS8" i="29"/>
  <c r="DW8" i="29" s="1"/>
  <c r="DN21" i="29" l="1"/>
  <c r="DR21" i="29" s="1"/>
  <c r="DN27" i="29"/>
  <c r="DR27" i="29" s="1"/>
  <c r="DS27" i="29"/>
  <c r="DW27" i="29" s="1"/>
  <c r="DH27" i="29"/>
  <c r="DL27" i="29" s="1"/>
  <c r="FO82" i="29"/>
  <c r="FO18" i="29"/>
  <c r="DH21" i="29"/>
  <c r="DL21" i="29" s="1"/>
  <c r="DB22" i="29"/>
  <c r="FO61" i="29"/>
  <c r="FO38" i="29"/>
  <c r="FO106" i="29"/>
  <c r="DS22" i="29" l="1"/>
  <c r="DW22" i="29" s="1"/>
  <c r="DN22" i="29"/>
  <c r="DR22" i="29" s="1"/>
  <c r="DH22" i="29"/>
  <c r="DL22" i="29" s="1"/>
  <c r="DB23" i="29"/>
  <c r="DN23" i="29" l="1"/>
  <c r="DR23" i="29" s="1"/>
  <c r="DH23" i="29"/>
  <c r="DL23" i="29" s="1"/>
  <c r="DS23" i="29"/>
  <c r="DW23" i="29" s="1"/>
  <c r="DB24" i="29"/>
  <c r="DS24" i="29" l="1"/>
  <c r="DW24" i="29" s="1"/>
  <c r="DB25" i="29"/>
  <c r="DN24" i="29"/>
  <c r="DR24" i="29" s="1"/>
  <c r="DH24" i="29"/>
  <c r="DL24" i="29" s="1"/>
  <c r="E96" i="28"/>
  <c r="E97" i="28" s="1"/>
  <c r="I95" i="28"/>
  <c r="G98" i="28" s="1"/>
  <c r="H98" i="28" s="1"/>
  <c r="H99" i="28" s="1"/>
  <c r="F94" i="28"/>
  <c r="F95" i="28" s="1"/>
  <c r="D98" i="28" s="1"/>
  <c r="E98" i="28" s="1"/>
  <c r="I85" i="28"/>
  <c r="H85" i="28"/>
  <c r="H73" i="28"/>
  <c r="H72" i="28"/>
  <c r="H71" i="28"/>
  <c r="H70" i="28"/>
  <c r="H69" i="28"/>
  <c r="H68" i="28"/>
  <c r="H67" i="28"/>
  <c r="H66" i="28"/>
  <c r="H65" i="28"/>
  <c r="H64" i="28"/>
  <c r="H63" i="28"/>
  <c r="H62" i="28"/>
  <c r="H61" i="28"/>
  <c r="H60" i="28"/>
  <c r="H59" i="28"/>
  <c r="H58" i="28"/>
  <c r="H57" i="28"/>
  <c r="H56" i="28"/>
  <c r="H55" i="28"/>
  <c r="H54" i="28"/>
  <c r="H53" i="28"/>
  <c r="H52" i="28"/>
  <c r="H51" i="28"/>
  <c r="H50" i="28"/>
  <c r="H49" i="28"/>
  <c r="H48" i="28"/>
  <c r="H47" i="28"/>
  <c r="H46" i="28"/>
  <c r="H45" i="28"/>
  <c r="H44" i="28"/>
  <c r="H43" i="28"/>
  <c r="H42" i="28"/>
  <c r="H41" i="28"/>
  <c r="H40" i="28"/>
  <c r="H39" i="28"/>
  <c r="H38" i="28"/>
  <c r="H37" i="28"/>
  <c r="H36" i="28"/>
  <c r="H35" i="28"/>
  <c r="H34" i="28"/>
  <c r="H33" i="28"/>
  <c r="H32" i="28"/>
  <c r="H31" i="28"/>
  <c r="H30" i="28"/>
  <c r="H29" i="28"/>
  <c r="H28" i="28"/>
  <c r="H27" i="28"/>
  <c r="H26" i="28"/>
  <c r="H25" i="28"/>
  <c r="H24" i="28"/>
  <c r="H23" i="28"/>
  <c r="H22" i="28"/>
  <c r="H21" i="28"/>
  <c r="H20" i="28"/>
  <c r="H19" i="28"/>
  <c r="H18" i="28"/>
  <c r="H17" i="28"/>
  <c r="H16" i="28"/>
  <c r="H15" i="28"/>
  <c r="H14" i="28"/>
  <c r="H13" i="28"/>
  <c r="H12" i="28"/>
  <c r="H11" i="28"/>
  <c r="H10" i="28"/>
  <c r="H9" i="28"/>
  <c r="H8" i="28"/>
  <c r="H7" i="28"/>
  <c r="E3" i="28"/>
  <c r="DS25" i="29" l="1"/>
  <c r="DW25" i="29" s="1"/>
  <c r="DB26" i="29"/>
  <c r="DN25" i="29"/>
  <c r="DR25" i="29" s="1"/>
  <c r="DH25" i="29"/>
  <c r="DL25" i="29" s="1"/>
  <c r="H74" i="28"/>
  <c r="H96" i="28" s="1"/>
  <c r="E99" i="28"/>
  <c r="E100" i="28" s="1"/>
  <c r="E101" i="28"/>
  <c r="DN26" i="29" l="1"/>
  <c r="DR26" i="29" s="1"/>
  <c r="DS26" i="29"/>
  <c r="DW26" i="29" s="1"/>
  <c r="DH26" i="29"/>
  <c r="DL26" i="29" s="1"/>
  <c r="E102" i="28"/>
  <c r="E104" i="28" s="1"/>
  <c r="E105" i="28" s="1"/>
  <c r="H97" i="28"/>
  <c r="H100" i="28" s="1"/>
  <c r="B104" i="28"/>
  <c r="B105" i="28" s="1"/>
  <c r="H101" i="28"/>
  <c r="B106" i="28" s="1"/>
  <c r="B107" i="28" s="1"/>
  <c r="E106" i="28" l="1"/>
  <c r="E107" i="28" s="1"/>
  <c r="H102" i="28"/>
  <c r="H104" i="28" l="1"/>
  <c r="H105" i="28" s="1"/>
  <c r="H106" i="28"/>
  <c r="H107" i="28" s="1"/>
  <c r="D41" i="26" l="1"/>
  <c r="D40" i="26"/>
  <c r="D39" i="26"/>
  <c r="D38" i="26"/>
  <c r="D37" i="26"/>
  <c r="D36" i="26"/>
  <c r="D35" i="26"/>
  <c r="D34" i="26"/>
  <c r="D33" i="26"/>
  <c r="D32" i="26"/>
  <c r="D31" i="26"/>
  <c r="D30" i="26"/>
  <c r="D29" i="26"/>
  <c r="D28" i="26"/>
  <c r="D27" i="26"/>
  <c r="D26" i="26"/>
  <c r="D25" i="26"/>
  <c r="D24" i="26"/>
  <c r="D23" i="26"/>
  <c r="D22" i="26"/>
  <c r="D21" i="26"/>
  <c r="D20" i="26"/>
  <c r="D19" i="26"/>
  <c r="D18" i="26"/>
  <c r="D17" i="26"/>
  <c r="D16" i="26"/>
  <c r="D15" i="26"/>
  <c r="D14" i="26"/>
  <c r="D13" i="26"/>
  <c r="D12" i="26"/>
  <c r="D11" i="26"/>
  <c r="D10" i="26"/>
  <c r="D9" i="26"/>
  <c r="D8" i="26"/>
  <c r="D7" i="26"/>
  <c r="D6" i="26"/>
  <c r="D5" i="26"/>
  <c r="D4" i="26"/>
  <c r="D3" i="26"/>
  <c r="D2" i="26"/>
  <c r="O27" i="12" l="1"/>
  <c r="O26" i="12"/>
  <c r="O24" i="12"/>
  <c r="O23" i="12"/>
  <c r="O22" i="12"/>
  <c r="O18" i="12"/>
  <c r="O17" i="12"/>
  <c r="X17" i="12"/>
  <c r="X18" i="12"/>
  <c r="X16" i="12"/>
  <c r="X10" i="12"/>
  <c r="X9" i="12"/>
  <c r="X7" i="12"/>
  <c r="X6" i="12"/>
  <c r="X5" i="12"/>
  <c r="O15" i="24"/>
  <c r="O12" i="24"/>
  <c r="F12" i="24"/>
  <c r="O26" i="23"/>
  <c r="F9" i="23"/>
  <c r="O24" i="23"/>
  <c r="O23" i="23"/>
  <c r="O22" i="23"/>
  <c r="O20" i="23"/>
  <c r="F7" i="23"/>
  <c r="F5" i="23"/>
  <c r="F39" i="12"/>
  <c r="F40" i="12"/>
  <c r="F45" i="12"/>
  <c r="O15" i="12"/>
  <c r="F6" i="12"/>
  <c r="F12" i="12"/>
  <c r="F14" i="12"/>
  <c r="F15" i="12"/>
  <c r="F7" i="12"/>
  <c r="O16" i="12"/>
  <c r="F16" i="12"/>
  <c r="O29" i="12"/>
  <c r="O28" i="12"/>
  <c r="F11" i="12"/>
  <c r="X17" i="23"/>
  <c r="X7" i="23"/>
  <c r="O6" i="23"/>
  <c r="F4" i="23"/>
  <c r="F3" i="23"/>
  <c r="O29" i="24"/>
  <c r="F10" i="24"/>
  <c r="O8" i="24"/>
  <c r="F8" i="24"/>
  <c r="O7" i="24"/>
  <c r="F7" i="24"/>
  <c r="F6" i="24"/>
  <c r="F23" i="24"/>
  <c r="M91" i="21"/>
  <c r="T64" i="21"/>
  <c r="M64" i="21"/>
  <c r="F64" i="21"/>
  <c r="T48" i="21"/>
  <c r="M48" i="21"/>
  <c r="F48" i="21"/>
  <c r="T29" i="21"/>
  <c r="M29" i="21"/>
  <c r="F29" i="21"/>
  <c r="T13" i="21"/>
  <c r="M13" i="21"/>
  <c r="F13" i="21"/>
  <c r="T12" i="21"/>
  <c r="M12" i="21"/>
  <c r="F12" i="21"/>
  <c r="F17" i="23"/>
  <c r="F22" i="23"/>
  <c r="X26" i="23"/>
  <c r="X24" i="23"/>
  <c r="O5" i="23"/>
  <c r="X22" i="23"/>
  <c r="O28" i="23" l="1"/>
  <c r="O27" i="23"/>
  <c r="F11" i="23"/>
  <c r="O25" i="23"/>
  <c r="F6" i="23"/>
  <c r="O67" i="23"/>
  <c r="O66" i="23"/>
  <c r="O3" i="23"/>
  <c r="O65" i="23"/>
  <c r="F17" i="12"/>
  <c r="O9" i="12"/>
  <c r="F38" i="12"/>
  <c r="F37" i="12"/>
  <c r="X10" i="23"/>
  <c r="X6" i="23"/>
  <c r="X5" i="23"/>
  <c r="X4" i="23"/>
  <c r="F25" i="24"/>
  <c r="O27" i="24"/>
  <c r="O25" i="24"/>
  <c r="O24" i="24"/>
  <c r="O23" i="24"/>
  <c r="O22" i="24"/>
  <c r="O21" i="24"/>
  <c r="X11" i="24"/>
  <c r="X7" i="24"/>
  <c r="X6" i="24"/>
  <c r="X4" i="24"/>
  <c r="F27" i="24"/>
  <c r="F4" i="24"/>
  <c r="O6" i="24"/>
  <c r="F17" i="24"/>
  <c r="O17" i="24"/>
  <c r="F14" i="24"/>
  <c r="X23" i="23"/>
  <c r="X20" i="23"/>
  <c r="O21" i="12"/>
  <c r="O20" i="12"/>
  <c r="O7" i="12"/>
  <c r="O5" i="12"/>
  <c r="O4" i="12"/>
  <c r="F45" i="23"/>
  <c r="O16" i="23"/>
  <c r="O14" i="23"/>
  <c r="O11" i="23"/>
  <c r="O9" i="23"/>
  <c r="O8" i="23"/>
  <c r="O7" i="23"/>
  <c r="F28" i="23"/>
  <c r="F25" i="23"/>
  <c r="F21" i="23"/>
  <c r="F20" i="23"/>
  <c r="F8" i="23"/>
  <c r="F9" i="12"/>
  <c r="F5" i="12"/>
  <c r="F3" i="12"/>
  <c r="O60" i="23"/>
  <c r="O59" i="23"/>
  <c r="F26" i="23"/>
  <c r="O10" i="23"/>
  <c r="X42" i="23"/>
  <c r="X41" i="23"/>
  <c r="O13" i="23"/>
  <c r="F24" i="24"/>
  <c r="F11" i="24"/>
  <c r="F15" i="24"/>
  <c r="O29" i="23"/>
  <c r="O21" i="23"/>
  <c r="F44" i="23"/>
  <c r="F43" i="23"/>
  <c r="F41" i="23"/>
  <c r="F40" i="23"/>
  <c r="F39" i="23"/>
  <c r="F38" i="23"/>
  <c r="F37" i="23"/>
  <c r="O6" i="26"/>
  <c r="M6" i="26"/>
  <c r="N6" i="26"/>
  <c r="L6" i="26"/>
  <c r="AT6" i="26"/>
  <c r="AT7" i="26"/>
  <c r="AT8" i="26"/>
  <c r="AT9" i="26"/>
  <c r="AT5" i="26"/>
  <c r="AR6" i="26"/>
  <c r="AR7" i="26"/>
  <c r="AR8" i="26"/>
  <c r="AR9" i="26"/>
  <c r="AR5" i="26"/>
  <c r="AN6" i="26"/>
  <c r="AN7" i="26"/>
  <c r="AN8" i="26"/>
  <c r="AN9" i="26"/>
  <c r="AN5" i="26"/>
  <c r="AL6" i="26"/>
  <c r="AL7" i="26"/>
  <c r="AL8" i="26"/>
  <c r="AL9" i="26"/>
  <c r="AL10" i="26"/>
  <c r="AL11" i="26"/>
  <c r="AL12" i="26"/>
  <c r="AL5" i="26"/>
  <c r="AF6" i="26"/>
  <c r="AH6" i="26" s="1"/>
  <c r="AF7" i="26"/>
  <c r="AH7" i="26" s="1"/>
  <c r="AF8" i="26"/>
  <c r="AH8" i="26" s="1"/>
  <c r="AF9" i="26"/>
  <c r="AH9" i="26" s="1"/>
  <c r="AF10" i="26"/>
  <c r="AH10" i="26" s="1"/>
  <c r="AF11" i="26"/>
  <c r="AH11" i="26" s="1"/>
  <c r="AF12" i="26"/>
  <c r="AH12" i="26" s="1"/>
  <c r="AF13" i="26"/>
  <c r="AH13" i="26" s="1"/>
  <c r="AF5" i="26"/>
  <c r="AH5" i="26" s="1"/>
  <c r="Z6" i="26"/>
  <c r="AB6" i="26" s="1"/>
  <c r="Z7" i="26"/>
  <c r="AB7" i="26" s="1"/>
  <c r="Z8" i="26"/>
  <c r="AB8" i="26" s="1"/>
  <c r="Z9" i="26"/>
  <c r="AB9" i="26" s="1"/>
  <c r="Z10" i="26"/>
  <c r="AB10" i="26" s="1"/>
  <c r="Z11" i="26"/>
  <c r="AB11" i="26" s="1"/>
  <c r="Z12" i="26"/>
  <c r="AB12" i="26" s="1"/>
  <c r="Z5" i="26"/>
  <c r="AB5" i="26" s="1"/>
  <c r="Q6" i="26" l="1"/>
  <c r="I9" i="26" s="1"/>
  <c r="F16" i="23"/>
  <c r="F12" i="23"/>
  <c r="O6" i="12"/>
  <c r="O3" i="12"/>
  <c r="F10" i="12"/>
  <c r="X16" i="24"/>
  <c r="O11" i="24"/>
  <c r="O18" i="24"/>
  <c r="F18" i="24"/>
  <c r="F10" i="23"/>
  <c r="F15" i="23"/>
  <c r="G71" i="24"/>
  <c r="F71" i="24"/>
  <c r="G70" i="24"/>
  <c r="F70" i="24"/>
  <c r="G65" i="24"/>
  <c r="F65" i="24"/>
  <c r="G64" i="24"/>
  <c r="F64" i="24"/>
  <c r="F63" i="24"/>
  <c r="F62" i="24"/>
  <c r="G59" i="24"/>
  <c r="F59" i="24"/>
  <c r="G58" i="24"/>
  <c r="F58" i="24"/>
  <c r="O57" i="24"/>
  <c r="O56" i="24"/>
  <c r="O55" i="24"/>
  <c r="X42" i="24"/>
  <c r="X41" i="24"/>
  <c r="X40" i="24"/>
  <c r="O40" i="24"/>
  <c r="X38" i="24"/>
  <c r="X30" i="24"/>
  <c r="O30" i="24"/>
  <c r="X29" i="24"/>
  <c r="F29" i="24"/>
  <c r="X28" i="24"/>
  <c r="O28" i="24"/>
  <c r="F28" i="24"/>
  <c r="X27" i="24"/>
  <c r="X26" i="24"/>
  <c r="O26" i="24"/>
  <c r="F26" i="24"/>
  <c r="X25" i="24"/>
  <c r="X24" i="24"/>
  <c r="X23" i="24"/>
  <c r="X22" i="24"/>
  <c r="X21" i="24"/>
  <c r="F21" i="24"/>
  <c r="X19" i="24"/>
  <c r="O19" i="24"/>
  <c r="F19" i="24"/>
  <c r="X17" i="24"/>
  <c r="O16" i="24"/>
  <c r="F16" i="24"/>
  <c r="X15" i="24"/>
  <c r="X14" i="24"/>
  <c r="O14" i="24"/>
  <c r="X13" i="24"/>
  <c r="O13" i="24"/>
  <c r="F13" i="24"/>
  <c r="X12" i="24"/>
  <c r="X10" i="24"/>
  <c r="O10" i="24"/>
  <c r="X9" i="24"/>
  <c r="O9" i="24"/>
  <c r="F9" i="24"/>
  <c r="X8" i="24"/>
  <c r="X5" i="24"/>
  <c r="O5" i="24"/>
  <c r="F5" i="24"/>
  <c r="O4" i="24"/>
  <c r="G70" i="23"/>
  <c r="F70" i="23"/>
  <c r="G69" i="23"/>
  <c r="F69" i="23"/>
  <c r="F68" i="23"/>
  <c r="F67" i="23"/>
  <c r="F66" i="23"/>
  <c r="G64" i="23"/>
  <c r="F64" i="23"/>
  <c r="G63" i="23"/>
  <c r="F63" i="23"/>
  <c r="F62" i="23"/>
  <c r="F61" i="23"/>
  <c r="F60" i="23"/>
  <c r="O58" i="23"/>
  <c r="G58" i="23"/>
  <c r="F58" i="23"/>
  <c r="O57" i="23"/>
  <c r="G57" i="23"/>
  <c r="F57" i="23"/>
  <c r="O54" i="23"/>
  <c r="O44" i="23"/>
  <c r="X43" i="23"/>
  <c r="O41" i="23"/>
  <c r="O40" i="23"/>
  <c r="O39" i="23"/>
  <c r="O37" i="23"/>
  <c r="X29" i="23"/>
  <c r="F29" i="23"/>
  <c r="X28" i="23"/>
  <c r="X27" i="23"/>
  <c r="F27" i="23"/>
  <c r="F24" i="23"/>
  <c r="F23" i="23"/>
  <c r="X21" i="23"/>
  <c r="O17" i="23"/>
  <c r="X16" i="23"/>
  <c r="X15" i="23"/>
  <c r="O15" i="23"/>
  <c r="X14" i="23"/>
  <c r="F14" i="23"/>
  <c r="X13" i="23"/>
  <c r="F13" i="23"/>
  <c r="X12" i="23"/>
  <c r="X11" i="23"/>
  <c r="X9" i="23"/>
  <c r="X8" i="23"/>
  <c r="O4" i="23"/>
  <c r="X3" i="23"/>
  <c r="G71" i="12"/>
  <c r="F71" i="12"/>
  <c r="G70" i="12"/>
  <c r="F70" i="12"/>
  <c r="G65" i="12"/>
  <c r="F65" i="12"/>
  <c r="G64" i="12"/>
  <c r="F64" i="12"/>
  <c r="F63" i="12"/>
  <c r="F62" i="12"/>
  <c r="G59" i="12"/>
  <c r="F59" i="12"/>
  <c r="G58" i="12"/>
  <c r="F58" i="12"/>
  <c r="X46" i="12"/>
  <c r="X45" i="12"/>
  <c r="X44" i="12"/>
  <c r="O44" i="12"/>
  <c r="F44" i="12"/>
  <c r="X43" i="12"/>
  <c r="F43" i="12"/>
  <c r="X41" i="12"/>
  <c r="O41" i="12"/>
  <c r="F41" i="12"/>
  <c r="O40" i="12"/>
  <c r="X39" i="12"/>
  <c r="O39" i="12"/>
  <c r="O38" i="12"/>
  <c r="O37" i="12"/>
  <c r="X29" i="12"/>
  <c r="F29" i="12"/>
  <c r="X28" i="12"/>
  <c r="F28" i="12"/>
  <c r="X27" i="12"/>
  <c r="F27" i="12"/>
  <c r="F26" i="12"/>
  <c r="X25" i="12"/>
  <c r="O25" i="12"/>
  <c r="F25" i="12"/>
  <c r="X24" i="12"/>
  <c r="F24" i="12"/>
  <c r="X23" i="12"/>
  <c r="F23" i="12"/>
  <c r="X22" i="12"/>
  <c r="X21" i="12"/>
  <c r="F21" i="12"/>
  <c r="X20" i="12"/>
  <c r="F20" i="12"/>
  <c r="X15" i="12"/>
  <c r="X14" i="12"/>
  <c r="O14" i="12"/>
  <c r="X13" i="12"/>
  <c r="O13" i="12"/>
  <c r="F13" i="12"/>
  <c r="X12" i="12"/>
  <c r="O12" i="12"/>
  <c r="X11" i="12"/>
  <c r="O11" i="12"/>
  <c r="O10" i="12"/>
  <c r="X8" i="12"/>
  <c r="O8" i="12"/>
  <c r="F8" i="12"/>
  <c r="X4" i="12"/>
  <c r="F4" i="12"/>
  <c r="X3" i="12"/>
  <c r="E16" i="10" l="1"/>
  <c r="B5" i="27" l="1"/>
  <c r="B3" i="27"/>
  <c r="D3" i="27" s="1"/>
  <c r="B7" i="27"/>
  <c r="B6" i="27"/>
  <c r="B17" i="27" l="1"/>
  <c r="B13" i="27"/>
  <c r="B4" i="27"/>
  <c r="B18" i="27" s="1"/>
  <c r="B16" i="27"/>
  <c r="B12" i="27"/>
  <c r="B11" i="27"/>
  <c r="B20" i="27"/>
  <c r="B19" i="27"/>
  <c r="B10" i="27"/>
  <c r="D4" i="27"/>
  <c r="D17" i="27"/>
  <c r="D13" i="27"/>
  <c r="C3" i="27"/>
  <c r="E3" i="27"/>
  <c r="D6" i="27"/>
  <c r="B14" i="27" l="1"/>
  <c r="D7" i="27"/>
  <c r="D11" i="27"/>
  <c r="D20" i="27"/>
  <c r="F3" i="27"/>
  <c r="E17" i="27"/>
  <c r="E13" i="27"/>
  <c r="E6" i="27"/>
  <c r="E4" i="27"/>
  <c r="C4" i="27"/>
  <c r="C17" i="27"/>
  <c r="C13" i="27"/>
  <c r="C6" i="27"/>
  <c r="D5" i="27"/>
  <c r="D18" i="27"/>
  <c r="D14" i="27"/>
  <c r="E5" i="27" l="1"/>
  <c r="E18" i="27"/>
  <c r="E14" i="27"/>
  <c r="D10" i="27"/>
  <c r="D19" i="27"/>
  <c r="C7" i="27"/>
  <c r="C11" i="27"/>
  <c r="C20" i="27"/>
  <c r="E7" i="27"/>
  <c r="E20" i="27"/>
  <c r="E11" i="27"/>
  <c r="G3" i="27"/>
  <c r="F13" i="27"/>
  <c r="F17" i="27"/>
  <c r="F6" i="27"/>
  <c r="F4" i="27"/>
  <c r="C5" i="27"/>
  <c r="C18" i="27"/>
  <c r="C14" i="27"/>
  <c r="D16" i="27"/>
  <c r="D12" i="27"/>
  <c r="F7" i="27" l="1"/>
  <c r="F11" i="27"/>
  <c r="F20" i="27"/>
  <c r="C16" i="27"/>
  <c r="C12" i="27"/>
  <c r="H3" i="27"/>
  <c r="G17" i="27"/>
  <c r="G13" i="27"/>
  <c r="G4" i="27"/>
  <c r="G6" i="27"/>
  <c r="F5" i="27"/>
  <c r="F18" i="27"/>
  <c r="F14" i="27"/>
  <c r="C10" i="27"/>
  <c r="C19" i="27"/>
  <c r="E16" i="27"/>
  <c r="E12" i="27"/>
  <c r="E19" i="27"/>
  <c r="E10" i="27"/>
  <c r="I3" i="27" l="1"/>
  <c r="H13" i="27"/>
  <c r="H17" i="27"/>
  <c r="H4" i="27"/>
  <c r="H6" i="27"/>
  <c r="G7" i="27"/>
  <c r="G20" i="27"/>
  <c r="G11" i="27"/>
  <c r="F19" i="27"/>
  <c r="F10" i="27"/>
  <c r="G5" i="27"/>
  <c r="G14" i="27"/>
  <c r="G18" i="27"/>
  <c r="F16" i="27"/>
  <c r="F12" i="27"/>
  <c r="G16" i="27" l="1"/>
  <c r="G12" i="27"/>
  <c r="H5" i="27"/>
  <c r="H18" i="27"/>
  <c r="H14" i="27"/>
  <c r="H7" i="27"/>
  <c r="H20" i="27"/>
  <c r="H11" i="27"/>
  <c r="G10" i="27"/>
  <c r="G19" i="27"/>
  <c r="J3" i="27"/>
  <c r="I13" i="27"/>
  <c r="I17" i="27"/>
  <c r="I6" i="27"/>
  <c r="I4" i="27"/>
  <c r="I7" i="27" l="1"/>
  <c r="I20" i="27"/>
  <c r="I11" i="27"/>
  <c r="K3" i="27"/>
  <c r="J17" i="27"/>
  <c r="J13" i="27"/>
  <c r="J6" i="27"/>
  <c r="J4" i="27"/>
  <c r="I5" i="27"/>
  <c r="I14" i="27"/>
  <c r="I18" i="27"/>
  <c r="H16" i="27"/>
  <c r="H12" i="27"/>
  <c r="H10" i="27"/>
  <c r="H19" i="27"/>
  <c r="J5" i="27" l="1"/>
  <c r="J18" i="27"/>
  <c r="J14" i="27"/>
  <c r="J7" i="27"/>
  <c r="J11" i="27"/>
  <c r="J20" i="27"/>
  <c r="L3" i="27"/>
  <c r="K13" i="27"/>
  <c r="K17" i="27"/>
  <c r="K6" i="27"/>
  <c r="K4" i="27"/>
  <c r="I19" i="27"/>
  <c r="I10" i="27"/>
  <c r="I12" i="27"/>
  <c r="I16" i="27"/>
  <c r="J12" i="27" l="1"/>
  <c r="J16" i="27"/>
  <c r="K7" i="27"/>
  <c r="K11" i="27"/>
  <c r="K20" i="27"/>
  <c r="M3" i="27"/>
  <c r="L17" i="27"/>
  <c r="L13" i="27"/>
  <c r="L6" i="27"/>
  <c r="L4" i="27"/>
  <c r="K5" i="27"/>
  <c r="K18" i="27"/>
  <c r="K14" i="27"/>
  <c r="J19" i="27"/>
  <c r="J10" i="27"/>
  <c r="K10" i="27" l="1"/>
  <c r="K19" i="27"/>
  <c r="N3" i="27"/>
  <c r="M17" i="27"/>
  <c r="M13" i="27"/>
  <c r="M4" i="27"/>
  <c r="M6" i="27"/>
  <c r="K16" i="27"/>
  <c r="K12" i="27"/>
  <c r="L5" i="27"/>
  <c r="L18" i="27"/>
  <c r="L14" i="27"/>
  <c r="L7" i="27"/>
  <c r="L11" i="27"/>
  <c r="L20" i="27"/>
  <c r="M5" i="27" l="1"/>
  <c r="M18" i="27"/>
  <c r="M14" i="27"/>
  <c r="M7" i="27"/>
  <c r="M20" i="27"/>
  <c r="M11" i="27"/>
  <c r="L16" i="27"/>
  <c r="L12" i="27"/>
  <c r="O3" i="27"/>
  <c r="N17" i="27"/>
  <c r="N13" i="27"/>
  <c r="N6" i="27"/>
  <c r="N4" i="27"/>
  <c r="L10" i="27"/>
  <c r="L19" i="27"/>
  <c r="N5" i="27" l="1"/>
  <c r="N14" i="27"/>
  <c r="N18" i="27"/>
  <c r="M16" i="27"/>
  <c r="M12" i="27"/>
  <c r="N7" i="27"/>
  <c r="N11" i="27"/>
  <c r="N20" i="27"/>
  <c r="P3" i="27"/>
  <c r="O17" i="27"/>
  <c r="O13" i="27"/>
  <c r="O6" i="27"/>
  <c r="O4" i="27"/>
  <c r="M10" i="27"/>
  <c r="M19" i="27"/>
  <c r="O7" i="27" l="1"/>
  <c r="O20" i="27"/>
  <c r="O11" i="27"/>
  <c r="N16" i="27"/>
  <c r="N12" i="27"/>
  <c r="O5" i="27"/>
  <c r="O14" i="27"/>
  <c r="O18" i="27"/>
  <c r="Q3" i="27"/>
  <c r="P13" i="27"/>
  <c r="P17" i="27"/>
  <c r="P6" i="27"/>
  <c r="P4" i="27"/>
  <c r="N19" i="27"/>
  <c r="N10" i="27"/>
  <c r="P5" i="27" l="1"/>
  <c r="P18" i="27"/>
  <c r="P14" i="27"/>
  <c r="O10" i="27"/>
  <c r="O19" i="27"/>
  <c r="P7" i="27"/>
  <c r="P11" i="27"/>
  <c r="P20" i="27"/>
  <c r="R3" i="27"/>
  <c r="Q13" i="27"/>
  <c r="Q17" i="27"/>
  <c r="Q6" i="27"/>
  <c r="Q4" i="27"/>
  <c r="O12" i="27"/>
  <c r="O16" i="27"/>
  <c r="P16" i="27" l="1"/>
  <c r="P12" i="27"/>
  <c r="Q5" i="27"/>
  <c r="Q14" i="27"/>
  <c r="Q18" i="27"/>
  <c r="Q7" i="27"/>
  <c r="Q20" i="27"/>
  <c r="Q11" i="27"/>
  <c r="S3" i="27"/>
  <c r="R13" i="27"/>
  <c r="R17" i="27"/>
  <c r="R6" i="27"/>
  <c r="R4" i="27"/>
  <c r="P19" i="27"/>
  <c r="P10" i="27"/>
  <c r="R7" i="27" l="1"/>
  <c r="R11" i="27"/>
  <c r="R20" i="27"/>
  <c r="Q12" i="27"/>
  <c r="Q16" i="27"/>
  <c r="R5" i="27"/>
  <c r="R18" i="27"/>
  <c r="R14" i="27"/>
  <c r="Q19" i="27"/>
  <c r="Q10" i="27"/>
  <c r="T3" i="27"/>
  <c r="S13" i="27"/>
  <c r="S17" i="27"/>
  <c r="S6" i="27"/>
  <c r="S4" i="27"/>
  <c r="S7" i="27" l="1"/>
  <c r="S11" i="27"/>
  <c r="S20" i="27"/>
  <c r="R19" i="27"/>
  <c r="R10" i="27"/>
  <c r="S5" i="27"/>
  <c r="S18" i="27"/>
  <c r="S14" i="27"/>
  <c r="U3" i="27"/>
  <c r="T17" i="27"/>
  <c r="T13" i="27"/>
  <c r="T4" i="27"/>
  <c r="T6" i="27"/>
  <c r="R12" i="27"/>
  <c r="R16" i="27"/>
  <c r="S10" i="27" l="1"/>
  <c r="S19" i="27"/>
  <c r="T7" i="27"/>
  <c r="T20" i="27"/>
  <c r="T11" i="27"/>
  <c r="T5" i="27"/>
  <c r="T18" i="27"/>
  <c r="T14" i="27"/>
  <c r="V3" i="27"/>
  <c r="U17" i="27"/>
  <c r="U13" i="27"/>
  <c r="U6" i="27"/>
  <c r="U4" i="27"/>
  <c r="S16" i="27"/>
  <c r="S12" i="27"/>
  <c r="T10" i="27" l="1"/>
  <c r="T19" i="27"/>
  <c r="U5" i="27"/>
  <c r="U18" i="27"/>
  <c r="U14" i="27"/>
  <c r="U7" i="27"/>
  <c r="U20" i="27"/>
  <c r="U11" i="27"/>
  <c r="T16" i="27"/>
  <c r="T12" i="27"/>
  <c r="W3" i="27"/>
  <c r="V17" i="27"/>
  <c r="V13" i="27"/>
  <c r="X3" i="27"/>
  <c r="V4" i="27"/>
  <c r="V6" i="27"/>
  <c r="V7" i="27" l="1"/>
  <c r="V11" i="27"/>
  <c r="V20" i="27"/>
  <c r="V5" i="27"/>
  <c r="V18" i="27"/>
  <c r="V14" i="27"/>
  <c r="U16" i="27"/>
  <c r="U12" i="27"/>
  <c r="W6" i="27"/>
  <c r="W17" i="27"/>
  <c r="W13" i="27"/>
  <c r="W4" i="27"/>
  <c r="X4" i="27"/>
  <c r="X13" i="27"/>
  <c r="X17" i="27"/>
  <c r="Y3" i="27"/>
  <c r="X6" i="27"/>
  <c r="U10" i="27"/>
  <c r="U19" i="27"/>
  <c r="X5" i="27" l="1"/>
  <c r="X14" i="27"/>
  <c r="X18" i="27"/>
  <c r="V19" i="27"/>
  <c r="V10" i="27"/>
  <c r="Z3" i="27"/>
  <c r="Y13" i="27"/>
  <c r="Y17" i="27"/>
  <c r="Y6" i="27"/>
  <c r="Y4" i="27"/>
  <c r="W5" i="27"/>
  <c r="W18" i="27"/>
  <c r="W14" i="27"/>
  <c r="X7" i="27"/>
  <c r="X11" i="27"/>
  <c r="X20" i="27"/>
  <c r="W7" i="27"/>
  <c r="W11" i="27"/>
  <c r="W20" i="27"/>
  <c r="V16" i="27"/>
  <c r="V12" i="27"/>
  <c r="Z17" i="27" l="1"/>
  <c r="Z13" i="27"/>
  <c r="Z4" i="27"/>
  <c r="Z6" i="27"/>
  <c r="AA3" i="27"/>
  <c r="W10" i="27"/>
  <c r="W19" i="27"/>
  <c r="Y5" i="27"/>
  <c r="Y18" i="27"/>
  <c r="Y14" i="27"/>
  <c r="X16" i="27"/>
  <c r="X12" i="27"/>
  <c r="W12" i="27"/>
  <c r="W16" i="27"/>
  <c r="Y7" i="27"/>
  <c r="Y20" i="27"/>
  <c r="Y11" i="27"/>
  <c r="X19" i="27"/>
  <c r="X10" i="27"/>
  <c r="AA17" i="27" l="1"/>
  <c r="AA13" i="27"/>
  <c r="AB3" i="27"/>
  <c r="AA4" i="27"/>
  <c r="AA6" i="27"/>
  <c r="Y10" i="27"/>
  <c r="Y19" i="27"/>
  <c r="Y12" i="27"/>
  <c r="Y16" i="27"/>
  <c r="Z7" i="27"/>
  <c r="Z11" i="27"/>
  <c r="Z20" i="27"/>
  <c r="Z5" i="27"/>
  <c r="Z18" i="27"/>
  <c r="Z14" i="27"/>
  <c r="Z19" i="27" l="1"/>
  <c r="Z10" i="27"/>
  <c r="AA7" i="27"/>
  <c r="AA11" i="27"/>
  <c r="AA20" i="27"/>
  <c r="Z12" i="27"/>
  <c r="Z16" i="27"/>
  <c r="AA5" i="27"/>
  <c r="AA18" i="27"/>
  <c r="AA14" i="27"/>
  <c r="AB17" i="27"/>
  <c r="AB13" i="27"/>
  <c r="AB4" i="27"/>
  <c r="AB6" i="27"/>
  <c r="AC3" i="27"/>
  <c r="AA10" i="27" l="1"/>
  <c r="AA19" i="27"/>
  <c r="AB7" i="27"/>
  <c r="AB20" i="27"/>
  <c r="AB11" i="27"/>
  <c r="AC17" i="27"/>
  <c r="AC13" i="27"/>
  <c r="AC6" i="27"/>
  <c r="AD3" i="27"/>
  <c r="AC4" i="27"/>
  <c r="AB5" i="27"/>
  <c r="AB18" i="27"/>
  <c r="AB14" i="27"/>
  <c r="AA12" i="27"/>
  <c r="AA16" i="27"/>
  <c r="AB10" i="27" l="1"/>
  <c r="AB19" i="27"/>
  <c r="AC7" i="27"/>
  <c r="AC20" i="27"/>
  <c r="AC11" i="27"/>
  <c r="AB12" i="27"/>
  <c r="AB16" i="27"/>
  <c r="AC5" i="27"/>
  <c r="AC14" i="27"/>
  <c r="AC18" i="27"/>
  <c r="AD17" i="27"/>
  <c r="AD13" i="27"/>
  <c r="AD4" i="27"/>
  <c r="AD6" i="27"/>
  <c r="AE3" i="27"/>
  <c r="AE17" i="27" l="1"/>
  <c r="AE13" i="27"/>
  <c r="AE4" i="27"/>
  <c r="AE6" i="27"/>
  <c r="AF3" i="27"/>
  <c r="AC19" i="27"/>
  <c r="AC10" i="27"/>
  <c r="AD5" i="27"/>
  <c r="AD18" i="27"/>
  <c r="AD14" i="27"/>
  <c r="AD7" i="27"/>
  <c r="AD11" i="27"/>
  <c r="AD20" i="27"/>
  <c r="AC16" i="27"/>
  <c r="AC12" i="27"/>
  <c r="AD19" i="27" l="1"/>
  <c r="AD10" i="27"/>
  <c r="AD16" i="27"/>
  <c r="AD12" i="27"/>
  <c r="AF13" i="27"/>
  <c r="AF17" i="27"/>
  <c r="AF4" i="27"/>
  <c r="AF6" i="27"/>
  <c r="AG3" i="27"/>
  <c r="AE7" i="27"/>
  <c r="AE11" i="27"/>
  <c r="AE20" i="27"/>
  <c r="AE5" i="27"/>
  <c r="AE18" i="27"/>
  <c r="AE14" i="27"/>
  <c r="AF5" i="27" l="1"/>
  <c r="AF18" i="27"/>
  <c r="AF14" i="27"/>
  <c r="AF7" i="27"/>
  <c r="AF20" i="27"/>
  <c r="AF11" i="27"/>
  <c r="AE10" i="27"/>
  <c r="AE19" i="27"/>
  <c r="AE16" i="27"/>
  <c r="AE12" i="27"/>
  <c r="AG17" i="27"/>
  <c r="AG13" i="27"/>
  <c r="AH3" i="27"/>
  <c r="AG4" i="27"/>
  <c r="AG6" i="27"/>
  <c r="AG7" i="27" l="1"/>
  <c r="AG20" i="27"/>
  <c r="AG11" i="27"/>
  <c r="AF16" i="27"/>
  <c r="AF12" i="27"/>
  <c r="AG5" i="27"/>
  <c r="AG18" i="27"/>
  <c r="AG14" i="27"/>
  <c r="AH13" i="27"/>
  <c r="AH17" i="27"/>
  <c r="AI3" i="27"/>
  <c r="AH4" i="27"/>
  <c r="AH6" i="27"/>
  <c r="AF10" i="27"/>
  <c r="AF19" i="27"/>
  <c r="AH7" i="27" l="1"/>
  <c r="AH11" i="27"/>
  <c r="AH20" i="27"/>
  <c r="AH5" i="27"/>
  <c r="AH18" i="27"/>
  <c r="AH14" i="27"/>
  <c r="AG10" i="27"/>
  <c r="AG19" i="27"/>
  <c r="AI17" i="27"/>
  <c r="AI13" i="27"/>
  <c r="AJ3" i="27"/>
  <c r="AI4" i="27"/>
  <c r="AI6" i="27"/>
  <c r="AG12" i="27"/>
  <c r="AG16" i="27"/>
  <c r="AI7" i="27" l="1"/>
  <c r="AI11" i="27"/>
  <c r="AI20" i="27"/>
  <c r="AI5" i="27"/>
  <c r="AI18" i="27"/>
  <c r="AI14" i="27"/>
  <c r="AH19" i="27"/>
  <c r="AH10" i="27"/>
  <c r="AJ17" i="27"/>
  <c r="AJ13" i="27"/>
  <c r="AJ6" i="27"/>
  <c r="AJ4" i="27"/>
  <c r="AK3" i="27"/>
  <c r="AH12" i="27"/>
  <c r="AH16" i="27"/>
  <c r="AJ5" i="27" l="1"/>
  <c r="AJ18" i="27"/>
  <c r="AJ14" i="27"/>
  <c r="AI10" i="27"/>
  <c r="AI19" i="27"/>
  <c r="AK17" i="27"/>
  <c r="AK13" i="27"/>
  <c r="AK6" i="27"/>
  <c r="AL3" i="27"/>
  <c r="AK4" i="27"/>
  <c r="AJ7" i="27"/>
  <c r="AJ11" i="27"/>
  <c r="AJ20" i="27"/>
  <c r="AI16" i="27"/>
  <c r="AI12" i="27"/>
  <c r="AK7" i="27" l="1"/>
  <c r="AK20" i="27"/>
  <c r="AK11" i="27"/>
  <c r="AK5" i="27"/>
  <c r="AK18" i="27"/>
  <c r="AK14" i="27"/>
  <c r="AJ16" i="27"/>
  <c r="AJ12" i="27"/>
  <c r="AL17" i="27"/>
  <c r="AL13" i="27"/>
  <c r="AL6" i="27"/>
  <c r="AM3" i="27"/>
  <c r="AL4" i="27"/>
  <c r="AJ10" i="27"/>
  <c r="AJ19" i="27"/>
  <c r="AM13" i="27" l="1"/>
  <c r="AM17" i="27"/>
  <c r="AM4" i="27"/>
  <c r="AM6" i="27"/>
  <c r="AN3" i="27"/>
  <c r="AL5" i="27"/>
  <c r="AL18" i="27"/>
  <c r="AL14" i="27"/>
  <c r="AK19" i="27"/>
  <c r="AK10" i="27"/>
  <c r="AL7" i="27"/>
  <c r="AL11" i="27"/>
  <c r="AL20" i="27"/>
  <c r="AK16" i="27"/>
  <c r="AK12" i="27"/>
  <c r="AL16" i="27" l="1"/>
  <c r="AL12" i="27"/>
  <c r="AL19" i="27"/>
  <c r="AL10" i="27"/>
  <c r="AN13" i="27"/>
  <c r="AN17" i="27"/>
  <c r="AN6" i="27"/>
  <c r="AO3" i="27"/>
  <c r="AN4" i="27"/>
  <c r="AM7" i="27"/>
  <c r="AM20" i="27"/>
  <c r="AM11" i="27"/>
  <c r="AM5" i="27"/>
  <c r="AM18" i="27"/>
  <c r="AM14" i="27"/>
  <c r="AO17" i="27" l="1"/>
  <c r="AO13" i="27"/>
  <c r="AO4" i="27"/>
  <c r="AP3" i="27"/>
  <c r="AO6" i="27"/>
  <c r="AN7" i="27"/>
  <c r="AN20" i="27"/>
  <c r="AN11" i="27"/>
  <c r="AM10" i="27"/>
  <c r="AM19" i="27"/>
  <c r="AM16" i="27"/>
  <c r="AM12" i="27"/>
  <c r="AN5" i="27"/>
  <c r="AN14" i="27"/>
  <c r="AN18" i="27"/>
  <c r="AN10" i="27" l="1"/>
  <c r="AN19" i="27"/>
  <c r="AO7" i="27"/>
  <c r="AO20" i="27"/>
  <c r="AO11" i="27"/>
  <c r="AP17" i="27"/>
  <c r="AP13" i="27"/>
  <c r="AR3" i="27"/>
  <c r="AP6" i="27"/>
  <c r="AP4" i="27"/>
  <c r="AQ3" i="27"/>
  <c r="AN12" i="27"/>
  <c r="AN16" i="27"/>
  <c r="AO5" i="27"/>
  <c r="AO18" i="27"/>
  <c r="AO14" i="27"/>
  <c r="AO19" i="27" l="1"/>
  <c r="AO10" i="27"/>
  <c r="AQ13" i="27"/>
  <c r="AQ17" i="27"/>
  <c r="AQ4" i="27"/>
  <c r="AQ6" i="27"/>
  <c r="AR17" i="27"/>
  <c r="AR13" i="27"/>
  <c r="AR6" i="27"/>
  <c r="AR4" i="27"/>
  <c r="AS3" i="27"/>
  <c r="AO12" i="27"/>
  <c r="AO16" i="27"/>
  <c r="AP5" i="27"/>
  <c r="AP18" i="27"/>
  <c r="AP14" i="27"/>
  <c r="AP7" i="27"/>
  <c r="AP11" i="27"/>
  <c r="AP20" i="27"/>
  <c r="AS17" i="27" l="1"/>
  <c r="AS13" i="27"/>
  <c r="AT3" i="27"/>
  <c r="AS6" i="27"/>
  <c r="AS4" i="27"/>
  <c r="AQ7" i="27"/>
  <c r="AQ11" i="27"/>
  <c r="AQ20" i="27"/>
  <c r="AR5" i="27"/>
  <c r="AR18" i="27"/>
  <c r="AR14" i="27"/>
  <c r="AP19" i="27"/>
  <c r="AP10" i="27"/>
  <c r="AQ5" i="27"/>
  <c r="AQ18" i="27"/>
  <c r="AQ14" i="27"/>
  <c r="AP12" i="27"/>
  <c r="AP16" i="27"/>
  <c r="AR7" i="27"/>
  <c r="AR11" i="27"/>
  <c r="AR20" i="27"/>
  <c r="AQ10" i="27" l="1"/>
  <c r="AQ19" i="27"/>
  <c r="AS7" i="27"/>
  <c r="AS20" i="27"/>
  <c r="AS11" i="27"/>
  <c r="AQ16" i="27"/>
  <c r="AQ12" i="27"/>
  <c r="AS5" i="27"/>
  <c r="AS18" i="27"/>
  <c r="AS14" i="27"/>
  <c r="AR16" i="27"/>
  <c r="AR12" i="27"/>
  <c r="AT17" i="27"/>
  <c r="AT13" i="27"/>
  <c r="AT6" i="27"/>
  <c r="AT4" i="27"/>
  <c r="AU3" i="27"/>
  <c r="AR10" i="27"/>
  <c r="AR19" i="27"/>
  <c r="AT5" i="27" l="1"/>
  <c r="AT18" i="27"/>
  <c r="AT14" i="27"/>
  <c r="AT7" i="27"/>
  <c r="AT11" i="27"/>
  <c r="AT20" i="27"/>
  <c r="AS10" i="27"/>
  <c r="AS19" i="27"/>
  <c r="AS16" i="27"/>
  <c r="AS12" i="27"/>
  <c r="AU17" i="27"/>
  <c r="AU13" i="27"/>
  <c r="AU6" i="27"/>
  <c r="AV3" i="27"/>
  <c r="AU4" i="27"/>
  <c r="AV13" i="27" l="1"/>
  <c r="AV17" i="27"/>
  <c r="AW3" i="27"/>
  <c r="AV4" i="27"/>
  <c r="AV6" i="27"/>
  <c r="AU5" i="27"/>
  <c r="AU18" i="27"/>
  <c r="AU14" i="27"/>
  <c r="AU7" i="27"/>
  <c r="AU20" i="27"/>
  <c r="AU11" i="27"/>
  <c r="AT16" i="27"/>
  <c r="AT12" i="27"/>
  <c r="AT19" i="27"/>
  <c r="AT10" i="27"/>
  <c r="AV7" i="27" l="1"/>
  <c r="AV11" i="27"/>
  <c r="AV20" i="27"/>
  <c r="AU10" i="27"/>
  <c r="AU19" i="27"/>
  <c r="AV5" i="27"/>
  <c r="AV14" i="27"/>
  <c r="AV18" i="27"/>
  <c r="AW17" i="27"/>
  <c r="AW13" i="27"/>
  <c r="AW4" i="27"/>
  <c r="AW6" i="27"/>
  <c r="AX3" i="27"/>
  <c r="AU16" i="27"/>
  <c r="AU12" i="27"/>
  <c r="AV19" i="27" l="1"/>
  <c r="AV10" i="27"/>
  <c r="AW7" i="27"/>
  <c r="AW20" i="27"/>
  <c r="AW11" i="27"/>
  <c r="AX13" i="27"/>
  <c r="AX17" i="27"/>
  <c r="AX4" i="27"/>
  <c r="AX6" i="27"/>
  <c r="AY3" i="27"/>
  <c r="AW5" i="27"/>
  <c r="AW18" i="27"/>
  <c r="AW14" i="27"/>
  <c r="AV16" i="27"/>
  <c r="AV12" i="27"/>
  <c r="AX5" i="27" l="1"/>
  <c r="AX18" i="27"/>
  <c r="AX14" i="27"/>
  <c r="AW12" i="27"/>
  <c r="AW16" i="27"/>
  <c r="AW19" i="27"/>
  <c r="AW10" i="27"/>
  <c r="AY17" i="27"/>
  <c r="AY13" i="27"/>
  <c r="AY4" i="27"/>
  <c r="AY6" i="27"/>
  <c r="AZ3" i="27"/>
  <c r="AX7" i="27"/>
  <c r="AX11" i="27"/>
  <c r="AX20" i="27"/>
  <c r="AZ17" i="27" l="1"/>
  <c r="AZ13" i="27"/>
  <c r="AZ4" i="27"/>
  <c r="AZ6" i="27"/>
  <c r="BA3" i="27"/>
  <c r="AX12" i="27"/>
  <c r="AX16" i="27"/>
  <c r="AY7" i="27"/>
  <c r="AY11" i="27"/>
  <c r="AY20" i="27"/>
  <c r="AY5" i="27"/>
  <c r="AY18" i="27"/>
  <c r="AY14" i="27"/>
  <c r="AX19" i="27"/>
  <c r="AX10" i="27"/>
  <c r="AY10" i="27" l="1"/>
  <c r="AY19" i="27"/>
  <c r="AY16" i="27"/>
  <c r="AY12" i="27"/>
  <c r="BA17" i="27"/>
  <c r="BA13" i="27"/>
  <c r="BB3" i="27"/>
  <c r="BA6" i="27"/>
  <c r="BA4" i="27"/>
  <c r="AZ7" i="27"/>
  <c r="AZ20" i="27"/>
  <c r="AZ11" i="27"/>
  <c r="AZ5" i="27"/>
  <c r="AZ18" i="27"/>
  <c r="AZ14" i="27"/>
  <c r="BB17" i="27" l="1"/>
  <c r="BB13" i="27"/>
  <c r="BB6" i="27"/>
  <c r="BC3" i="27"/>
  <c r="BB4" i="27"/>
  <c r="BA7" i="27"/>
  <c r="BA20" i="27"/>
  <c r="BA11" i="27"/>
  <c r="AZ10" i="27"/>
  <c r="AZ19" i="27"/>
  <c r="AZ12" i="27"/>
  <c r="AZ16" i="27"/>
  <c r="BA5" i="27"/>
  <c r="BA18" i="27"/>
  <c r="BA14" i="27"/>
  <c r="BB5" i="27" l="1"/>
  <c r="BB14" i="27"/>
  <c r="BB18" i="27"/>
  <c r="BA16" i="27"/>
  <c r="BA12" i="27"/>
  <c r="BA10" i="27"/>
  <c r="BA19" i="27"/>
  <c r="BC13" i="27"/>
  <c r="BC17" i="27"/>
  <c r="BC6" i="27"/>
  <c r="BD3" i="27"/>
  <c r="BC4" i="27"/>
  <c r="BB7" i="27"/>
  <c r="BB11" i="27"/>
  <c r="BB20" i="27"/>
  <c r="BC5" i="27" l="1"/>
  <c r="BC18" i="27"/>
  <c r="BC14" i="27"/>
  <c r="BB16" i="27"/>
  <c r="BB12" i="27"/>
  <c r="BD13" i="27"/>
  <c r="BD17" i="27"/>
  <c r="BD4" i="27"/>
  <c r="BD6" i="27"/>
  <c r="BE3" i="27"/>
  <c r="BC7" i="27"/>
  <c r="BC11" i="27"/>
  <c r="BC20" i="27"/>
  <c r="BB19" i="27"/>
  <c r="BB10" i="27"/>
  <c r="BC16" i="27" l="1"/>
  <c r="BC12" i="27"/>
  <c r="BE17" i="27"/>
  <c r="BE13" i="27"/>
  <c r="BF3" i="27"/>
  <c r="BE4" i="27"/>
  <c r="BE6" i="27"/>
  <c r="BD5" i="27"/>
  <c r="BD14" i="27"/>
  <c r="BD18" i="27"/>
  <c r="BD7" i="27"/>
  <c r="BD11" i="27"/>
  <c r="BD20" i="27"/>
  <c r="BC10" i="27"/>
  <c r="BC19" i="27"/>
  <c r="BE7" i="27" l="1"/>
  <c r="BE20" i="27"/>
  <c r="BE11" i="27"/>
  <c r="BE5" i="27"/>
  <c r="BE18" i="27"/>
  <c r="BE14" i="27"/>
  <c r="BD19" i="27"/>
  <c r="BD10" i="27"/>
  <c r="BF17" i="27"/>
  <c r="BF13" i="27"/>
  <c r="BG3" i="27"/>
  <c r="BF4" i="27"/>
  <c r="BF6" i="27"/>
  <c r="BD16" i="27"/>
  <c r="BD12" i="27"/>
  <c r="BF7" i="27" l="1"/>
  <c r="BF11" i="27"/>
  <c r="BF20" i="27"/>
  <c r="BF5" i="27"/>
  <c r="BF18" i="27"/>
  <c r="BF14" i="27"/>
  <c r="BE10" i="27"/>
  <c r="BE19" i="27"/>
  <c r="BG17" i="27"/>
  <c r="BG13" i="27"/>
  <c r="BH3" i="27"/>
  <c r="BG4" i="27"/>
  <c r="BG6" i="27"/>
  <c r="BE12" i="27"/>
  <c r="BE16" i="27"/>
  <c r="BG7" i="27" l="1"/>
  <c r="BG11" i="27"/>
  <c r="BG20" i="27"/>
  <c r="BG5" i="27"/>
  <c r="BG18" i="27"/>
  <c r="BG14" i="27"/>
  <c r="BF19" i="27"/>
  <c r="BF10" i="27"/>
  <c r="BH17" i="27"/>
  <c r="BH13" i="27"/>
  <c r="BH6" i="27"/>
  <c r="BH4" i="27"/>
  <c r="BI3" i="27"/>
  <c r="BF12" i="27"/>
  <c r="BF16" i="27"/>
  <c r="BG10" i="27" l="1"/>
  <c r="BG19" i="27"/>
  <c r="BI17" i="27"/>
  <c r="BI13" i="27"/>
  <c r="BJ3" i="27"/>
  <c r="BI6" i="27"/>
  <c r="BI4" i="27"/>
  <c r="BH5" i="27"/>
  <c r="BH18" i="27"/>
  <c r="BH14" i="27"/>
  <c r="BH7" i="27"/>
  <c r="BH20" i="27"/>
  <c r="BH11" i="27"/>
  <c r="BG16" i="27"/>
  <c r="BG12" i="27"/>
  <c r="BH10" i="27" l="1"/>
  <c r="BH19" i="27"/>
  <c r="BI7" i="27"/>
  <c r="BI20" i="27"/>
  <c r="BI11" i="27"/>
  <c r="BI5" i="27"/>
  <c r="BI14" i="27"/>
  <c r="BI18" i="27"/>
  <c r="BJ17" i="27"/>
  <c r="BJ13" i="27"/>
  <c r="BJ6" i="27"/>
  <c r="BL3" i="27"/>
  <c r="BJ4" i="27"/>
  <c r="BK3" i="27"/>
  <c r="BH12" i="27"/>
  <c r="BH16" i="27"/>
  <c r="BJ5" i="27" l="1"/>
  <c r="BJ18" i="27"/>
  <c r="BJ14" i="27"/>
  <c r="BL13" i="27"/>
  <c r="BL17" i="27"/>
  <c r="BM3" i="27"/>
  <c r="BL6" i="27"/>
  <c r="BL4" i="27"/>
  <c r="BK17" i="27"/>
  <c r="BK13" i="27"/>
  <c r="BK6" i="27"/>
  <c r="BK4" i="27"/>
  <c r="BI19" i="27"/>
  <c r="BI10" i="27"/>
  <c r="BJ7" i="27"/>
  <c r="BJ11" i="27"/>
  <c r="BJ20" i="27"/>
  <c r="BI16" i="27"/>
  <c r="BI12" i="27"/>
  <c r="BL5" i="27" l="1"/>
  <c r="BL14" i="27"/>
  <c r="BL18" i="27"/>
  <c r="BL7" i="27"/>
  <c r="BL20" i="27"/>
  <c r="BL11" i="27"/>
  <c r="BK5" i="27"/>
  <c r="BK18" i="27"/>
  <c r="BK14" i="27"/>
  <c r="BJ16" i="27"/>
  <c r="BJ12" i="27"/>
  <c r="BM17" i="27"/>
  <c r="BM13" i="27"/>
  <c r="BM6" i="27"/>
  <c r="BM4" i="27"/>
  <c r="BN3" i="27"/>
  <c r="BK7" i="27"/>
  <c r="BK11" i="27"/>
  <c r="BK20" i="27"/>
  <c r="BJ19" i="27"/>
  <c r="BJ10" i="27"/>
  <c r="BM5" i="27" l="1"/>
  <c r="BM18" i="27"/>
  <c r="BM14" i="27"/>
  <c r="BN17" i="27"/>
  <c r="BN13" i="27"/>
  <c r="BN4" i="27"/>
  <c r="BN6" i="27"/>
  <c r="BO3" i="27"/>
  <c r="BM7" i="27"/>
  <c r="BM20" i="27"/>
  <c r="BM11" i="27"/>
  <c r="BK10" i="27"/>
  <c r="BK19" i="27"/>
  <c r="BL16" i="27"/>
  <c r="BL12" i="27"/>
  <c r="BK16" i="27"/>
  <c r="BK12" i="27"/>
  <c r="BL10" i="27"/>
  <c r="BL19" i="27"/>
  <c r="BN7" i="27" l="1"/>
  <c r="BN11" i="27"/>
  <c r="BN20" i="27"/>
  <c r="BN5" i="27"/>
  <c r="BN18" i="27"/>
  <c r="BN14" i="27"/>
  <c r="BO17" i="27"/>
  <c r="BO13" i="27"/>
  <c r="BO4" i="27"/>
  <c r="BO6" i="27"/>
  <c r="BP3" i="27"/>
  <c r="BM12" i="27"/>
  <c r="BM16" i="27"/>
  <c r="BM10" i="27"/>
  <c r="BM19" i="27"/>
  <c r="BN19" i="27" l="1"/>
  <c r="BN10" i="27"/>
  <c r="BO7" i="27"/>
  <c r="BO11" i="27"/>
  <c r="BO20" i="27"/>
  <c r="BP17" i="27"/>
  <c r="BP13" i="27"/>
  <c r="BP6" i="27"/>
  <c r="BP4" i="27"/>
  <c r="BQ3" i="27"/>
  <c r="BO5" i="27"/>
  <c r="BO18" i="27"/>
  <c r="BO14" i="27"/>
  <c r="BN12" i="27"/>
  <c r="BN16" i="27"/>
  <c r="BP7" i="27" l="1"/>
  <c r="BP11" i="27"/>
  <c r="BP20" i="27"/>
  <c r="BO10" i="27"/>
  <c r="BO19" i="27"/>
  <c r="BO16" i="27"/>
  <c r="BO12" i="27"/>
  <c r="BQ17" i="27"/>
  <c r="BQ13" i="27"/>
  <c r="BR3" i="27"/>
  <c r="BQ6" i="27"/>
  <c r="BQ4" i="27"/>
  <c r="BP5" i="27"/>
  <c r="BP18" i="27"/>
  <c r="BP14" i="27"/>
  <c r="BP10" i="27" l="1"/>
  <c r="BP19" i="27"/>
  <c r="BQ5" i="27"/>
  <c r="BQ18" i="27"/>
  <c r="BQ14" i="27"/>
  <c r="BQ7" i="27"/>
  <c r="BQ20" i="27"/>
  <c r="BQ11" i="27"/>
  <c r="BR17" i="27"/>
  <c r="BR13" i="27"/>
  <c r="BR6" i="27"/>
  <c r="BS3" i="27"/>
  <c r="BR4" i="27"/>
  <c r="BP16" i="27"/>
  <c r="BP12" i="27"/>
  <c r="BQ16" i="27" l="1"/>
  <c r="BQ12" i="27"/>
  <c r="BR5" i="27"/>
  <c r="BR18" i="27"/>
  <c r="BR14" i="27"/>
  <c r="BR7" i="27"/>
  <c r="BR11" i="27"/>
  <c r="BR20" i="27"/>
  <c r="BS13" i="27"/>
  <c r="BS17" i="27"/>
  <c r="BS6" i="27"/>
  <c r="BT3" i="27"/>
  <c r="BS4" i="27"/>
  <c r="BQ19" i="27"/>
  <c r="BQ10" i="27"/>
  <c r="BS7" i="27" l="1"/>
  <c r="BS20" i="27"/>
  <c r="BS11" i="27"/>
  <c r="BR16" i="27"/>
  <c r="BR12" i="27"/>
  <c r="BS5" i="27"/>
  <c r="BS18" i="27"/>
  <c r="BS14" i="27"/>
  <c r="BT13" i="27"/>
  <c r="BT17" i="27"/>
  <c r="BT4" i="27"/>
  <c r="BU3" i="27"/>
  <c r="BT6" i="27"/>
  <c r="BR19" i="27"/>
  <c r="BR10" i="27"/>
  <c r="BT7" i="27" l="1"/>
  <c r="BT20" i="27"/>
  <c r="BT11" i="27"/>
  <c r="BU17" i="27"/>
  <c r="BU13" i="27"/>
  <c r="BU4" i="27"/>
  <c r="BU6" i="27"/>
  <c r="BV3" i="27"/>
  <c r="BS10" i="27"/>
  <c r="BS19" i="27"/>
  <c r="BT5" i="27"/>
  <c r="BT14" i="27"/>
  <c r="BT18" i="27"/>
  <c r="BS16" i="27"/>
  <c r="BS12" i="27"/>
  <c r="BU7" i="27" l="1"/>
  <c r="BU20" i="27"/>
  <c r="BU11" i="27"/>
  <c r="BU5" i="27"/>
  <c r="BU14" i="27"/>
  <c r="BU18" i="27"/>
  <c r="BV17" i="27"/>
  <c r="BV13" i="27"/>
  <c r="BV4" i="27"/>
  <c r="BV6" i="27"/>
  <c r="BW3" i="27"/>
  <c r="BT10" i="27"/>
  <c r="BT19" i="27"/>
  <c r="BT12" i="27"/>
  <c r="BT16" i="27"/>
  <c r="BV7" i="27" l="1"/>
  <c r="BV11" i="27"/>
  <c r="BV20" i="27"/>
  <c r="BU19" i="27"/>
  <c r="BU10" i="27"/>
  <c r="BW13" i="27"/>
  <c r="BW17" i="27"/>
  <c r="BW6" i="27"/>
  <c r="BW4" i="27"/>
  <c r="BV5" i="27"/>
  <c r="BV14" i="27"/>
  <c r="BV18" i="27"/>
  <c r="BU12" i="27"/>
  <c r="BU16" i="27"/>
  <c r="BW7" i="27" l="1"/>
  <c r="BW11" i="27"/>
  <c r="BW20" i="27"/>
  <c r="BV19" i="27"/>
  <c r="BV10" i="27"/>
  <c r="BW5" i="27"/>
  <c r="BW18" i="27"/>
  <c r="BW14" i="27"/>
  <c r="BV12" i="27"/>
  <c r="BV16" i="27"/>
  <c r="BW10" i="27" l="1"/>
  <c r="BW19" i="27"/>
  <c r="BW16" i="27"/>
  <c r="BW12" i="2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<sst xmlns="http://schemas.openxmlformats.org/spreadsheetml/2006/main" count="11040" uniqueCount="1243">
  <si>
    <t>ITEM</t>
  </si>
  <si>
    <t>QTY</t>
  </si>
  <si>
    <t>DESCRIPTION</t>
  </si>
  <si>
    <t>DESCRIPTION:</t>
  </si>
  <si>
    <t>Savannah Tank &amp; Equipment Corporation</t>
  </si>
  <si>
    <t>QUOTATION NO</t>
  </si>
  <si>
    <t>SIZE</t>
  </si>
  <si>
    <t>MOC</t>
  </si>
  <si>
    <t>DATE</t>
  </si>
  <si>
    <t>LABOR</t>
  </si>
  <si>
    <t xml:space="preserve">NOTE : </t>
  </si>
  <si>
    <t>Testing</t>
  </si>
  <si>
    <t>Handling</t>
  </si>
  <si>
    <t>Total</t>
  </si>
  <si>
    <t>Add 5%</t>
  </si>
  <si>
    <t>Material Cost</t>
  </si>
  <si>
    <t>Material Markup 10%</t>
  </si>
  <si>
    <t>SubTotal</t>
  </si>
  <si>
    <t>Weld Supplies 3.33%</t>
  </si>
  <si>
    <t>Price</t>
  </si>
  <si>
    <t>VA$</t>
  </si>
  <si>
    <t>VPH</t>
  </si>
  <si>
    <t>GP$</t>
  </si>
  <si>
    <t>GP%</t>
  </si>
  <si>
    <t>MTRL</t>
  </si>
  <si>
    <t>FLANGE</t>
  </si>
  <si>
    <t>1.5" 150# RFSO</t>
  </si>
  <si>
    <t>SA182-304/304L B16.5</t>
  </si>
  <si>
    <t>PIPE</t>
  </si>
  <si>
    <t>SA312-304/304L WLD</t>
  </si>
  <si>
    <t>2" 150# RFSO</t>
  </si>
  <si>
    <t>ELBOW</t>
  </si>
  <si>
    <t>SA403-304/304L B16.9</t>
  </si>
  <si>
    <t>1" 150# RFSO</t>
  </si>
  <si>
    <t>1.5" SCH 40 X 1'</t>
  </si>
  <si>
    <t>2" SCH 40 X 1'</t>
  </si>
  <si>
    <t>1" SCH 40 X 1'</t>
  </si>
  <si>
    <t>1" SCH 40 LR 90 ELBOW</t>
  </si>
  <si>
    <t>2" SCH 40 LR 90 ELBOW</t>
  </si>
  <si>
    <t>3" 150# RFSO</t>
  </si>
  <si>
    <t>3" SCH 40 X 1'</t>
  </si>
  <si>
    <t>3" SCH 40 LR 90 ELBOW</t>
  </si>
  <si>
    <t>4" 150# RFSO</t>
  </si>
  <si>
    <t>4" SCH 40 X 1'</t>
  </si>
  <si>
    <t>5" 150# RFSO</t>
  </si>
  <si>
    <t>5" SCH 40 X 1'</t>
  </si>
  <si>
    <t>5" SCH 40 LR 90 ELBOW</t>
  </si>
  <si>
    <t>6" 150# RFSO</t>
  </si>
  <si>
    <t>6" SCH 40 X 1'</t>
  </si>
  <si>
    <t>6" SCH 40 LR 90 ELBOW</t>
  </si>
  <si>
    <t>8" 150# RFSO</t>
  </si>
  <si>
    <t>8" SCH 40 X 1'</t>
  </si>
  <si>
    <t>10" 150# RFSO</t>
  </si>
  <si>
    <t>10" SCH 40 X 1'</t>
  </si>
  <si>
    <t>10" SCH 40 LR 90 ELBOW</t>
  </si>
  <si>
    <t>12" 150# RFSO</t>
  </si>
  <si>
    <t>12" SCH 40 X 1'</t>
  </si>
  <si>
    <t>12" SCH 40 LR 90 ELBOW</t>
  </si>
  <si>
    <t>14" 150# RFSO</t>
  </si>
  <si>
    <t>14" SCH 40 X 1'</t>
  </si>
  <si>
    <t>16" 150# RFSO</t>
  </si>
  <si>
    <t>16" SCH 40 X 1'</t>
  </si>
  <si>
    <t>16" SCH 40 LR 90 ELBOW</t>
  </si>
  <si>
    <t>18" 150# RFSO</t>
  </si>
  <si>
    <t>18" SCH 40 X 1'</t>
  </si>
  <si>
    <t>18" SCH 40 LR 90 ELBOW</t>
  </si>
  <si>
    <t>20" 150# RFSO</t>
  </si>
  <si>
    <t>20" SCH 40 X 1'</t>
  </si>
  <si>
    <t>20" SCH 40 LR 90 ELBOW</t>
  </si>
  <si>
    <t>24" 150# RFSO</t>
  </si>
  <si>
    <t>24" SCH 40 X 1'</t>
  </si>
  <si>
    <t>30" 150# RFSO</t>
  </si>
  <si>
    <t>30" SCH 40 X 1'</t>
  </si>
  <si>
    <t>30" SCH 40 LR 90 ELBOW</t>
  </si>
  <si>
    <t>SA182-316/316L B16.5</t>
  </si>
  <si>
    <t>SA312-316/316L WLD</t>
  </si>
  <si>
    <t>SA403-316/316L B16.9</t>
  </si>
  <si>
    <t>SA105 B16.5</t>
  </si>
  <si>
    <t>SA53-B WLD</t>
  </si>
  <si>
    <t>SA234WPW B16.9</t>
  </si>
  <si>
    <t>SA240-316/316L</t>
  </si>
  <si>
    <t>RIM ANGLE</t>
  </si>
  <si>
    <t>SHELL</t>
  </si>
  <si>
    <t>BOTTOM</t>
  </si>
  <si>
    <t>SA240-304/304L</t>
  </si>
  <si>
    <t>LIFT LUG</t>
  </si>
  <si>
    <t>ANCHOR CHAIRS</t>
  </si>
  <si>
    <t>CONE TOP</t>
  </si>
  <si>
    <t>(1) 3/4" X 6" X 6"</t>
  </si>
  <si>
    <t xml:space="preserve">(2) 1/2" X 6" X 12" </t>
  </si>
  <si>
    <t>1/4" X " X "</t>
  </si>
  <si>
    <t>SA36</t>
  </si>
  <si>
    <t>SA193-B7/2H(PLTD.),PTFE/VITON</t>
  </si>
  <si>
    <t>BOLT, NUT, &amp; GSKT.</t>
  </si>
  <si>
    <t>SA193-B7/2H(PLTD.),GARLOCK 3000</t>
  </si>
  <si>
    <t>24" MW NECK</t>
  </si>
  <si>
    <t>24" MW  FLANGE</t>
  </si>
  <si>
    <t xml:space="preserve">5/8" </t>
  </si>
  <si>
    <t>24" MW COVER</t>
  </si>
  <si>
    <t>DAVIT ARM</t>
  </si>
  <si>
    <t>1/4" X 12" X 76"</t>
  </si>
  <si>
    <t>INTERNAL COIL</t>
  </si>
  <si>
    <t>COIL SUPPORTS</t>
  </si>
  <si>
    <t xml:space="preserve">1/4" X 4" X 10" FORMED FB </t>
  </si>
  <si>
    <t>1/4" X 10" X 110" FORMED ANGLE</t>
  </si>
  <si>
    <t>COIL SUPPORT ROD</t>
  </si>
  <si>
    <t>3" SCH10; 4 1/2" PITCH (14) TURNS FOR 109" OD SHELL</t>
  </si>
  <si>
    <t>3" SCH10; 5 1/2" PITCH (3) TURNS FOR 109" OD SHELL</t>
  </si>
  <si>
    <t>3" SCH40; 5 1/2" PITCH FOR 108" ID ASME F&amp;D 3/4" NOM. HEAD</t>
  </si>
  <si>
    <t>3" SCH 40 ELBOW LR 90</t>
  </si>
  <si>
    <t>TOP ZONE SHELL HALF PIPE COIL</t>
  </si>
  <si>
    <t>BOTTOM ZONE SHELL HALF PIPE COIL</t>
  </si>
  <si>
    <t>BOTTOM HEAD HALF PIPE COIL</t>
  </si>
  <si>
    <t>1/2" X 1" ROD     MF: (1) 12'</t>
  </si>
  <si>
    <t>GROUND LUG &amp; NP</t>
  </si>
  <si>
    <t>20" MW NECK</t>
  </si>
  <si>
    <t>20" MW  FLANGE</t>
  </si>
  <si>
    <t>20" MW COVER</t>
  </si>
  <si>
    <t>30" MW NECK</t>
  </si>
  <si>
    <t>30" MW  FLANGE</t>
  </si>
  <si>
    <t>30" MW COVER</t>
  </si>
  <si>
    <t>1/4" X 12" X 63"</t>
  </si>
  <si>
    <t>1/4" X 12" X 95"</t>
  </si>
  <si>
    <t>ITEMS IN RED NEED TO HAVE SIZE VERIFIED OR DIMENSIONS INPUT</t>
  </si>
  <si>
    <t>HANDRAIL TANK CLIPS</t>
  </si>
  <si>
    <t>SA479-304/304L</t>
  </si>
  <si>
    <t xml:space="preserve">HANDRAIL </t>
  </si>
  <si>
    <t>SAFETY GATE</t>
  </si>
  <si>
    <t>LADDER</t>
  </si>
  <si>
    <t>GCST</t>
  </si>
  <si>
    <t>LADDER FALL PROTECTION</t>
  </si>
  <si>
    <t>#487R49</t>
  </si>
  <si>
    <t>CABLE LIFELINE SYSTEM (GRAINGER) 30'</t>
  </si>
  <si>
    <t>AS OF</t>
  </si>
  <si>
    <t>SUPPLIER</t>
  </si>
  <si>
    <t>1.5" SCH 40 LR 90 ELBOW</t>
  </si>
  <si>
    <t>4" SCH 40 LR 90 ELBOW</t>
  </si>
  <si>
    <t>8" SCH 40 LR 90 ELBOW</t>
  </si>
  <si>
    <t>14" SCH 40 LR 90 ELBOW</t>
  </si>
  <si>
    <t>24" SCH 40 LR 90 ELBOW</t>
  </si>
  <si>
    <t>1" 150# RFWN</t>
  </si>
  <si>
    <t>1" SCH 80 X 1'</t>
  </si>
  <si>
    <t>1.5" 150# RFWN</t>
  </si>
  <si>
    <t>1.5" SCH 80 X 1'</t>
  </si>
  <si>
    <t>2" 150# RFWN</t>
  </si>
  <si>
    <t>2" SCH 80 X 1'</t>
  </si>
  <si>
    <t>3" 150# RFWN</t>
  </si>
  <si>
    <t>3" SCH 80 X 1'</t>
  </si>
  <si>
    <t>4" 150# RFWN</t>
  </si>
  <si>
    <t>4" SCH 80 X 1'</t>
  </si>
  <si>
    <t>PLATE PRICE PER POUND</t>
  </si>
  <si>
    <t>3/16"</t>
  </si>
  <si>
    <t>STANDARD PLATE SIZE 48" OR 60"</t>
  </si>
  <si>
    <t>RYERSON</t>
  </si>
  <si>
    <t>1/4"</t>
  </si>
  <si>
    <t>5/16"</t>
  </si>
  <si>
    <t>3/8"</t>
  </si>
  <si>
    <t>1/2"</t>
  </si>
  <si>
    <t>H.M. CRAIG</t>
  </si>
  <si>
    <t>5" 150# RFWN</t>
  </si>
  <si>
    <t>5" SCH 80 X 1'</t>
  </si>
  <si>
    <t>6" 150# RFWN</t>
  </si>
  <si>
    <t>6" SCH 80 X 1'</t>
  </si>
  <si>
    <t>8" 150# RFWN</t>
  </si>
  <si>
    <t>8" SCH 80 X 1'</t>
  </si>
  <si>
    <t>10" 150# RFWN</t>
  </si>
  <si>
    <t>10" SCH 80 X 1'</t>
  </si>
  <si>
    <t>12" 150# RFWN</t>
  </si>
  <si>
    <t>12" SCH 80 X 1'</t>
  </si>
  <si>
    <t>14" 150# RFWN</t>
  </si>
  <si>
    <t>14" SCH 80 X 1'</t>
  </si>
  <si>
    <t>16" 150# RFWN</t>
  </si>
  <si>
    <t>16" SCH 80 X 1'</t>
  </si>
  <si>
    <t>18" 150# RFWN</t>
  </si>
  <si>
    <t>18" SCH 80 X 1'</t>
  </si>
  <si>
    <t>20" 150# RFWN</t>
  </si>
  <si>
    <t>20" SCH 80 X 1'</t>
  </si>
  <si>
    <t>24" 150# RFWN</t>
  </si>
  <si>
    <t>24" SCH 80 X 1'</t>
  </si>
  <si>
    <t>30" 150# RFWN</t>
  </si>
  <si>
    <t>30" SCH 80 X 1'</t>
  </si>
  <si>
    <t>BLIND FLANGE</t>
  </si>
  <si>
    <t>3" 150# BLIND</t>
  </si>
  <si>
    <t>2" 150# BLIND</t>
  </si>
  <si>
    <t>1" 150# BLIND</t>
  </si>
  <si>
    <t>1.5" 150# BLIND</t>
  </si>
  <si>
    <t>4" 150# BLIND</t>
  </si>
  <si>
    <t>5" 150# BLIND</t>
  </si>
  <si>
    <t>6" 150# BLIND</t>
  </si>
  <si>
    <t>8" 150# BLIND</t>
  </si>
  <si>
    <t>10" 150# BLIND</t>
  </si>
  <si>
    <t>12" 150# BLIND</t>
  </si>
  <si>
    <t>14" 150# BLIND</t>
  </si>
  <si>
    <t>16" 150# BLIND</t>
  </si>
  <si>
    <t>18" 150# BLIND</t>
  </si>
  <si>
    <t>20" 150# BLIND</t>
  </si>
  <si>
    <t>24" 150# BLIND</t>
  </si>
  <si>
    <t>30" 150# BLIND</t>
  </si>
  <si>
    <t>COUPLING</t>
  </si>
  <si>
    <t>1/8" 3000# THREADED COUPLING</t>
  </si>
  <si>
    <t>1/4" 3000# THREADED COUPLING</t>
  </si>
  <si>
    <t>3/8" 3000# THREADED COUPLING</t>
  </si>
  <si>
    <t>1/2" 3000# THREADED COUPLING</t>
  </si>
  <si>
    <t>3/4" 3000# THREADED COUPLING</t>
  </si>
  <si>
    <t>1" 3000# THREADED COUPLING</t>
  </si>
  <si>
    <t>PLATFORM</t>
  </si>
  <si>
    <t>C6 X 8.2# X 20'</t>
  </si>
  <si>
    <t>EASTERN</t>
  </si>
  <si>
    <t>Carbon Steel Plates</t>
  </si>
  <si>
    <t>THICKNESS</t>
  </si>
  <si>
    <t xml:space="preserve">LBS/SQ. FT. </t>
  </si>
  <si>
    <t>5/8"</t>
  </si>
  <si>
    <t>3/4"</t>
  </si>
  <si>
    <t>7/8"</t>
  </si>
  <si>
    <t>1"</t>
  </si>
  <si>
    <t>1-1/4"</t>
  </si>
  <si>
    <t>1-1/2"</t>
  </si>
  <si>
    <t>1-3/4"</t>
  </si>
  <si>
    <t>2"</t>
  </si>
  <si>
    <t>2-1/2"</t>
  </si>
  <si>
    <t>3"</t>
  </si>
  <si>
    <t>3-1/4"</t>
  </si>
  <si>
    <t>3-1/2"</t>
  </si>
  <si>
    <t>3-3/4"</t>
  </si>
  <si>
    <t>4"</t>
  </si>
  <si>
    <t>Type 304/L &amp; 316/L                                                                                           Stainless Steel Plates</t>
  </si>
  <si>
    <t xml:space="preserve"> LADDER</t>
  </si>
  <si>
    <t>1.5" SCH40 HANDRAIL W/TOEKICK X '</t>
  </si>
  <si>
    <t>1/4" X 2" X 2"</t>
  </si>
  <si>
    <t>CHATHAM</t>
  </si>
  <si>
    <t>Nozzles 1" - 6" $75 / Nozzles 8" - 16" $100 / API Manways 18"+ $350 ASME Manways 18" + $500</t>
  </si>
  <si>
    <t xml:space="preserve">1" </t>
  </si>
  <si>
    <t>2" 3000# THREADED COUPLING</t>
  </si>
  <si>
    <t>LEVEL TRANSMITTER MOUNTING FLANGE</t>
  </si>
  <si>
    <t xml:space="preserve">7 1/2" X 1 1/2" </t>
  </si>
  <si>
    <t>MATERIAL &amp; MACHINING BY AEROTECH</t>
  </si>
  <si>
    <t>30" MANWAY</t>
  </si>
  <si>
    <t>CHASE ASSOCIATES</t>
  </si>
  <si>
    <t>CM-12</t>
  </si>
  <si>
    <t>24" MANWAY</t>
  </si>
  <si>
    <t>CM-2</t>
  </si>
  <si>
    <t>36" MANWAY</t>
  </si>
  <si>
    <t>Savannah Tank Standard</t>
  </si>
  <si>
    <t>SA106-B SMLS</t>
  </si>
  <si>
    <t>CLASS 150# RAISED FACE SLIP-ON FLANGES</t>
  </si>
  <si>
    <t>CLASS 150# RAISED FACE BLIND FLANGES</t>
  </si>
  <si>
    <t>CLASS 150# RAISED FACE WELD-NECK FLANGES</t>
  </si>
  <si>
    <t>SCHEDULE 40 WELDED PIPE</t>
  </si>
  <si>
    <t>SCHEDULE 40 SEAMLESS PIPE</t>
  </si>
  <si>
    <t>API TANK</t>
  </si>
  <si>
    <t>ASME TANK</t>
  </si>
  <si>
    <t>TOP HEAD</t>
  </si>
  <si>
    <t>BOTTOM HEAD</t>
  </si>
  <si>
    <t>1/2" X 6" X 6"</t>
  </si>
  <si>
    <t xml:space="preserve">5/16" X " X " </t>
  </si>
  <si>
    <t>5/16" X " X "</t>
  </si>
  <si>
    <t xml:space="preserve">1/4" X " X " </t>
  </si>
  <si>
    <t>ASME F&amp;D " OD .500 NOM W/ 1.5" SF</t>
  </si>
  <si>
    <t>ASME F&amp;D " OD .375 NOM W/ 1.5" SF</t>
  </si>
  <si>
    <t>SPARE MW GASKETS</t>
  </si>
  <si>
    <t>24" 316L INNER SPIRAL WOUND WITH PTFE FILLER 304L OUTER</t>
  </si>
  <si>
    <t>CLASS 150# B16.20</t>
  </si>
  <si>
    <t>SPARE 3" GASKETS</t>
  </si>
  <si>
    <t>3" 316L INNER SPIRAL WOUND WITH PTFE FILLER 304L OUTER</t>
  </si>
  <si>
    <t>SPARE 6" GASKETS</t>
  </si>
  <si>
    <t>6" 316L INNER SPIRAL WOUND WITH PTFE FILLER 304L OUTER</t>
  </si>
  <si>
    <t>Tank Handrails $18 / ft.</t>
  </si>
  <si>
    <t>Ladder (Caged) $25 / ft.</t>
  </si>
  <si>
    <t>Ladder (No-Cage) $20 / ft.</t>
  </si>
  <si>
    <t>Dye-Pen Testing Min $75 &amp; 4 M/H</t>
  </si>
  <si>
    <t>REDUCER</t>
  </si>
  <si>
    <t>Sub-Arc Welding: 14"/minute - 840"/hour "Figured welding in the flat"</t>
  </si>
  <si>
    <t xml:space="preserve">Hand Welding: 8"/minute - 480"/hour "Figured welding in the flat" </t>
  </si>
  <si>
    <t>SA312-304/304L SMLS</t>
  </si>
  <si>
    <t>SA312-316/316L SMLS</t>
  </si>
  <si>
    <t>SA790-2205 WLD</t>
  </si>
  <si>
    <t>Galvanizing cost is $0.67 per lbs.</t>
  </si>
  <si>
    <t>SA516-70</t>
  </si>
  <si>
    <t>SCHEDULE 40 ELBOWS</t>
  </si>
  <si>
    <t>SCHEDULE 80 WELDED PIPE</t>
  </si>
  <si>
    <t>SCHEDULE 80 SEAMLESS PIPE</t>
  </si>
  <si>
    <t>THREADED COUPLINGS</t>
  </si>
  <si>
    <t>PRICE AS NEEED</t>
  </si>
  <si>
    <t>MAKE FROM ROLLED PLATE</t>
  </si>
  <si>
    <t>R. J. SALES</t>
  </si>
  <si>
    <t>30" 2.12" THICK SERIES "E"</t>
  </si>
  <si>
    <t>30" 500W SERIES "A"</t>
  </si>
  <si>
    <t>304/L</t>
  </si>
  <si>
    <t>316/L</t>
  </si>
  <si>
    <t>516-70</t>
  </si>
  <si>
    <t>DIMPLE JACKET SHELL - 96" ID X 1/4" THICK</t>
  </si>
  <si>
    <t>14 GA. X 3" SPACE X 0.5" HOLE, 190" TALL, WITH 1.5" GAP AFTER WRAP AROUND</t>
  </si>
  <si>
    <t>DIMPLE JACKET BOTTOM CONE - 96" ID TOP TO 2.375" ID X 1/4" THICK</t>
  </si>
  <si>
    <t>14 GA. X 3" SPACE X 0.5" HOLE, 46" TALL, WITH 1.5" GAP AFTER WRAP AROUND</t>
  </si>
  <si>
    <t>304/L Angle &amp; Such</t>
  </si>
  <si>
    <t>PLATE SIZE 72"</t>
  </si>
  <si>
    <t>316/L Angle &amp; Such</t>
  </si>
  <si>
    <t xml:space="preserve">1/4" X 2" X 2" X 20' </t>
  </si>
  <si>
    <t>316L ANGLE</t>
  </si>
  <si>
    <t xml:space="preserve">1/4" X 4" X 12' </t>
  </si>
  <si>
    <t>316L FLAT BAR</t>
  </si>
  <si>
    <t>304L FLAT BAR</t>
  </si>
  <si>
    <t>3/8" X 4" X 4" X 20'</t>
  </si>
  <si>
    <t>304L ANGLE</t>
  </si>
  <si>
    <t>1/4" X 2" X 12'</t>
  </si>
  <si>
    <t>1/4" X 3" X 3" X 20'</t>
  </si>
  <si>
    <t>INTERNAL PIPE COIL</t>
  </si>
  <si>
    <t>2" SCH40 X 60'   MF: (3) 20'</t>
  </si>
  <si>
    <t>2" SCH40 LONG BEND ELBOW 6"R</t>
  </si>
  <si>
    <t>2" SCH40 LR ELBOW</t>
  </si>
  <si>
    <t>COIL SUPPORT ANGLE</t>
  </si>
  <si>
    <t>1/4" X 6" X 2" FORMED ANGLE</t>
  </si>
  <si>
    <t>U-BOLTS</t>
  </si>
  <si>
    <t xml:space="preserve">5/16" RND.  X 1' </t>
  </si>
  <si>
    <t>1/2" RND X 12'</t>
  </si>
  <si>
    <t>304L SOLID RND</t>
  </si>
  <si>
    <t>1/4" X 3" X 12'</t>
  </si>
  <si>
    <t>5/16" RND X 12'</t>
  </si>
  <si>
    <t>1/4" X 2" X 2" X 20'</t>
  </si>
  <si>
    <t>ELLIPTICAL MANWAY</t>
  </si>
  <si>
    <t>12" X 16" X 3/4" X 4" BOLT &amp; YOLK MANWAY 600 PSI @ 650 DEGREE F. W/ STANDARD GASKET</t>
  </si>
  <si>
    <t>ANGLE LEGS</t>
  </si>
  <si>
    <t xml:space="preserve">1/4" X 2" X 2" </t>
  </si>
  <si>
    <t>BEAM LEGS</t>
  </si>
  <si>
    <t xml:space="preserve">W10 X 33 X " </t>
  </si>
  <si>
    <t>PIPE LEGS</t>
  </si>
  <si>
    <t xml:space="preserve">6" SCH 40 X " </t>
  </si>
  <si>
    <t>BASE PLATES</t>
  </si>
  <si>
    <t xml:space="preserve">1/2" X 6" X 6" </t>
  </si>
  <si>
    <t>Labor Markup 20%</t>
  </si>
  <si>
    <t>Blast &amp; Paint</t>
  </si>
  <si>
    <t>2.5" 150# RFWN</t>
  </si>
  <si>
    <t xml:space="preserve">NEW NEED TO BE ADDED </t>
  </si>
  <si>
    <t>2.5" 150# BLIND</t>
  </si>
  <si>
    <t>2.5" SCH 40 X 1'</t>
  </si>
  <si>
    <t xml:space="preserve">THINGS TO ADD </t>
  </si>
  <si>
    <t>R.J. SALES</t>
  </si>
  <si>
    <t>SB575-C276 B16.5</t>
  </si>
  <si>
    <t>SB366-C276 WPW</t>
  </si>
  <si>
    <t>SB622-C276</t>
  </si>
  <si>
    <t>SB619-C276</t>
  </si>
  <si>
    <t>SB575-C276</t>
  </si>
  <si>
    <t>SA790-AL2205 WLD</t>
  </si>
  <si>
    <t>SA790-AL2205 SMLS</t>
  </si>
  <si>
    <t>SA182F-AL2205 B16.5</t>
  </si>
  <si>
    <t>SA182F-AL2205</t>
  </si>
  <si>
    <t>SA240-AL2205</t>
  </si>
  <si>
    <t>1 1/2" 3000# THREADED COUPLING</t>
  </si>
  <si>
    <t>2 1/2" 3000# THREADED COUPLING</t>
  </si>
  <si>
    <t>3" 3000# THREADED COUPLING</t>
  </si>
  <si>
    <t>2.5" 150# RFSO</t>
  </si>
  <si>
    <t xml:space="preserve">Southern </t>
  </si>
  <si>
    <t>ASME Stamp</t>
  </si>
  <si>
    <t xml:space="preserve">THREADED COUPLINGS </t>
  </si>
  <si>
    <t xml:space="preserve">MANWAYS </t>
  </si>
  <si>
    <t>Tanks over 14' Dia must have 1/4"  minimum wall thickness</t>
  </si>
  <si>
    <t xml:space="preserve">SOUTHERN </t>
  </si>
  <si>
    <t>MTRL $</t>
  </si>
  <si>
    <t>NEW MTRL $</t>
  </si>
  <si>
    <t>DIFF.</t>
  </si>
  <si>
    <t>NEW LABOR</t>
  </si>
  <si>
    <t>CHANGE ORDER ESTIMATION</t>
  </si>
  <si>
    <t>(1) 1/2" X 8" X 10"</t>
  </si>
  <si>
    <t xml:space="preserve">(2) 1/2" X 8" X 12" </t>
  </si>
  <si>
    <t>ASME F&amp;D " OD, .3133" MIN W/ 2" SF</t>
  </si>
  <si>
    <t>2:1 ELLIPTICAL " OD, .4162" MIN W/ 2" SF</t>
  </si>
  <si>
    <t>ANGLE, 1/4" X 2" X 2" X 6 9/16"    MF" (1) 20'</t>
  </si>
  <si>
    <t>INSULATIONS RINGS</t>
  </si>
  <si>
    <t>BAFFLES</t>
  </si>
  <si>
    <t>BAFFLE SUPPORTS</t>
  </si>
  <si>
    <t>1/4" X 2" X 24"  MF: BAFFLE DROP</t>
  </si>
  <si>
    <t>LADDER, HANDRAIL, &amp; PLATFORM</t>
  </si>
  <si>
    <t>DIMPLE JACKETS &amp; HALF-PIPE JACKETS</t>
  </si>
  <si>
    <t>INTERNAL COILS</t>
  </si>
  <si>
    <t>3" SCH 40 X 20'  MF: (6) 20'</t>
  </si>
  <si>
    <t>SERPENTINE COIL</t>
  </si>
  <si>
    <t>MISC. MANWAYS</t>
  </si>
  <si>
    <t>NUT, BOLT, GASKET</t>
  </si>
  <si>
    <t>MISC. ITEMS</t>
  </si>
  <si>
    <t>FLAT TOP</t>
  </si>
  <si>
    <t>CONE BOTTOM</t>
  </si>
  <si>
    <t>ROOF STIFFERNERS</t>
  </si>
  <si>
    <t>C6 X 5.4 X 20'</t>
  </si>
  <si>
    <t>FLAT TOP / CONE BOTTOM TANK</t>
  </si>
  <si>
    <t>3/8" X 3" X 3" X 20'</t>
  </si>
  <si>
    <t>1/4" X 4" X 4" X 20'</t>
  </si>
  <si>
    <t xml:space="preserve">1/2" X 4" X 4" X 20' </t>
  </si>
  <si>
    <t xml:space="preserve">3/16" X 2" X 2" X 20' </t>
  </si>
  <si>
    <t>W4 X 13 X 20'</t>
  </si>
  <si>
    <t xml:space="preserve">1/4" X 2" X 20' </t>
  </si>
  <si>
    <t>SA36 FLATBAR</t>
  </si>
  <si>
    <t xml:space="preserve">1" X 6" X 6" X 20' </t>
  </si>
  <si>
    <t>W14 X 90 X 40'</t>
  </si>
  <si>
    <t>Labor $80</t>
  </si>
  <si>
    <t>5/8" X 8" X 8" X 20'</t>
  </si>
  <si>
    <t>1/2" X 5" X 5" X 20'</t>
  </si>
  <si>
    <t>CST Angle &amp; Such</t>
  </si>
  <si>
    <t>3/16" X 2" X 2" X 20'</t>
  </si>
  <si>
    <t>3/16" X 2" X 12'</t>
  </si>
  <si>
    <t>14" NOZZLE NECK</t>
  </si>
  <si>
    <t>16" NOZZLE NECK</t>
  </si>
  <si>
    <t>18" NOZZLE NECK</t>
  </si>
  <si>
    <t>20" NOZZLE NECK</t>
  </si>
  <si>
    <t>24" NOZZLE NECK</t>
  </si>
  <si>
    <t>30" NOZZLE NECK</t>
  </si>
  <si>
    <t>1/4" X 12" X 44"</t>
  </si>
  <si>
    <t>1/4" X 12" X 51"</t>
  </si>
  <si>
    <t>1/4" X 12" X 57"</t>
  </si>
  <si>
    <t>3/8" X 12" X 44"</t>
  </si>
  <si>
    <t>3/8" X 12" X 51"</t>
  </si>
  <si>
    <t>3/8" X 12" X 57"</t>
  </si>
  <si>
    <t>3/8" X 12" X 63"</t>
  </si>
  <si>
    <t>3/8" X 12" X 76"</t>
  </si>
  <si>
    <t>3/8" X 12" X 95"</t>
  </si>
  <si>
    <t>HORIZONTAL TANK</t>
  </si>
  <si>
    <t>LEFT &amp; RIGHT HEAD</t>
  </si>
  <si>
    <t>SADDLE WEB</t>
  </si>
  <si>
    <t xml:space="preserve">1/2" X 60" X 84" </t>
  </si>
  <si>
    <t>SADDLE STIFFENERS</t>
  </si>
  <si>
    <t>1/2" X 8" X 60"</t>
  </si>
  <si>
    <t>SADDLE BASE PLATE</t>
  </si>
  <si>
    <t xml:space="preserve">5/8" X 9" X 84 </t>
  </si>
  <si>
    <t>3" TO 2 1/2"</t>
  </si>
  <si>
    <t>316L SOLID RND</t>
  </si>
  <si>
    <t>Galvanizing</t>
  </si>
  <si>
    <t>X-Ray</t>
  </si>
  <si>
    <t>Cleaning</t>
  </si>
  <si>
    <t>1/2" X 3" X 3" X 20'</t>
  </si>
  <si>
    <t>SOUTHERN</t>
  </si>
  <si>
    <t>3/8" X 2" X 2" X 20'</t>
  </si>
  <si>
    <t>3/8" X 6" X 6" X 20'</t>
  </si>
  <si>
    <t>5/8" X 6" X 6" X 20'</t>
  </si>
  <si>
    <t>304/L Flat &amp; Channel</t>
  </si>
  <si>
    <t>C6 X 8.2 X 20'</t>
  </si>
  <si>
    <t>304l CHANNEL</t>
  </si>
  <si>
    <t>1 1/4" 3000# THREADED COUPLING</t>
  </si>
  <si>
    <t>R. J. Sales</t>
  </si>
  <si>
    <t>3/4" X 6" X 6" X 20</t>
  </si>
  <si>
    <t>1" X 6" X 6" X 20</t>
  </si>
  <si>
    <t>3/8" X 2" X 12'</t>
  </si>
  <si>
    <t>3/4" X 8" X 8" X 20'</t>
  </si>
  <si>
    <t xml:space="preserve">Grillage       3MH per </t>
  </si>
  <si>
    <t>SKIRT</t>
  </si>
  <si>
    <t xml:space="preserve">3/16" X 60" X 240" </t>
  </si>
  <si>
    <t>BASE PLATE</t>
  </si>
  <si>
    <t>1/2" X 60" X 120"</t>
  </si>
  <si>
    <t>GUSSET</t>
  </si>
  <si>
    <t>3/8" X 5" X 5"</t>
  </si>
  <si>
    <t>30" SKIRT OPENING</t>
  </si>
  <si>
    <t>HM CRAIG</t>
  </si>
  <si>
    <t>SA992</t>
  </si>
  <si>
    <t>C3 X 6 X 20'</t>
  </si>
  <si>
    <t>1/4" 120" wide</t>
  </si>
  <si>
    <t>3/16" 96" WIDE</t>
  </si>
  <si>
    <t>5/16" X 20'         ROUND BAR</t>
  </si>
  <si>
    <t>5/8" X 4" X 4" X 20'</t>
  </si>
  <si>
    <t>1/2" X 3.5" X 3.5" X 20'</t>
  </si>
  <si>
    <t>MATERIAL</t>
  </si>
  <si>
    <t>WIDTH</t>
  </si>
  <si>
    <t>PRICE</t>
  </si>
  <si>
    <t>LENGTH</t>
  </si>
  <si>
    <t>QUANTITY</t>
  </si>
  <si>
    <t>WEIGHT</t>
  </si>
  <si>
    <t>1/4</t>
  </si>
  <si>
    <t>5/16</t>
  </si>
  <si>
    <t>1</t>
  </si>
  <si>
    <t>3/16</t>
  </si>
  <si>
    <t>3/8</t>
  </si>
  <si>
    <t>1/2</t>
  </si>
  <si>
    <t>5/8</t>
  </si>
  <si>
    <t>3/4</t>
  </si>
  <si>
    <t>7/8</t>
  </si>
  <si>
    <t>END CAP</t>
  </si>
  <si>
    <t>24" SCH 10</t>
  </si>
  <si>
    <t>6" SCH 10</t>
  </si>
  <si>
    <t>SA403-304/304L B16.10</t>
  </si>
  <si>
    <t>ORIGINAL</t>
  </si>
  <si>
    <t>+250</t>
  </si>
  <si>
    <t>+500</t>
  </si>
  <si>
    <t>+750</t>
  </si>
  <si>
    <t>+1000</t>
  </si>
  <si>
    <t>+1250</t>
  </si>
  <si>
    <t>+1500</t>
  </si>
  <si>
    <t>+1750</t>
  </si>
  <si>
    <t>+2000</t>
  </si>
  <si>
    <t>+2250</t>
  </si>
  <si>
    <t>+2500</t>
  </si>
  <si>
    <t>+2750</t>
  </si>
  <si>
    <t>+3000</t>
  </si>
  <si>
    <t>+3250</t>
  </si>
  <si>
    <t>+3500</t>
  </si>
  <si>
    <t>+3750</t>
  </si>
  <si>
    <t>+4000</t>
  </si>
  <si>
    <t>+4250</t>
  </si>
  <si>
    <t>+4500</t>
  </si>
  <si>
    <t>+4750</t>
  </si>
  <si>
    <t>+5000</t>
  </si>
  <si>
    <t>ROUNDED</t>
  </si>
  <si>
    <t>3/8" X 4" Square</t>
  </si>
  <si>
    <t>1/4" X 3" Square</t>
  </si>
  <si>
    <t>3/8" X 6" Square</t>
  </si>
  <si>
    <t>3/8" X 5" Square</t>
  </si>
  <si>
    <t>+5250</t>
  </si>
  <si>
    <t>+5500</t>
  </si>
  <si>
    <t>+5750</t>
  </si>
  <si>
    <t>+6000</t>
  </si>
  <si>
    <t>+6250</t>
  </si>
  <si>
    <t>+6500</t>
  </si>
  <si>
    <t>+6750</t>
  </si>
  <si>
    <t>+7000</t>
  </si>
  <si>
    <t>+7250</t>
  </si>
  <si>
    <t>+7500</t>
  </si>
  <si>
    <t>+7750</t>
  </si>
  <si>
    <t>+8000</t>
  </si>
  <si>
    <t>+8250</t>
  </si>
  <si>
    <t>+8500</t>
  </si>
  <si>
    <t>+8750</t>
  </si>
  <si>
    <t>+9000</t>
  </si>
  <si>
    <t>+9250</t>
  </si>
  <si>
    <t>+9500</t>
  </si>
  <si>
    <t>+9750</t>
  </si>
  <si>
    <t>+10000</t>
  </si>
  <si>
    <t>+10250</t>
  </si>
  <si>
    <t>+10500</t>
  </si>
  <si>
    <t>+10750</t>
  </si>
  <si>
    <t>+11000</t>
  </si>
  <si>
    <t>+11250</t>
  </si>
  <si>
    <t>+11500</t>
  </si>
  <si>
    <t>+11750</t>
  </si>
  <si>
    <t>+12000</t>
  </si>
  <si>
    <t>+12250</t>
  </si>
  <si>
    <t>+12500</t>
  </si>
  <si>
    <t>+12750</t>
  </si>
  <si>
    <t>+13000</t>
  </si>
  <si>
    <t>+13250</t>
  </si>
  <si>
    <t>+13500</t>
  </si>
  <si>
    <t>+13750</t>
  </si>
  <si>
    <t>+14000</t>
  </si>
  <si>
    <t>+14250</t>
  </si>
  <si>
    <t>+14500</t>
  </si>
  <si>
    <t>+14750</t>
  </si>
  <si>
    <t>+15000</t>
  </si>
  <si>
    <t>+15250</t>
  </si>
  <si>
    <t>+15500</t>
  </si>
  <si>
    <t>+15750</t>
  </si>
  <si>
    <t>+16000</t>
  </si>
  <si>
    <t>+16250</t>
  </si>
  <si>
    <t>+16500</t>
  </si>
  <si>
    <t>+16750</t>
  </si>
  <si>
    <t>+17000</t>
  </si>
  <si>
    <t>+17250</t>
  </si>
  <si>
    <t>+17500</t>
  </si>
  <si>
    <t>+17750</t>
  </si>
  <si>
    <t>+18000</t>
  </si>
  <si>
    <t>AMERICAN</t>
  </si>
  <si>
    <t>PAD FLANGE</t>
  </si>
  <si>
    <t>QUOTED PRICE</t>
  </si>
  <si>
    <t>QUOTED VA$</t>
  </si>
  <si>
    <t>QUOTED VPH</t>
  </si>
  <si>
    <t>QUOTED GP$</t>
  </si>
  <si>
    <t>QUOTED GP%</t>
  </si>
  <si>
    <t>FIELD TANK</t>
  </si>
  <si>
    <t>Shipped in () Pie-cut sections</t>
  </si>
  <si>
    <t>1/4" X 2" X 2" X "                         () 20' Angle</t>
  </si>
  <si>
    <t>Shipped in () pre-rolled segments</t>
  </si>
  <si>
    <t>3/16" X " X "</t>
  </si>
  <si>
    <t>Shipped in () pre-formed segments</t>
  </si>
  <si>
    <t>Shipped in () segments</t>
  </si>
  <si>
    <t>(1) 1" X 8" X 13"</t>
  </si>
  <si>
    <t xml:space="preserve">(2) 1" X 8" X 12" </t>
  </si>
  <si>
    <t>3/16" 120" WIDE</t>
  </si>
  <si>
    <t xml:space="preserve">1-1/4" X 3/16" X 36" X 240" HOT ROLLED BAR GRATING (SERRATED, UNCOATED)  </t>
  </si>
  <si>
    <t>CHANGE ORDER PRICE</t>
  </si>
  <si>
    <t>CHANGE ORDER VA$</t>
  </si>
  <si>
    <t>CHANGE ORDER VPH</t>
  </si>
  <si>
    <t>CHANGE ORDER GP$</t>
  </si>
  <si>
    <t>CHANGE ORDER GP%</t>
  </si>
  <si>
    <t>Change Total</t>
  </si>
  <si>
    <t>Labor $120</t>
  </si>
  <si>
    <t>Link to 2205 DUPLEX SS</t>
  </si>
  <si>
    <t>Link to C276</t>
  </si>
  <si>
    <t>Notes!AC1</t>
  </si>
  <si>
    <t>Notes!BD1</t>
  </si>
  <si>
    <t>W18 X 106 X 30'</t>
  </si>
  <si>
    <t>TANK TYPES</t>
  </si>
  <si>
    <t>API</t>
  </si>
  <si>
    <t>ASME</t>
  </si>
  <si>
    <t>FLAT TOP / CONE BOTTOM</t>
  </si>
  <si>
    <t>HORIZONTAL</t>
  </si>
  <si>
    <t>FIELD KIT</t>
  </si>
  <si>
    <t>HOME</t>
  </si>
  <si>
    <t>1" 150# SCH 40 RFWN</t>
  </si>
  <si>
    <t>1.5" 150# SCH 40 RFWN</t>
  </si>
  <si>
    <t>2" 150# SCH 40 RFWN</t>
  </si>
  <si>
    <t>3" 150# SCH 40 RFWN</t>
  </si>
  <si>
    <t>4" 150# SCH 40 RFWN</t>
  </si>
  <si>
    <t>5" 150# SCH 40 RFWN</t>
  </si>
  <si>
    <t>6" 150# SCH 40 RFWN</t>
  </si>
  <si>
    <t>8" 150# SCH 40 RFWN</t>
  </si>
  <si>
    <t>10" 150# SCH 40 RFWN</t>
  </si>
  <si>
    <t>12" 150# SCH 40 RFWN</t>
  </si>
  <si>
    <t>14" 150# SCH 40 RFWN</t>
  </si>
  <si>
    <t>16" 150# SCH 40 RFWN</t>
  </si>
  <si>
    <t>18" 150# SCH 40 RFWN</t>
  </si>
  <si>
    <t>20" 150# SCH 40 RFWN</t>
  </si>
  <si>
    <t>24" 150# SCH 40 RFWN</t>
  </si>
  <si>
    <t>30" 150# SCH 40 RFWN</t>
  </si>
  <si>
    <t>CARBON STEEL 150#</t>
  </si>
  <si>
    <t>1" 150# SCH 80 RFWN</t>
  </si>
  <si>
    <t>1.5" 150# SCH 80 RFWN</t>
  </si>
  <si>
    <t>2" 150# SCH 80 RFWN</t>
  </si>
  <si>
    <t>3" 150# SCH 80 RFWN</t>
  </si>
  <si>
    <t>4" 150# SCH 80 RFWN</t>
  </si>
  <si>
    <t>5" 150# SCH 80 RFWN</t>
  </si>
  <si>
    <t>6" 150# SCH 80 RFWN</t>
  </si>
  <si>
    <t>8" 150# SCH 80 RFWN</t>
  </si>
  <si>
    <t>10" 150# SCH 80 RFWN</t>
  </si>
  <si>
    <t>12" 150# SCH 80 RFWN</t>
  </si>
  <si>
    <t>14" 150# SCH 80 RFWN</t>
  </si>
  <si>
    <t>16" 150# SCH 80 RFWN</t>
  </si>
  <si>
    <t>18" 150# SCH 80 RFWN</t>
  </si>
  <si>
    <t>20" 150# SCH 80 RFWN</t>
  </si>
  <si>
    <t>24" 150# SCH 80 RFWN</t>
  </si>
  <si>
    <t>30" 150# SCH 80 RFWN</t>
  </si>
  <si>
    <t>150# FLANGES</t>
  </si>
  <si>
    <t>CARBON STEEL 300#</t>
  </si>
  <si>
    <t>CLASS 300# RAISED FACE SLIP-ON FLANGES</t>
  </si>
  <si>
    <t>CLASS 300# RAISED FACE BLIND FLANGES</t>
  </si>
  <si>
    <t>1" 300# RFSO</t>
  </si>
  <si>
    <t>1" 300# BLIND</t>
  </si>
  <si>
    <t>1.5" 300# RFSO</t>
  </si>
  <si>
    <t>1.5" 300# BLIND</t>
  </si>
  <si>
    <t>2" 300# RFSO</t>
  </si>
  <si>
    <t>2" 300# BLIND</t>
  </si>
  <si>
    <t>3" 300# RFSO</t>
  </si>
  <si>
    <t>3" 300# BLIND</t>
  </si>
  <si>
    <t>4" 300# RFSO</t>
  </si>
  <si>
    <t>4" 300# BLIND</t>
  </si>
  <si>
    <t>5" 300# RFSO</t>
  </si>
  <si>
    <t>5" 300# BLIND</t>
  </si>
  <si>
    <t>6" 300# RFSO</t>
  </si>
  <si>
    <t>6" 300# BLIND</t>
  </si>
  <si>
    <t>8" 300# RFSO</t>
  </si>
  <si>
    <t>8" 300# BLIND</t>
  </si>
  <si>
    <t>10" 300# RFSO</t>
  </si>
  <si>
    <t>10" 300# BLIND</t>
  </si>
  <si>
    <t>12" 300# RFSO</t>
  </si>
  <si>
    <t>12" 300# BLIND</t>
  </si>
  <si>
    <t>14" 300# RFSO</t>
  </si>
  <si>
    <t>14" 300# BLIND</t>
  </si>
  <si>
    <t>16" 300# RFSO</t>
  </si>
  <si>
    <t>16" 300# BLIND</t>
  </si>
  <si>
    <t>18" 300# RFSO</t>
  </si>
  <si>
    <t>18" 300# BLIND</t>
  </si>
  <si>
    <t>20" 300# RFSO</t>
  </si>
  <si>
    <t>20" 300# BLIND</t>
  </si>
  <si>
    <t>24" 300# RFSO</t>
  </si>
  <si>
    <t>24" 300# BLIND</t>
  </si>
  <si>
    <t>30" 300# RFSO</t>
  </si>
  <si>
    <t>30" 300# BLIND</t>
  </si>
  <si>
    <t>CLASS 300# RAISED FACE WELD-NECK FLANGES</t>
  </si>
  <si>
    <t>1" 300# SCH 40 RFWN</t>
  </si>
  <si>
    <t>1" 300# SCH 80 RFWN</t>
  </si>
  <si>
    <t>1.5" 300# SCH 40 RFWN</t>
  </si>
  <si>
    <t>1.5" 300# SCH 80 RFWN</t>
  </si>
  <si>
    <t>2" 300# SCH 40 RFWN</t>
  </si>
  <si>
    <t>2" 300# SCH 80 RFWN</t>
  </si>
  <si>
    <t>3" 300# SCH 40 RFWN</t>
  </si>
  <si>
    <t>3" 300# SCH 80 RFWN</t>
  </si>
  <si>
    <t>4" 300# SCH 40 RFWN</t>
  </si>
  <si>
    <t>4" 300# SCH 80 RFWN</t>
  </si>
  <si>
    <t>5" 300# SCH 40 RFWN</t>
  </si>
  <si>
    <t>5" 300# SCH 80 RFWN</t>
  </si>
  <si>
    <t>6" 300# SCH 40 RFWN</t>
  </si>
  <si>
    <t>6" 300# SCH 80 RFWN</t>
  </si>
  <si>
    <t>8" 300# SCH 40 RFWN</t>
  </si>
  <si>
    <t>8" 300# SCH 80 RFWN</t>
  </si>
  <si>
    <t>10" 300# SCH 40 RFWN</t>
  </si>
  <si>
    <t>10" 300# SCH 80 RFWN</t>
  </si>
  <si>
    <t>12" 300# SCH 40 RFWN</t>
  </si>
  <si>
    <t>12" 300# SCH 80 RFWN</t>
  </si>
  <si>
    <t>14" 300# SCH 40 RFWN</t>
  </si>
  <si>
    <t>14" 300# SCH 80 RFWN</t>
  </si>
  <si>
    <t>16" 300# SCH 40 RFWN</t>
  </si>
  <si>
    <t>16" 300# SCH 80 RFWN</t>
  </si>
  <si>
    <t>18" 300# SCH 40 RFWN</t>
  </si>
  <si>
    <t>18" 300# SCH 80 RFWN</t>
  </si>
  <si>
    <t>20" 300# SCH 40 RFWN</t>
  </si>
  <si>
    <t>20" 300# SCH 80 RFWN</t>
  </si>
  <si>
    <t>24" 300# SCH 40 RFWN</t>
  </si>
  <si>
    <t>24" 300# SCH 80 RFWN</t>
  </si>
  <si>
    <t>30" 300# SCH 40 RFWN</t>
  </si>
  <si>
    <t>30" 300# SCH 80 RFWN</t>
  </si>
  <si>
    <t>300# FLANGES</t>
  </si>
  <si>
    <t>CARBON STEEL WELDED PIPE</t>
  </si>
  <si>
    <t>CARBON STEEL SEAMLESS PIPE</t>
  </si>
  <si>
    <t>CARBON STEEL MISC.</t>
  </si>
  <si>
    <t>WELDED PIPE</t>
  </si>
  <si>
    <t>SEAMLESS PIPE</t>
  </si>
  <si>
    <t>MISCELLANEOUS</t>
  </si>
  <si>
    <t>304 SS 150#</t>
  </si>
  <si>
    <t>304 SS 300#</t>
  </si>
  <si>
    <t>304 SS WELDED PIPE</t>
  </si>
  <si>
    <t>304 SS SEAMLESS PIPE</t>
  </si>
  <si>
    <t>304 SS MISC.</t>
  </si>
  <si>
    <t>1" 300# RFWN</t>
  </si>
  <si>
    <t>1.5" 300# RFWN</t>
  </si>
  <si>
    <t>2" 300# RFWN</t>
  </si>
  <si>
    <t>3" 300# RFWN</t>
  </si>
  <si>
    <t>4" 300# RFWN</t>
  </si>
  <si>
    <t>5" 300# RFWN</t>
  </si>
  <si>
    <t>6" 300# RFWN</t>
  </si>
  <si>
    <t>8" 300# RFWN</t>
  </si>
  <si>
    <t>10" 300# RFWN</t>
  </si>
  <si>
    <t>12" 300# RFWN</t>
  </si>
  <si>
    <t>14" 300# RFWN</t>
  </si>
  <si>
    <t>16" 300# RFWN</t>
  </si>
  <si>
    <t>18" 300# RFWN</t>
  </si>
  <si>
    <t>20" 300# RFWN</t>
  </si>
  <si>
    <t>24" 300# RFWN</t>
  </si>
  <si>
    <t>30" 300# RFWN</t>
  </si>
  <si>
    <t>MISCELLANEOUS/PAD FLANGE</t>
  </si>
  <si>
    <t>316 SS 150#</t>
  </si>
  <si>
    <t>316 SS 300#</t>
  </si>
  <si>
    <t>316 SS WELDED PIPE</t>
  </si>
  <si>
    <t>316 SS SEAMLESS PIPE</t>
  </si>
  <si>
    <t>316 SS MISC.</t>
  </si>
  <si>
    <t>ADD-ONS</t>
  </si>
  <si>
    <t>Notes!BD1:CJ2</t>
  </si>
  <si>
    <t>Notes!AC1:BB42</t>
  </si>
  <si>
    <t>NOTES</t>
  </si>
  <si>
    <t>CARBON</t>
  </si>
  <si>
    <t>SHEET CALCULATOR</t>
  </si>
  <si>
    <t>Shell Rolling - Carbon Steel Tanks</t>
  </si>
  <si>
    <t>TANK DIA ID/ OD IN FT</t>
  </si>
  <si>
    <t>TANK ID/ OD IN INCH</t>
  </si>
  <si>
    <t>LNGTH</t>
  </si>
  <si>
    <t xml:space="preserve">3/16"-5/16" (ONE PASS) </t>
  </si>
  <si>
    <t>3/8"(ONE PASS)</t>
  </si>
  <si>
    <t>1/2" (TWO PASSES)</t>
  </si>
  <si>
    <t>5/8" &amp; 3/4"(TWO SLOW PASSES)</t>
  </si>
  <si>
    <t>M &amp; C</t>
  </si>
  <si>
    <t>WLD</t>
  </si>
  <si>
    <t>ROLL</t>
  </si>
  <si>
    <t>I/S WLD</t>
  </si>
  <si>
    <t>TOT</t>
  </si>
  <si>
    <t>M,C,VB</t>
  </si>
  <si>
    <t>M,C,VVB</t>
  </si>
  <si>
    <t>UP TO 2'-6"</t>
  </si>
  <si>
    <t>UP TO 30"</t>
  </si>
  <si>
    <t>96"</t>
  </si>
  <si>
    <t>FROM 2'-7" TO 3'-0"</t>
  </si>
  <si>
    <t>FROM 31" TO 36"</t>
  </si>
  <si>
    <t>120"</t>
  </si>
  <si>
    <t>FROM 3'-1" TO 3'-9"</t>
  </si>
  <si>
    <t>FROM 37" TO 45"</t>
  </si>
  <si>
    <t>144"</t>
  </si>
  <si>
    <t>FROM 3'-10" TO 6'-3"</t>
  </si>
  <si>
    <t>FROM 46" TO 75"</t>
  </si>
  <si>
    <t>240"</t>
  </si>
  <si>
    <t>FROM 6-4" TO 7'-0"</t>
  </si>
  <si>
    <t>FROM 76" TO 84"</t>
  </si>
  <si>
    <t>360"</t>
  </si>
  <si>
    <t>FROM 7'-1" TO 7-6"</t>
  </si>
  <si>
    <t>FROM 85" TO 90"</t>
  </si>
  <si>
    <t>FROM 7'-7" TO 8'-0"</t>
  </si>
  <si>
    <t>FROM 91" TO 96"</t>
  </si>
  <si>
    <t>FROM 8'-1" TO 8'-6"</t>
  </si>
  <si>
    <t>FROM 97" TO 102"</t>
  </si>
  <si>
    <t>FROM 8'-7" TO 9'-0"</t>
  </si>
  <si>
    <t>FROM 103" TO 108"</t>
  </si>
  <si>
    <t>FROM 9'-1" TO 9'-6"</t>
  </si>
  <si>
    <t>FROM 109" TO 114"</t>
  </si>
  <si>
    <t>FROM 9'-7" TO 10'-0"</t>
  </si>
  <si>
    <t>FROM 115" TO 120"</t>
  </si>
  <si>
    <t>480"</t>
  </si>
  <si>
    <t>FROM 10' -1"TO 10'-6"</t>
  </si>
  <si>
    <t>FROM 121" TO 126"</t>
  </si>
  <si>
    <t>FROM 10'-7" TO 11'-0"</t>
  </si>
  <si>
    <t>FROM 127" TO 132"</t>
  </si>
  <si>
    <t>FROM 11'-1" TO 11'-6"</t>
  </si>
  <si>
    <t>FROM 133" TO 138"</t>
  </si>
  <si>
    <t>FROM 11'-7" TO 12'-0"</t>
  </si>
  <si>
    <t>FROM 139" TO 144"</t>
  </si>
  <si>
    <t>FROM 12'-1" TO 12'-6"</t>
  </si>
  <si>
    <t>FROM 145" TO 150"</t>
  </si>
  <si>
    <t>FROM 12'-7" TO 13'-0"</t>
  </si>
  <si>
    <t>FROM 151" TO 156"</t>
  </si>
  <si>
    <t>FROM 13'-1" TO 13'-6"</t>
  </si>
  <si>
    <t xml:space="preserve">FROM 157" TO 162" </t>
  </si>
  <si>
    <t>FROM 13'-7" TO 14'-0"</t>
  </si>
  <si>
    <t>FROM 163" TO 168"</t>
  </si>
  <si>
    <t>FROM 14'-1" TO 14-6"</t>
  </si>
  <si>
    <t>FROM 169" TO 174"</t>
  </si>
  <si>
    <t>FROM 14'-7" TO 15'-0"</t>
  </si>
  <si>
    <t>FROM 175" to 180"</t>
  </si>
  <si>
    <t>FROM 15'-1" TO 15'-6"</t>
  </si>
  <si>
    <t>FROM 181" TO 186"</t>
  </si>
  <si>
    <t>FROM 15'-7" TO 16'-0"</t>
  </si>
  <si>
    <t xml:space="preserve">FROM 187" TO 192" </t>
  </si>
  <si>
    <t>CST SHELL ROLLING</t>
  </si>
  <si>
    <t>269"</t>
  </si>
  <si>
    <t>287"</t>
  </si>
  <si>
    <t>306"</t>
  </si>
  <si>
    <t>325"</t>
  </si>
  <si>
    <t>173"</t>
  </si>
  <si>
    <t>183"</t>
  </si>
  <si>
    <t>192"</t>
  </si>
  <si>
    <t>201"</t>
  </si>
  <si>
    <t>211"</t>
  </si>
  <si>
    <t>220"</t>
  </si>
  <si>
    <t>248"</t>
  </si>
  <si>
    <t>258"</t>
  </si>
  <si>
    <t>267"</t>
  </si>
  <si>
    <t>286"</t>
  </si>
  <si>
    <t>296"</t>
  </si>
  <si>
    <t>305"</t>
  </si>
  <si>
    <t>SS SHELL ROLLING</t>
  </si>
  <si>
    <t>QUOTE TABLES</t>
  </si>
  <si>
    <t>Tank Assembly - API Tops, Bottoms, and Rim Angles</t>
  </si>
  <si>
    <t>FLAT / CONE TOP ON RIM ANGLE</t>
  </si>
  <si>
    <t>CUT</t>
  </si>
  <si>
    <t>MAKE</t>
  </si>
  <si>
    <t>FIT</t>
  </si>
  <si>
    <t>WELD</t>
  </si>
  <si>
    <t>FLAT</t>
  </si>
  <si>
    <t>CONE</t>
  </si>
  <si>
    <t>BTM</t>
  </si>
  <si>
    <t>TOTAL</t>
  </si>
  <si>
    <t>RIM</t>
  </si>
  <si>
    <t>TOP</t>
  </si>
  <si>
    <t>TO RIM</t>
  </si>
  <si>
    <t>FROM 3'-10" TO 5'-10"</t>
  </si>
  <si>
    <t>FROM 46" TO 70"</t>
  </si>
  <si>
    <t>FROM 5-11" TO 7'-0"</t>
  </si>
  <si>
    <t>FROM 71" TO 84"</t>
  </si>
  <si>
    <t>API TOP, BOTTOM, RIM ANGLE</t>
  </si>
  <si>
    <t>Tank Assembly - Heads and Shells</t>
  </si>
  <si>
    <t>Hours  / Welded Seam</t>
  </si>
  <si>
    <t xml:space="preserve"> SHELLS 3/16" - 5/16"</t>
  </si>
  <si>
    <t xml:space="preserve"> SHELLS 1/2" </t>
  </si>
  <si>
    <t xml:space="preserve"> SHELLS 5/8"</t>
  </si>
  <si>
    <t xml:space="preserve"> SHELLS 3/4" </t>
  </si>
  <si>
    <t>FIT +</t>
  </si>
  <si>
    <t>TACK</t>
  </si>
  <si>
    <t>IN</t>
  </si>
  <si>
    <t>OUT</t>
  </si>
  <si>
    <t>HEADS/SHELL SEAMS</t>
  </si>
  <si>
    <t>Tank Diameter</t>
  </si>
  <si>
    <t>Leg Size</t>
  </si>
  <si>
    <t># of Legs</t>
  </si>
  <si>
    <t>Poison Pad req'd?</t>
  </si>
  <si>
    <t>Bracing req'd?</t>
  </si>
  <si>
    <t>Gusseting req'd?</t>
  </si>
  <si>
    <t>Total M/H for Legs</t>
  </si>
  <si>
    <t>M/H per Leg</t>
  </si>
  <si>
    <t>Poison Pad</t>
  </si>
  <si>
    <t>Bracing</t>
  </si>
  <si>
    <t>Gussets</t>
  </si>
  <si>
    <t>Up to 2'</t>
  </si>
  <si>
    <t>2" x 2"</t>
  </si>
  <si>
    <t>&gt;2' to 3'</t>
  </si>
  <si>
    <t>3" x 3"</t>
  </si>
  <si>
    <t>&gt;3' to 6'</t>
  </si>
  <si>
    <t>4" x 4"</t>
  </si>
  <si>
    <t>&gt;6' to 8'</t>
  </si>
  <si>
    <t>6" x 6"</t>
  </si>
  <si>
    <t>Side Mount or Undercut?</t>
  </si>
  <si>
    <t>Poison Pad Req'd?</t>
  </si>
  <si>
    <t>Side Mount/Undercut</t>
  </si>
  <si>
    <t>Up to 6'</t>
  </si>
  <si>
    <t>4" WF</t>
  </si>
  <si>
    <t>6" WF</t>
  </si>
  <si>
    <t>&gt;8' to 10'</t>
  </si>
  <si>
    <t>8" WF</t>
  </si>
  <si>
    <t>&gt;10' to 12'</t>
  </si>
  <si>
    <t>10" WF</t>
  </si>
  <si>
    <t>&gt;12'</t>
  </si>
  <si>
    <t>12" WF</t>
  </si>
  <si>
    <t>2" Pipe</t>
  </si>
  <si>
    <t>3" Pipe</t>
  </si>
  <si>
    <t>4" Pipe</t>
  </si>
  <si>
    <t>6" Pipe</t>
  </si>
  <si>
    <t>8" Pipe</t>
  </si>
  <si>
    <t>10" Pipe</t>
  </si>
  <si>
    <t>&gt;12' to 14'</t>
  </si>
  <si>
    <t>12" Pipe</t>
  </si>
  <si>
    <t xml:space="preserve">&gt;14' </t>
  </si>
  <si>
    <t>14" Pipe</t>
  </si>
  <si>
    <t>Yes</t>
  </si>
  <si>
    <t>LEGS</t>
  </si>
  <si>
    <t>Skirt Estimation</t>
  </si>
  <si>
    <t xml:space="preserve">  # CST Shells x Hrs / Shell (use table), plus</t>
  </si>
  <si>
    <t xml:space="preserve">  # SST Shells x Hrs / Shell (use table; use 4-6 hrs for "mini shell"), plus</t>
  </si>
  <si>
    <t>Base Ring (use table), plus</t>
  </si>
  <si>
    <t>Assembly &amp; Seam Welding</t>
  </si>
  <si>
    <t xml:space="preserve">  # Shell-to-shell welds (use table), plus</t>
  </si>
  <si>
    <t xml:space="preserve">  Skirt-to-base ring weld (use table), plus</t>
  </si>
  <si>
    <t xml:space="preserve">  Skirt-to-tank weld (use 2x table), plus</t>
  </si>
  <si>
    <t>Vents (1.5 hours each), plus</t>
  </si>
  <si>
    <t>Shell Rolling - Stainless</t>
  </si>
  <si>
    <t>Shell Rolling - Carbon</t>
  </si>
  <si>
    <t>Base Ring</t>
  </si>
  <si>
    <t>Shell Fit-Up &amp; Welding</t>
  </si>
  <si>
    <t>1/2" +</t>
  </si>
  <si>
    <t>Up to 1'</t>
  </si>
  <si>
    <t>&gt;1' to 2'</t>
  </si>
  <si>
    <t>&gt;3' to 4'</t>
  </si>
  <si>
    <t>&gt;4' to 5'</t>
  </si>
  <si>
    <t>&gt;5' to 6'</t>
  </si>
  <si>
    <t>&gt;6' to 7'</t>
  </si>
  <si>
    <t>&gt;7' to 8'</t>
  </si>
  <si>
    <t>&gt;8' to 9'</t>
  </si>
  <si>
    <t>&gt;9' to 10'</t>
  </si>
  <si>
    <t xml:space="preserve">&gt;10' to 11' </t>
  </si>
  <si>
    <t>&gt;11' to 12'</t>
  </si>
  <si>
    <t>&gt;12' to 13'</t>
  </si>
  <si>
    <t>&gt;13' to 14'</t>
  </si>
  <si>
    <t>&gt;14' to 15'</t>
  </si>
  <si>
    <t>&gt;15' to 16'</t>
  </si>
  <si>
    <t># of Saddles</t>
  </si>
  <si>
    <t>Total M/H for Saddles</t>
  </si>
  <si>
    <t>Saddle Construction</t>
  </si>
  <si>
    <t>Installation</t>
  </si>
  <si>
    <t>M/H Per Saddle</t>
  </si>
  <si>
    <t>SADDLE SUPPORTS</t>
  </si>
  <si>
    <t># of Rings Required</t>
  </si>
  <si>
    <t xml:space="preserve"># of Lugs </t>
  </si>
  <si>
    <t>Total M/H for Support Lugs</t>
  </si>
  <si>
    <t>Rings Required</t>
  </si>
  <si>
    <t>Hold Down Lugs</t>
  </si>
  <si>
    <t>SUPPORT LUGS</t>
  </si>
  <si>
    <t>SADDLES/SKIRT/LUGS</t>
  </si>
  <si>
    <t>Nozzle Size</t>
  </si>
  <si>
    <t># of Nozzles</t>
  </si>
  <si>
    <t>Tank Wall Thickness</t>
  </si>
  <si>
    <t>Repad?</t>
  </si>
  <si>
    <t>Gussets?</t>
  </si>
  <si>
    <t>Tangential?</t>
  </si>
  <si>
    <t>Blind?</t>
  </si>
  <si>
    <t>Davit/Hinge?</t>
  </si>
  <si>
    <t>Total M/H for Nozzles</t>
  </si>
  <si>
    <t>Wall Thickness</t>
  </si>
  <si>
    <t>Repad</t>
  </si>
  <si>
    <t>Blind</t>
  </si>
  <si>
    <t>Davit/Hinge</t>
  </si>
  <si>
    <t>M/H Nozzles</t>
  </si>
  <si>
    <t>6"</t>
  </si>
  <si>
    <t>8"</t>
  </si>
  <si>
    <t>10"</t>
  </si>
  <si>
    <t>12"</t>
  </si>
  <si>
    <t>14"</t>
  </si>
  <si>
    <t>16"</t>
  </si>
  <si>
    <t>18"</t>
  </si>
  <si>
    <t>20"</t>
  </si>
  <si>
    <t>24"</t>
  </si>
  <si>
    <t>30"</t>
  </si>
  <si>
    <t>Total M/H</t>
  </si>
  <si>
    <t>3/16" THRU 5/16"</t>
  </si>
  <si>
    <t>3</t>
  </si>
  <si>
    <t>NOZZLES</t>
  </si>
  <si>
    <t>3.5</t>
  </si>
  <si>
    <t>4.9</t>
  </si>
  <si>
    <t>5.6</t>
  </si>
  <si>
    <t>7</t>
  </si>
  <si>
    <t>6</t>
  </si>
  <si>
    <t>6.5</t>
  </si>
  <si>
    <t>8</t>
  </si>
  <si>
    <t>9</t>
  </si>
  <si>
    <t>11</t>
  </si>
  <si>
    <t>3.9</t>
  </si>
  <si>
    <t>5.3</t>
  </si>
  <si>
    <t>7.4</t>
  </si>
  <si>
    <t>7.5</t>
  </si>
  <si>
    <t>10</t>
  </si>
  <si>
    <t>12</t>
  </si>
  <si>
    <t>6.3</t>
  </si>
  <si>
    <t>7.7</t>
  </si>
  <si>
    <t>9.5</t>
  </si>
  <si>
    <t>8.5</t>
  </si>
  <si>
    <t>12.5</t>
  </si>
  <si>
    <t>13</t>
  </si>
  <si>
    <t>16</t>
  </si>
  <si>
    <t>4.2</t>
  </si>
  <si>
    <t>9.1</t>
  </si>
  <si>
    <t>10.9</t>
  </si>
  <si>
    <t>15</t>
  </si>
  <si>
    <t>18</t>
  </si>
  <si>
    <t>4.6</t>
  </si>
  <si>
    <t>9.8</t>
  </si>
  <si>
    <t>11.2</t>
  </si>
  <si>
    <t>14</t>
  </si>
  <si>
    <t>17</t>
  </si>
  <si>
    <t>19</t>
  </si>
  <si>
    <t>Diameter of Tank (ft)</t>
  </si>
  <si>
    <t>Shell Length (ft)</t>
  </si>
  <si>
    <t># of Girth Seams</t>
  </si>
  <si>
    <t># of Long Seams</t>
  </si>
  <si>
    <t># of &lt; 14" Nozzles</t>
  </si>
  <si>
    <t># of 14" + Nozzles</t>
  </si>
  <si>
    <t># of Baffles</t>
  </si>
  <si>
    <t>Total M/H for Smooth Polish</t>
  </si>
  <si>
    <t>Girth Seam M/H</t>
  </si>
  <si>
    <t>Long Seam M/H</t>
  </si>
  <si>
    <t xml:space="preserve"> &lt; 14" Nozzles M/H</t>
  </si>
  <si>
    <t>14"+ Nozzles M/H</t>
  </si>
  <si>
    <t>Baffles M/H</t>
  </si>
  <si>
    <t>Total M/H for Flush Polish</t>
  </si>
  <si>
    <t>POLISHING</t>
  </si>
  <si>
    <t>Insulation Ring</t>
  </si>
  <si>
    <t>M/H per ring</t>
  </si>
  <si>
    <t>Ring Thickness</t>
  </si>
  <si>
    <t>RINGS</t>
  </si>
  <si>
    <t>Total M/H per Support/Tray Ring</t>
  </si>
  <si>
    <t>INTERNAL SUPPORT/TRAY RINGS</t>
  </si>
  <si>
    <t>Baffle Length</t>
  </si>
  <si>
    <t>Total M/H for Baffles</t>
  </si>
  <si>
    <t>Baffle Construction</t>
  </si>
  <si>
    <t>Baffle Supports</t>
  </si>
  <si>
    <t>Baffle Installation</t>
  </si>
  <si>
    <t>M/H Per Baffle</t>
  </si>
  <si>
    <t>Up to 5'</t>
  </si>
  <si>
    <t>&gt;5' to 10'</t>
  </si>
  <si>
    <t>&gt;10' to 15'</t>
  </si>
  <si>
    <t>&gt;15' to 20'</t>
  </si>
  <si>
    <t>&gt;20' to 25'</t>
  </si>
  <si>
    <t>&gt;25' to 30'</t>
  </si>
  <si>
    <t>&gt;30' to 35'</t>
  </si>
  <si>
    <t>&gt;35' to 40'</t>
  </si>
  <si>
    <t>&gt;40' to 45'</t>
  </si>
  <si>
    <t>&gt;45' to 50'</t>
  </si>
  <si>
    <t xml:space="preserve">&gt;50' to 55' </t>
  </si>
  <si>
    <t>&gt;55' to 60'</t>
  </si>
  <si>
    <t>&gt;60' to 65'</t>
  </si>
  <si>
    <t>&gt;65' to 70'</t>
  </si>
  <si>
    <t>&gt;70' to 75'</t>
  </si>
  <si>
    <t>&gt;75' to 80'</t>
  </si>
  <si>
    <t>Standard Jacket Welds</t>
  </si>
  <si>
    <t>Half Pipe Jacket - Shell</t>
  </si>
  <si>
    <t>Tank Diameter (ft)</t>
  </si>
  <si>
    <t>Lin Ft of Pipe</t>
  </si>
  <si>
    <t># of Turns</t>
  </si>
  <si>
    <t>Total M/H for Half Pipe Jacket on Shell</t>
  </si>
  <si>
    <t>Fit &amp; Tack M/H</t>
  </si>
  <si>
    <t>Weld M/H</t>
  </si>
  <si>
    <t>Repair</t>
  </si>
  <si>
    <t>Repair M/H</t>
  </si>
  <si>
    <t>Half Pipe Jacket - Head</t>
  </si>
  <si>
    <t>Cut Pipe</t>
  </si>
  <si>
    <t>Full Penetration Jacket Welds</t>
  </si>
  <si>
    <t>Bevel M/H</t>
  </si>
  <si>
    <t>Total M/H for Half Pipe Jacket on Head</t>
  </si>
  <si>
    <t># of Panels</t>
  </si>
  <si>
    <t># of Dimples</t>
  </si>
  <si>
    <t>Dimples M/H</t>
  </si>
  <si>
    <t>Seams M/H</t>
  </si>
  <si>
    <t>Panel Width ft</t>
  </si>
  <si>
    <t>Panel Length ft</t>
  </si>
  <si>
    <t># of Dimples/Panel</t>
  </si>
  <si>
    <t>Total # of Dimples</t>
  </si>
  <si>
    <t>HALF PIPE JACKET</t>
  </si>
  <si>
    <t>DIMPLE JACKET</t>
  </si>
  <si>
    <t>Coil Diameter</t>
  </si>
  <si>
    <t>Length of Coil (ft)</t>
  </si>
  <si>
    <t># of Joints</t>
  </si>
  <si>
    <t># of Elbows/Piping/Etc</t>
  </si>
  <si>
    <t>Total M/H for Internal Pipe Coil</t>
  </si>
  <si>
    <t>Circ of Coil (ft)</t>
  </si>
  <si>
    <t>M/H Turns</t>
  </si>
  <si>
    <t>M/H Welded Joints</t>
  </si>
  <si>
    <t>Elbows/Piping/Etc</t>
  </si>
  <si>
    <t>LADDER, HANDRAIL, PLATFORM</t>
  </si>
  <si>
    <t>Length of Ladder (ft)</t>
  </si>
  <si>
    <t>Caged?</t>
  </si>
  <si>
    <t>M/H per 10 ft</t>
  </si>
  <si>
    <t>Total M/H for Ladder</t>
  </si>
  <si>
    <t>Caged</t>
  </si>
  <si>
    <t>Round or Straight</t>
  </si>
  <si>
    <t>Total M/H for Handrails</t>
  </si>
  <si>
    <t>Round/Straight</t>
  </si>
  <si>
    <t>Round</t>
  </si>
  <si>
    <t>HANDRAILS</t>
  </si>
  <si>
    <t>Platform?</t>
  </si>
  <si>
    <t># of Manways</t>
  </si>
  <si>
    <t>Total M/H for Platform</t>
  </si>
  <si>
    <t>Sq ft of Platform</t>
  </si>
  <si>
    <t>M/H per Sq Ft</t>
  </si>
  <si>
    <t>M/H Nozzle Banding</t>
  </si>
  <si>
    <t>M/H Manway Banding</t>
  </si>
  <si>
    <t>Up to 4'</t>
  </si>
  <si>
    <t>PLATFORMS</t>
  </si>
  <si>
    <t>1/4" 96" wide</t>
  </si>
  <si>
    <t>SS</t>
  </si>
  <si>
    <t>CST</t>
  </si>
  <si>
    <t>1" 150# PAD</t>
  </si>
  <si>
    <t>1.5" 150# PAD</t>
  </si>
  <si>
    <t>2" 150# PAD</t>
  </si>
  <si>
    <t>3" 150# PAD</t>
  </si>
  <si>
    <t>6" 150# PAD</t>
  </si>
  <si>
    <t xml:space="preserve">1/4" X 2" X 12' </t>
  </si>
  <si>
    <t xml:space="preserve">1/4" X " X 12' </t>
  </si>
  <si>
    <t>4" 3000# THREADED COUPLING</t>
  </si>
  <si>
    <t>W6 X 20 X 25'</t>
  </si>
  <si>
    <t>R.J. Sales</t>
  </si>
  <si>
    <t>5/8" round</t>
  </si>
  <si>
    <t>Escalation Cost</t>
  </si>
  <si>
    <t>Removing</t>
  </si>
  <si>
    <t>Adding</t>
  </si>
  <si>
    <t>Ferguson</t>
  </si>
  <si>
    <t>FERGUSON</t>
  </si>
  <si>
    <t>3/8" x 3" x 3" x 20'</t>
  </si>
  <si>
    <t>1/2" X 20'         ROUND BAR</t>
  </si>
  <si>
    <t>CLEANOUT BOTTOM</t>
  </si>
  <si>
    <t>1/4" X 10" X 36"</t>
  </si>
  <si>
    <t>CLEANOUT TOP</t>
  </si>
  <si>
    <t>1/4" x 10" X 84"</t>
  </si>
  <si>
    <t>-</t>
  </si>
  <si>
    <t>CLEANOUT FLANGE</t>
  </si>
  <si>
    <t>5/8" X 30" X 42"            MF: (1) 48" X 96"</t>
  </si>
  <si>
    <t>CLEANOUT COVER</t>
  </si>
  <si>
    <t>5/8" X 30" X 42"            MF: DROP</t>
  </si>
  <si>
    <t>REPAD</t>
  </si>
  <si>
    <t>1/4" x 36" X 84"                MF: (1) 48" X 96"</t>
  </si>
  <si>
    <t>W8 X 40 X 30'</t>
  </si>
  <si>
    <t>W8 X 15 X 20'</t>
  </si>
  <si>
    <t>W10 X 12 X 30'</t>
  </si>
  <si>
    <t>W6 X 15 X 20'</t>
  </si>
  <si>
    <t>1.5" 3000# THREADED COUPLING</t>
  </si>
  <si>
    <t>W12 X 65 X 35'</t>
  </si>
  <si>
    <t>W10 X 54 X 20'</t>
  </si>
  <si>
    <t>3/8" X 4" X 4" x 20'</t>
  </si>
  <si>
    <t>1" 150# PAD FLANGE</t>
  </si>
  <si>
    <t>1.5" 150# PAD FLANGE</t>
  </si>
  <si>
    <t>2" 150# PAD FLANGE</t>
  </si>
  <si>
    <t>3" 150# PAD FLANGE</t>
  </si>
  <si>
    <t>4" 150# PAD FLANGE</t>
  </si>
  <si>
    <t>6" 150# PAD FLANGE</t>
  </si>
  <si>
    <t>1/2" X 6" X 6" X 20'</t>
  </si>
  <si>
    <t>96" wide</t>
  </si>
  <si>
    <t>120" wide</t>
  </si>
  <si>
    <t>1/4" X 3.5" X 3.5"</t>
  </si>
  <si>
    <t>RJ SALES</t>
  </si>
  <si>
    <t>1/2" 150# PAD</t>
  </si>
  <si>
    <t xml:space="preserve">c10 x 15.3 x 20' </t>
  </si>
  <si>
    <t>C10 x 15.3 x 20'</t>
  </si>
  <si>
    <t>c13 x 31.8 x 20'</t>
  </si>
  <si>
    <t xml:space="preserve">3/8" X 5" X 5" X 20' </t>
  </si>
  <si>
    <t>W8 X 40 X 40'</t>
  </si>
  <si>
    <t>16" 150# PAD FLANGE</t>
  </si>
  <si>
    <t>24" 150# PAD FLANGE</t>
  </si>
  <si>
    <t>12" 150# PAD FLANGE</t>
  </si>
  <si>
    <t>12" 150# PAD</t>
  </si>
  <si>
    <t>10" 150# PAD</t>
  </si>
  <si>
    <t>8" 150# PAD</t>
  </si>
  <si>
    <t>16" 150# PAD</t>
  </si>
  <si>
    <t>24" 150# PAD</t>
  </si>
  <si>
    <t>4" 150# PAD</t>
  </si>
  <si>
    <t>C6 X 3 X 20'</t>
  </si>
  <si>
    <t>(1) 1/2" X 6" X 6"</t>
  </si>
  <si>
    <t>DIAMETER</t>
  </si>
  <si>
    <t>OD OR ID</t>
  </si>
  <si>
    <t>HEIGHT</t>
  </si>
  <si>
    <t>REQUIRED</t>
  </si>
  <si>
    <t>SHELL PLATES USED</t>
  </si>
  <si>
    <t>AREA</t>
  </si>
  <si>
    <t>SUPPLIED</t>
  </si>
  <si>
    <t>1/2" X 1' RND BAR     MF: (1) 12'</t>
  </si>
  <si>
    <t xml:space="preserve">5/16" RND BAR  X 1' </t>
  </si>
  <si>
    <t>1/4" X 4" X 10" BASE PLATE</t>
  </si>
  <si>
    <t>Access Holes/ Openings (6 hours each)</t>
  </si>
  <si>
    <t xml:space="preserve">Gussets/Lugs (1 hour each) </t>
  </si>
  <si>
    <t>Skirt-Shell Rolling</t>
  </si>
  <si>
    <t>FLAT BOTTOM</t>
  </si>
  <si>
    <t xml:space="preserve"> SHELLS 3/8"</t>
  </si>
  <si>
    <r>
      <t xml:space="preserve"># of Dimples Calculator (per panel) - </t>
    </r>
    <r>
      <rPr>
        <b/>
        <sz val="14"/>
        <color rgb="FFFF0000"/>
        <rFont val="Calibri"/>
        <family val="2"/>
        <scheme val="minor"/>
      </rPr>
      <t>2x2</t>
    </r>
  </si>
  <si>
    <r>
      <t xml:space="preserve"># of Dimples Calculator (per panel) - </t>
    </r>
    <r>
      <rPr>
        <b/>
        <sz val="14"/>
        <color rgb="FF00B050"/>
        <rFont val="Calibri"/>
        <family val="2"/>
        <scheme val="minor"/>
      </rPr>
      <t>3x3</t>
    </r>
  </si>
  <si>
    <t>(for Shell- see Vendor Quote for panel Qty)</t>
  </si>
  <si>
    <t>(for Head- always panel Qty 1 )</t>
  </si>
  <si>
    <t>(enter actual panel Qty here, no Qty 1 rule here)</t>
  </si>
  <si>
    <r>
      <rPr>
        <b/>
        <u/>
        <sz val="14"/>
        <color theme="1"/>
        <rFont val="Calibri"/>
        <family val="2"/>
        <scheme val="minor"/>
      </rPr>
      <t>Total M/H</t>
    </r>
    <r>
      <rPr>
        <b/>
        <u/>
        <sz val="11"/>
        <color theme="1"/>
        <rFont val="Calibri"/>
        <family val="2"/>
        <scheme val="minor"/>
      </rPr>
      <t xml:space="preserve"> for Dimple Jacket on Shell</t>
    </r>
  </si>
  <si>
    <r>
      <rPr>
        <b/>
        <u/>
        <sz val="14"/>
        <color theme="1"/>
        <rFont val="Calibri"/>
        <family val="2"/>
        <scheme val="minor"/>
      </rPr>
      <t>Total M/H</t>
    </r>
    <r>
      <rPr>
        <b/>
        <u/>
        <sz val="11"/>
        <color theme="1"/>
        <rFont val="Calibri"/>
        <family val="2"/>
        <scheme val="minor"/>
      </rPr>
      <t xml:space="preserve"> for Dimple Jacket on Head</t>
    </r>
  </si>
  <si>
    <r>
      <t xml:space="preserve">Dimpled Jacket - </t>
    </r>
    <r>
      <rPr>
        <b/>
        <sz val="14"/>
        <color theme="1"/>
        <rFont val="Calibri"/>
        <family val="2"/>
        <scheme val="minor"/>
      </rPr>
      <t>Head</t>
    </r>
  </si>
  <si>
    <r>
      <t>Dimpled Jacket -</t>
    </r>
    <r>
      <rPr>
        <b/>
        <sz val="14"/>
        <color theme="1"/>
        <rFont val="Calibri"/>
        <family val="2"/>
        <scheme val="minor"/>
      </rPr>
      <t xml:space="preserve"> Shell</t>
    </r>
  </si>
  <si>
    <r>
      <t xml:space="preserve">(Hours to be calculated </t>
    </r>
    <r>
      <rPr>
        <b/>
        <sz val="11"/>
        <color theme="1"/>
        <rFont val="Calibri"/>
        <family val="2"/>
        <scheme val="minor"/>
      </rPr>
      <t>per Baffle</t>
    </r>
    <r>
      <rPr>
        <sz val="11"/>
        <color theme="1"/>
        <rFont val="Calibri"/>
        <family val="2"/>
        <scheme val="minor"/>
      </rPr>
      <t xml:space="preserve">, not per Baffle Support) </t>
    </r>
  </si>
  <si>
    <t>$18 PER FT OF HANDRAIL</t>
  </si>
  <si>
    <t>270"</t>
  </si>
  <si>
    <t>Finishing</t>
  </si>
  <si>
    <t>SMALL</t>
  </si>
  <si>
    <t>MEDIUM</t>
  </si>
  <si>
    <t>LARGE</t>
  </si>
  <si>
    <t>HANDLING</t>
  </si>
  <si>
    <t>DETAIL</t>
  </si>
  <si>
    <t>TEST</t>
  </si>
  <si>
    <t>PAINT</t>
  </si>
  <si>
    <t>LOAD</t>
  </si>
  <si>
    <t>SHIP LOOSE</t>
  </si>
  <si>
    <t>TOP PLATFORM</t>
  </si>
  <si>
    <t>REST PLATFORM</t>
  </si>
  <si>
    <t>TOTAL HANDLING</t>
  </si>
  <si>
    <t>TESTING</t>
  </si>
  <si>
    <t xml:space="preserve">MEDIUM </t>
  </si>
  <si>
    <t>HYDRO</t>
  </si>
  <si>
    <t>CONVENTIONAL OR DIMPLE JACKET</t>
  </si>
  <si>
    <t>HALF-PIPE JACKET OR INTERNAL COIL</t>
  </si>
  <si>
    <t>TOTAL TESTING</t>
  </si>
  <si>
    <t>SURFACE AREA</t>
  </si>
  <si>
    <t>MAN-HOURS</t>
  </si>
  <si>
    <t>HALF PIPE</t>
  </si>
  <si>
    <t>TOTAL CLEANING</t>
  </si>
  <si>
    <t>PAINT HOURS</t>
  </si>
  <si>
    <t>YES</t>
  </si>
  <si>
    <t>NO</t>
  </si>
  <si>
    <t>WATER FILL TEST</t>
  </si>
  <si>
    <t>SHIP LOOSE HOURS</t>
  </si>
  <si>
    <t>FILL TEST HOURS</t>
  </si>
  <si>
    <t>INTERNAL COIL?</t>
  </si>
  <si>
    <t>HALF-PIPE JACKET OR INTERNAL COIL HOURS</t>
  </si>
  <si>
    <t>CONVENTIONAL OR DIMPLE JACKET HOURS</t>
  </si>
  <si>
    <t>WHICH TEST</t>
  </si>
  <si>
    <t>PNUEMATIC</t>
  </si>
  <si>
    <t>Repad / Belly Band</t>
  </si>
  <si>
    <t>RJ Sales</t>
  </si>
  <si>
    <t>4/42/25</t>
  </si>
  <si>
    <t>EXTERNAL RINGS</t>
  </si>
  <si>
    <r>
      <t xml:space="preserve">Smooth Polish (Not Flush)  </t>
    </r>
    <r>
      <rPr>
        <b/>
        <sz val="11"/>
        <color rgb="FFFF0000"/>
        <rFont val="Calibri"/>
        <family val="2"/>
        <scheme val="minor"/>
      </rPr>
      <t>2B Stainless</t>
    </r>
  </si>
  <si>
    <r>
      <t xml:space="preserve">Flush &amp; Smooth Polish    </t>
    </r>
    <r>
      <rPr>
        <b/>
        <sz val="11"/>
        <color rgb="FFFF0000"/>
        <rFont val="Calibri"/>
        <family val="2"/>
        <scheme val="minor"/>
      </rPr>
      <t>#4 Polish Stainless</t>
    </r>
  </si>
  <si>
    <t>WELD NECK</t>
  </si>
  <si>
    <t>JKT SHELL LENGTH (FT)</t>
  </si>
  <si>
    <t>JKT SHELL THICKNESS</t>
  </si>
  <si>
    <t>SPIRAL BAFFLE</t>
  </si>
  <si>
    <t>CLOSURE RING</t>
  </si>
  <si>
    <t>FITUP</t>
  </si>
  <si>
    <t>THICKNESS MULTIPLIER</t>
  </si>
  <si>
    <t>Up to 3'</t>
  </si>
  <si>
    <t xml:space="preserve">Notes: 
Above table does not include hours to roll the jacket shell or the jacket shell to head weld seam
Nozzle sleeves will be 2" in diameter larger than the nozzle size
Hours for nozzle sleeve to be the same as a flange of the same pipe size
</t>
  </si>
  <si>
    <t>CONVENTIONAL JACKETS</t>
  </si>
  <si>
    <t>1/4" X " X "    3/16" for Tanks &lt; 8' Dia</t>
  </si>
  <si>
    <t xml:space="preserve">  Grainger Part# 487R49</t>
  </si>
  <si>
    <t>CABLE LIFELINE SYSTEM  30'</t>
  </si>
  <si>
    <t>1.5" SCH40 HANDRAIL w/ TOEKICK X '</t>
  </si>
  <si>
    <t>ASME F&amp;D " OD, .3133" MIN w/ 2" SF</t>
  </si>
  <si>
    <t>2:1 ELLIPTICAL " OD, .4162" MIN w/ 2" SF</t>
  </si>
  <si>
    <t>1/4" X 2" X 2" X 6.5625" ANGLE    MF: (1)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</si>
</sst>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d/yy;@"/>
    <numFmt numFmtId="165" formatCode="&quot;$&quot;#,##0.00"/>
    <numFmt numFmtId="166" formatCode="0.0"/>
    <numFmt numFmtId="167" formatCode="&quot;$&quot;#,##0"/>
    <numFmt numFmtId="168" formatCode="0.0%"/>
    <numFmt numFmtId="169" formatCode="#\'\';#\'\';0\'\'"/>
  </numFmts>
  <fonts count="44" x14ac:knownFonts="1">
    <font>
      <sz val="11"/>
      <color theme="1"/>
      <name val="Calibri"/>
      <family val="2"/>
      <scheme val="minor"/>
    </font>
    <font>
      <b/>
      <sz val="11"/>
      <color theme="1"/>
      <name val="Calibri"/>
      <family val="2"/>
      <scheme val="minor"/>
    </font>
    <font>
      <b/>
      <sz val="26"/>
      <color theme="1"/>
      <name val="Calibri"/>
      <family val="2"/>
      <scheme val="minor"/>
    </font>
    <font>
      <b/>
      <sz val="12"/>
      <color theme="1"/>
      <name val="Calibri"/>
      <family val="2"/>
      <scheme val="minor"/>
    </font>
    <font>
      <b/>
      <sz val="22"/>
      <color theme="1"/>
      <name val="Calibri"/>
      <family val="2"/>
      <scheme val="minor"/>
    </font>
    <font>
      <sz val="11"/>
      <color theme="1"/>
      <name val="Calibri"/>
      <family val="2"/>
      <scheme val="minor"/>
    </font>
    <font>
      <b/>
      <sz val="11"/>
      <color rgb="FFFF0000"/>
      <name val="Calibri"/>
      <family val="2"/>
      <scheme val="minor"/>
    </font>
    <font>
      <b/>
      <i/>
      <sz val="14"/>
      <color rgb="FFFF0000"/>
      <name val="Calibri"/>
      <family val="2"/>
      <scheme val="minor"/>
    </font>
    <font>
      <sz val="14"/>
      <color theme="1"/>
      <name val="Calibri"/>
      <family val="2"/>
      <scheme val="minor"/>
    </font>
    <font>
      <b/>
      <sz val="11"/>
      <name val="Calibri"/>
      <family val="2"/>
      <scheme val="minor"/>
    </font>
    <font>
      <b/>
      <i/>
      <sz val="12"/>
      <color rgb="FFFF0000"/>
      <name val="Calibri"/>
      <family val="2"/>
      <scheme val="minor"/>
    </font>
    <font>
      <b/>
      <i/>
      <sz val="11"/>
      <color theme="1"/>
      <name val="Calibri"/>
      <family val="2"/>
      <scheme val="minor"/>
    </font>
    <font>
      <b/>
      <sz val="12"/>
      <color rgb="FFFF0000"/>
      <name val="Calibri"/>
      <family val="2"/>
      <scheme val="minor"/>
    </font>
    <font>
      <b/>
      <i/>
      <sz val="18"/>
      <color theme="1"/>
      <name val="Calibri"/>
      <family val="2"/>
      <scheme val="minor"/>
    </font>
    <font>
      <b/>
      <i/>
      <sz val="12"/>
      <color theme="1"/>
      <name val="Calibri"/>
      <family val="2"/>
      <scheme val="minor"/>
    </font>
    <font>
      <b/>
      <sz val="18"/>
      <color rgb="FFFF0000"/>
      <name val="Calibri"/>
      <family val="2"/>
      <scheme val="minor"/>
    </font>
    <font>
      <sz val="11"/>
      <color rgb="FF9C5700"/>
      <name val="Calibri"/>
      <family val="2"/>
      <scheme val="minor"/>
    </font>
    <font>
      <b/>
      <sz val="18"/>
      <name val="Calibri"/>
      <family val="2"/>
      <scheme val="minor"/>
    </font>
    <font>
      <sz val="11"/>
      <name val="Calibri"/>
      <family val="2"/>
      <scheme val="minor"/>
    </font>
    <font>
      <b/>
      <sz val="18"/>
      <color theme="1"/>
      <name val="Calibri"/>
      <family val="2"/>
      <scheme val="minor"/>
    </font>
    <font>
      <b/>
      <sz val="12"/>
      <name val="Calibri"/>
      <family val="2"/>
      <scheme val="minor"/>
    </font>
    <font>
      <sz val="8"/>
      <name val="Calibri"/>
      <family val="2"/>
      <scheme val="minor"/>
    </font>
    <font>
      <sz val="10"/>
      <color rgb="FF333333"/>
      <name val="Verdana"/>
      <family val="2"/>
    </font>
    <font>
      <u/>
      <sz val="11"/>
      <color theme="10"/>
      <name val="Calibri"/>
      <family val="2"/>
      <scheme val="minor"/>
    </font>
    <font>
      <u/>
      <sz val="11"/>
      <color rgb="FFFFC000"/>
      <name val="Calibri"/>
      <family val="2"/>
      <scheme val="minor"/>
    </font>
    <font>
      <u/>
      <sz val="11"/>
      <color rgb="FF92D050"/>
      <name val="Calibri"/>
      <family val="2"/>
      <scheme val="minor"/>
    </font>
    <font>
      <sz val="20"/>
      <color theme="1"/>
      <name val="Calibri"/>
      <family val="2"/>
      <scheme val="minor"/>
    </font>
    <font>
      <u/>
      <sz val="72"/>
      <color theme="10"/>
      <name val="Calibri"/>
      <family val="2"/>
      <scheme val="minor"/>
    </font>
    <font>
      <sz val="11"/>
      <color theme="0"/>
      <name val="Calibri"/>
      <family val="2"/>
      <scheme val="minor"/>
    </font>
    <font>
      <b/>
      <sz val="14"/>
      <color theme="1"/>
      <name val="Calibri"/>
      <family val="2"/>
      <scheme val="minor"/>
    </font>
    <font>
      <sz val="10"/>
      <color theme="1"/>
      <name val="Calibri"/>
      <family val="2"/>
      <scheme val="minor"/>
    </font>
    <font>
      <sz val="12"/>
      <color theme="1"/>
      <name val="Calibri"/>
      <family val="2"/>
      <scheme val="minor"/>
    </font>
    <font>
      <sz val="10"/>
      <name val="Calibri"/>
      <family val="2"/>
      <scheme val="minor"/>
    </font>
    <font>
      <b/>
      <sz val="16"/>
      <color theme="1"/>
      <name val="Calibri"/>
      <family val="2"/>
      <scheme val="minor"/>
    </font>
    <font>
      <b/>
      <u/>
      <sz val="11"/>
      <color theme="1"/>
      <name val="Calibri"/>
      <family val="2"/>
      <scheme val="minor"/>
    </font>
    <font>
      <u/>
      <sz val="11"/>
      <color theme="0" tint="-0.499984740745262"/>
      <name val="Calibri"/>
      <family val="2"/>
      <scheme val="minor"/>
    </font>
    <font>
      <sz val="11"/>
      <color theme="0" tint="-0.499984740745262"/>
      <name val="Calibri"/>
      <family val="2"/>
      <scheme val="minor"/>
    </font>
    <font>
      <sz val="24"/>
      <color theme="1"/>
      <name val="Calibri"/>
      <family val="2"/>
      <scheme val="minor"/>
    </font>
    <font>
      <sz val="26"/>
      <color theme="1"/>
      <name val="Calibri"/>
      <family val="2"/>
      <scheme val="minor"/>
    </font>
    <font>
      <sz val="28"/>
      <color theme="1"/>
      <name val="Calibri"/>
      <family val="2"/>
      <scheme val="minor"/>
    </font>
    <font>
      <b/>
      <u/>
      <sz val="11"/>
      <name val="Calibri"/>
      <family val="2"/>
      <scheme val="minor"/>
    </font>
    <font>
      <b/>
      <sz val="14"/>
      <color rgb="FFFF0000"/>
      <name val="Calibri"/>
      <family val="2"/>
      <scheme val="minor"/>
    </font>
    <font>
      <b/>
      <sz val="14"/>
      <color rgb="FF00B050"/>
      <name val="Calibri"/>
      <family val="2"/>
      <scheme val="minor"/>
    </font>
    <font>
      <b/>
      <u/>
      <sz val="14"/>
      <color theme="1"/>
      <name val="Calibri"/>
      <family val="2"/>
      <scheme val="minor"/>
    </font>
  </fonts>
  <fills count="13">
    <fill>
      <patternFill patternType="none"/>
    </fill>
    <fill>
      <patternFill patternType="gray125"/>
    </fill>
    <fill>
      <patternFill patternType="solid">
        <fgColor theme="0" tint="-0.34998626667073579"/>
        <bgColor indexed="64"/>
      </patternFill>
    </fill>
    <fill>
      <patternFill patternType="solid">
        <fgColor theme="3"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EB9C"/>
      </patternFill>
    </fill>
    <fill>
      <patternFill patternType="solid">
        <fgColor theme="0"/>
        <bgColor indexed="64"/>
      </patternFill>
    </fill>
    <fill>
      <patternFill patternType="solid">
        <fgColor theme="0" tint="-0.249977111117893"/>
        <bgColor indexed="64"/>
      </patternFill>
    </fill>
    <fill>
      <patternFill patternType="solid">
        <fgColor rgb="FFFFC000"/>
        <bgColor indexed="64"/>
      </patternFill>
    </fill>
    <fill>
      <patternFill patternType="solid">
        <fgColor rgb="FF92D050"/>
        <bgColor indexed="64"/>
      </patternFill>
    </fill>
    <fill>
      <patternFill patternType="solid">
        <fgColor theme="1"/>
        <bgColor indexed="64"/>
      </patternFill>
    </fill>
    <fill>
      <patternFill patternType="solid">
        <fgColor rgb="FFFF0000"/>
        <bgColor indexed="64"/>
      </patternFill>
    </fill>
  </fills>
  <borders count="9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medium">
        <color indexed="64"/>
      </left>
      <right/>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diagonal/>
    </border>
    <border>
      <left/>
      <right style="medium">
        <color indexed="64"/>
      </right>
      <top/>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auto="1"/>
      </left>
      <right style="thin">
        <color auto="1"/>
      </right>
      <top style="medium">
        <color auto="1"/>
      </top>
      <bottom style="dotted">
        <color auto="1"/>
      </bottom>
      <diagonal/>
    </border>
    <border>
      <left style="thin">
        <color auto="1"/>
      </left>
      <right style="thin">
        <color auto="1"/>
      </right>
      <top style="medium">
        <color auto="1"/>
      </top>
      <bottom style="dotted">
        <color auto="1"/>
      </bottom>
      <diagonal/>
    </border>
    <border>
      <left style="thin">
        <color auto="1"/>
      </left>
      <right/>
      <top style="medium">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style="thin">
        <color auto="1"/>
      </left>
      <right/>
      <top style="dotted">
        <color auto="1"/>
      </top>
      <bottom style="medium">
        <color auto="1"/>
      </bottom>
      <diagonal/>
    </border>
    <border>
      <left style="thin">
        <color auto="1"/>
      </left>
      <right style="medium">
        <color auto="1"/>
      </right>
      <top/>
      <bottom style="medium">
        <color auto="1"/>
      </bottom>
      <diagonal/>
    </border>
    <border>
      <left style="thin">
        <color auto="1"/>
      </left>
      <right style="medium">
        <color auto="1"/>
      </right>
      <top style="medium">
        <color auto="1"/>
      </top>
      <bottom style="dotted">
        <color auto="1"/>
      </bottom>
      <diagonal/>
    </border>
    <border>
      <left style="medium">
        <color auto="1"/>
      </left>
      <right style="thin">
        <color auto="1"/>
      </right>
      <top/>
      <bottom style="dotted">
        <color auto="1"/>
      </bottom>
      <diagonal/>
    </border>
    <border>
      <left style="thin">
        <color auto="1"/>
      </left>
      <right style="thin">
        <color auto="1"/>
      </right>
      <top/>
      <bottom style="dotted">
        <color auto="1"/>
      </bottom>
      <diagonal/>
    </border>
    <border>
      <left style="thin">
        <color auto="1"/>
      </left>
      <right style="medium">
        <color auto="1"/>
      </right>
      <top style="dotted">
        <color auto="1"/>
      </top>
      <bottom style="dotted">
        <color auto="1"/>
      </bottom>
      <diagonal/>
    </border>
    <border>
      <left style="thin">
        <color auto="1"/>
      </left>
      <right style="medium">
        <color indexed="64"/>
      </right>
      <top/>
      <bottom/>
      <diagonal/>
    </border>
    <border>
      <left style="medium">
        <color indexed="64"/>
      </left>
      <right style="thin">
        <color indexed="64"/>
      </right>
      <top/>
      <bottom style="dashed">
        <color indexed="64"/>
      </bottom>
      <diagonal/>
    </border>
    <border>
      <left style="thin">
        <color indexed="64"/>
      </left>
      <right style="thin">
        <color indexed="64"/>
      </right>
      <top/>
      <bottom style="dashed">
        <color indexed="64"/>
      </bottom>
      <diagonal/>
    </border>
    <border>
      <left style="thin">
        <color indexed="64"/>
      </left>
      <right style="medium">
        <color indexed="64"/>
      </right>
      <top/>
      <bottom style="dashed">
        <color indexed="64"/>
      </bottom>
      <diagonal/>
    </border>
    <border>
      <left style="thin">
        <color indexed="64"/>
      </left>
      <right style="medium">
        <color indexed="64"/>
      </right>
      <top style="medium">
        <color auto="1"/>
      </top>
      <bottom style="dashed">
        <color indexed="64"/>
      </bottom>
      <diagonal/>
    </border>
    <border>
      <left style="medium">
        <color auto="1"/>
      </left>
      <right style="thin">
        <color auto="1"/>
      </right>
      <top style="dotted">
        <color auto="1"/>
      </top>
      <bottom style="dotted">
        <color auto="1"/>
      </bottom>
      <diagonal/>
    </border>
    <border>
      <left style="thin">
        <color auto="1"/>
      </left>
      <right style="thin">
        <color auto="1"/>
      </right>
      <top style="dotted">
        <color auto="1"/>
      </top>
      <bottom style="dotted">
        <color auto="1"/>
      </bottom>
      <diagonal/>
    </border>
    <border>
      <left style="thin">
        <color indexed="64"/>
      </left>
      <right style="thin">
        <color indexed="64"/>
      </right>
      <top style="dashed">
        <color indexed="64"/>
      </top>
      <bottom style="dashed">
        <color indexed="64"/>
      </bottom>
      <diagonal/>
    </border>
    <border>
      <left style="thin">
        <color indexed="64"/>
      </left>
      <right style="medium">
        <color indexed="64"/>
      </right>
      <top style="dashed">
        <color indexed="64"/>
      </top>
      <bottom style="dashed">
        <color indexed="64"/>
      </bottom>
      <diagonal/>
    </border>
    <border>
      <left style="medium">
        <color indexed="64"/>
      </left>
      <right style="thin">
        <color indexed="64"/>
      </right>
      <top style="dashed">
        <color indexed="64"/>
      </top>
      <bottom style="dashed">
        <color indexed="64"/>
      </bottom>
      <diagonal/>
    </border>
    <border>
      <left style="thin">
        <color auto="1"/>
      </left>
      <right style="medium">
        <color auto="1"/>
      </right>
      <top style="dotted">
        <color auto="1"/>
      </top>
      <bottom style="medium">
        <color auto="1"/>
      </bottom>
      <diagonal/>
    </border>
    <border>
      <left style="medium">
        <color indexed="64"/>
      </left>
      <right style="thin">
        <color indexed="64"/>
      </right>
      <top style="dashed">
        <color indexed="64"/>
      </top>
      <bottom style="medium">
        <color indexed="64"/>
      </bottom>
      <diagonal/>
    </border>
    <border>
      <left style="thin">
        <color indexed="64"/>
      </left>
      <right style="thin">
        <color indexed="64"/>
      </right>
      <top style="dashed">
        <color indexed="64"/>
      </top>
      <bottom style="medium">
        <color indexed="64"/>
      </bottom>
      <diagonal/>
    </border>
    <border>
      <left style="thin">
        <color indexed="64"/>
      </left>
      <right style="medium">
        <color indexed="64"/>
      </right>
      <top style="dashed">
        <color indexed="64"/>
      </top>
      <bottom style="medium">
        <color indexed="64"/>
      </bottom>
      <diagonal/>
    </border>
    <border>
      <left/>
      <right/>
      <top style="dashed">
        <color indexed="64"/>
      </top>
      <bottom style="medium">
        <color indexed="64"/>
      </bottom>
      <diagonal/>
    </border>
    <border>
      <left style="medium">
        <color indexed="64"/>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bottom style="medium">
        <color auto="1"/>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auto="1"/>
      </left>
      <right/>
      <top/>
      <bottom style="dotted">
        <color auto="1"/>
      </bottom>
      <diagonal/>
    </border>
    <border>
      <left style="thin">
        <color auto="1"/>
      </left>
      <right/>
      <top style="dotted">
        <color auto="1"/>
      </top>
      <bottom style="dotted">
        <color auto="1"/>
      </bottom>
      <diagonal/>
    </border>
    <border>
      <left style="medium">
        <color indexed="64"/>
      </left>
      <right style="thin">
        <color indexed="64"/>
      </right>
      <top style="thin">
        <color indexed="64"/>
      </top>
      <bottom/>
      <diagonal/>
    </border>
    <border>
      <left/>
      <right style="medium">
        <color indexed="64"/>
      </right>
      <top style="medium">
        <color indexed="64"/>
      </top>
      <bottom/>
      <diagonal/>
    </border>
    <border>
      <left/>
      <right style="medium">
        <color indexed="64"/>
      </right>
      <top/>
      <bottom style="medium">
        <color indexed="64"/>
      </bottom>
      <diagonal/>
    </border>
  </borders>
  <cellStyleXfs count="4">
    <xf numFmtId="0" fontId="0" fillId="0" borderId="0"/>
    <xf numFmtId="9" fontId="5" fillId="0" borderId="0" applyFont="0" applyFill="0" applyBorder="0" applyAlignment="0" applyProtection="0"/>
    <xf numFmtId="0" fontId="16" fillId="6" borderId="0" applyNumberFormat="0" applyBorder="0" applyAlignment="0" applyProtection="0"/>
    <xf numFmtId="0" fontId="23" fillId="0" borderId="0" applyNumberFormat="0" applyFill="0" applyBorder="0" applyAlignment="0" applyProtection="0"/>
  </cellStyleXfs>
  <cellXfs count="672">
    <xf numFmtId="0" fontId="0" fillId="0" borderId="0" xfId="0"/>
    <xf numFmtId="0" fontId="0" fillId="0" borderId="0" xfId="0" applyAlignment="1">
      <alignment horizontal="center"/>
    </xf>
    <xf numFmtId="0" fontId="1" fillId="0" borderId="0" xfId="0" applyFont="1"/>
    <xf numFmtId="0" fontId="0" fillId="0" borderId="3" xfId="0" applyBorder="1" applyAlignment="1">
      <alignment vertical="center"/>
    </xf>
    <xf numFmtId="0" fontId="3" fillId="0" borderId="1" xfId="0" applyFont="1" applyBorder="1" applyAlignment="1">
      <alignment vertical="center"/>
    </xf>
    <xf numFmtId="0" fontId="3" fillId="0" borderId="12" xfId="0" applyFont="1" applyBorder="1" applyAlignment="1">
      <alignment horizontal="left" vertical="center"/>
    </xf>
    <xf numFmtId="0" fontId="3" fillId="0" borderId="14" xfId="0" applyFont="1" applyBorder="1" applyAlignment="1">
      <alignment horizontal="center"/>
    </xf>
    <xf numFmtId="0" fontId="3" fillId="0" borderId="15" xfId="0" applyFont="1" applyBorder="1" applyAlignment="1">
      <alignment horizontal="center"/>
    </xf>
    <xf numFmtId="0" fontId="3" fillId="0" borderId="17" xfId="0" applyFont="1" applyBorder="1" applyAlignment="1">
      <alignment horizontal="center"/>
    </xf>
    <xf numFmtId="0" fontId="3" fillId="0" borderId="18" xfId="0" applyFont="1" applyBorder="1" applyAlignment="1">
      <alignment horizontal="center"/>
    </xf>
    <xf numFmtId="0" fontId="1" fillId="0" borderId="7" xfId="0" applyFont="1" applyBorder="1" applyAlignment="1">
      <alignment horizontal="left"/>
    </xf>
    <xf numFmtId="0" fontId="1" fillId="0" borderId="7" xfId="0" applyFont="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right"/>
    </xf>
    <xf numFmtId="0" fontId="1" fillId="0" borderId="1" xfId="0" applyFont="1" applyBorder="1" applyAlignment="1">
      <alignment horizontal="left"/>
    </xf>
    <xf numFmtId="0" fontId="1" fillId="0" borderId="16" xfId="0" applyFont="1" applyBorder="1" applyAlignment="1">
      <alignment horizontal="right"/>
    </xf>
    <xf numFmtId="0" fontId="1" fillId="0" borderId="7" xfId="0" applyFont="1" applyBorder="1" applyAlignment="1">
      <alignment horizontal="right"/>
    </xf>
    <xf numFmtId="3" fontId="1" fillId="0" borderId="1" xfId="0" applyNumberFormat="1" applyFont="1" applyBorder="1" applyAlignment="1">
      <alignment horizontal="right"/>
    </xf>
    <xf numFmtId="0" fontId="1" fillId="0" borderId="5" xfId="0" applyFont="1" applyBorder="1" applyAlignment="1">
      <alignment horizontal="center"/>
    </xf>
    <xf numFmtId="0" fontId="0" fillId="0" borderId="5" xfId="0" applyBorder="1"/>
    <xf numFmtId="0" fontId="0" fillId="0" borderId="4" xfId="0" applyBorder="1"/>
    <xf numFmtId="1" fontId="1" fillId="0" borderId="16" xfId="0" applyNumberFormat="1" applyFont="1" applyBorder="1" applyAlignment="1">
      <alignment horizontal="right" vertical="center"/>
    </xf>
    <xf numFmtId="1" fontId="1" fillId="0" borderId="6" xfId="0" applyNumberFormat="1" applyFont="1" applyBorder="1" applyAlignment="1">
      <alignment horizontal="right" vertical="center"/>
    </xf>
    <xf numFmtId="0" fontId="1" fillId="0" borderId="1" xfId="0" applyFont="1" applyBorder="1"/>
    <xf numFmtId="1" fontId="1" fillId="0" borderId="1" xfId="0" applyNumberFormat="1" applyFont="1" applyBorder="1" applyAlignment="1">
      <alignment horizontal="right" vertical="center"/>
    </xf>
    <xf numFmtId="1" fontId="1" fillId="0" borderId="16" xfId="0" applyNumberFormat="1" applyFont="1" applyBorder="1" applyAlignment="1">
      <alignment horizontal="right"/>
    </xf>
    <xf numFmtId="0" fontId="1" fillId="0" borderId="6" xfId="0" applyFont="1" applyBorder="1" applyAlignment="1">
      <alignment horizontal="right"/>
    </xf>
    <xf numFmtId="0" fontId="3" fillId="0" borderId="22" xfId="0" applyFont="1" applyBorder="1" applyAlignment="1">
      <alignment horizontal="center"/>
    </xf>
    <xf numFmtId="0" fontId="3" fillId="0" borderId="23" xfId="0" applyFont="1" applyBorder="1" applyAlignment="1">
      <alignment horizontal="center"/>
    </xf>
    <xf numFmtId="0" fontId="0" fillId="2" borderId="6" xfId="0" applyFill="1" applyBorder="1" applyAlignment="1">
      <alignment horizontal="center"/>
    </xf>
    <xf numFmtId="0" fontId="0" fillId="2" borderId="5" xfId="0" applyFill="1" applyBorder="1" applyAlignment="1">
      <alignment horizontal="center"/>
    </xf>
    <xf numFmtId="0" fontId="0" fillId="2" borderId="5" xfId="0" applyFill="1" applyBorder="1"/>
    <xf numFmtId="0" fontId="1" fillId="0" borderId="7" xfId="0" applyFont="1" applyBorder="1"/>
    <xf numFmtId="0" fontId="1" fillId="0" borderId="7" xfId="0" applyFont="1" applyBorder="1" applyAlignment="1">
      <alignment horizontal="left" wrapText="1"/>
    </xf>
    <xf numFmtId="0" fontId="6" fillId="0" borderId="7" xfId="0" applyFont="1" applyBorder="1" applyAlignment="1">
      <alignment horizontal="left"/>
    </xf>
    <xf numFmtId="0" fontId="6" fillId="0" borderId="1" xfId="0" applyFont="1" applyBorder="1"/>
    <xf numFmtId="0" fontId="6" fillId="0" borderId="7" xfId="0" applyFont="1" applyBorder="1" applyAlignment="1">
      <alignment horizontal="left" wrapText="1"/>
    </xf>
    <xf numFmtId="0" fontId="0" fillId="0" borderId="6" xfId="0" applyBorder="1" applyAlignment="1">
      <alignment horizontal="center"/>
    </xf>
    <xf numFmtId="0" fontId="0" fillId="0" borderId="5" xfId="0" applyBorder="1" applyAlignment="1">
      <alignment horizontal="center"/>
    </xf>
    <xf numFmtId="0" fontId="1" fillId="0" borderId="12" xfId="0" applyFont="1" applyBorder="1" applyAlignment="1">
      <alignment horizontal="left"/>
    </xf>
    <xf numFmtId="1" fontId="9" fillId="0" borderId="26" xfId="0" applyNumberFormat="1" applyFont="1" applyBorder="1" applyAlignment="1">
      <alignment horizontal="right"/>
    </xf>
    <xf numFmtId="0" fontId="9" fillId="0" borderId="7" xfId="0" applyFont="1" applyBorder="1" applyAlignment="1">
      <alignment horizontal="left"/>
    </xf>
    <xf numFmtId="0" fontId="9" fillId="0" borderId="7" xfId="0" applyFont="1" applyBorder="1" applyAlignment="1">
      <alignment horizontal="center"/>
    </xf>
    <xf numFmtId="0" fontId="6" fillId="0" borderId="1" xfId="0" applyFont="1" applyBorder="1" applyAlignment="1">
      <alignment horizontal="left" vertical="center"/>
    </xf>
    <xf numFmtId="0" fontId="0" fillId="0" borderId="1" xfId="0" applyBorder="1"/>
    <xf numFmtId="0" fontId="3" fillId="0" borderId="27" xfId="0" applyFont="1" applyBorder="1" applyAlignment="1">
      <alignment horizontal="center"/>
    </xf>
    <xf numFmtId="0" fontId="3" fillId="0" borderId="15" xfId="0" applyFont="1" applyBorder="1"/>
    <xf numFmtId="0" fontId="10" fillId="0" borderId="7" xfId="0" applyFont="1" applyBorder="1" applyAlignment="1">
      <alignment horizontal="center"/>
    </xf>
    <xf numFmtId="0" fontId="6" fillId="0" borderId="1" xfId="0" applyFont="1" applyBorder="1" applyAlignment="1">
      <alignment horizontal="center"/>
    </xf>
    <xf numFmtId="0" fontId="6" fillId="0" borderId="16" xfId="0" applyFont="1" applyBorder="1" applyAlignment="1">
      <alignment horizontal="right"/>
    </xf>
    <xf numFmtId="0" fontId="6" fillId="0" borderId="6" xfId="0" applyFont="1" applyBorder="1" applyAlignment="1">
      <alignment horizontal="right"/>
    </xf>
    <xf numFmtId="0" fontId="6" fillId="0" borderId="1" xfId="0" applyFont="1" applyBorder="1" applyAlignment="1">
      <alignment horizontal="right"/>
    </xf>
    <xf numFmtId="0" fontId="6" fillId="0" borderId="7" xfId="0" applyFont="1" applyBorder="1" applyAlignment="1">
      <alignment horizontal="center"/>
    </xf>
    <xf numFmtId="1" fontId="6" fillId="0" borderId="6" xfId="0" applyNumberFormat="1" applyFont="1" applyBorder="1" applyAlignment="1">
      <alignment horizontal="right" vertical="center"/>
    </xf>
    <xf numFmtId="1" fontId="6" fillId="0" borderId="16" xfId="0" applyNumberFormat="1" applyFont="1" applyBorder="1" applyAlignment="1">
      <alignment horizontal="right" vertical="center"/>
    </xf>
    <xf numFmtId="1" fontId="1" fillId="0" borderId="26" xfId="0" applyNumberFormat="1" applyFont="1" applyBorder="1" applyAlignment="1">
      <alignment horizontal="right" vertical="center"/>
    </xf>
    <xf numFmtId="164" fontId="1" fillId="0" borderId="7" xfId="0" applyNumberFormat="1" applyFont="1" applyBorder="1"/>
    <xf numFmtId="164" fontId="1" fillId="0" borderId="1" xfId="0" applyNumberFormat="1" applyFont="1" applyBorder="1"/>
    <xf numFmtId="164" fontId="0" fillId="0" borderId="1" xfId="0" applyNumberFormat="1" applyBorder="1"/>
    <xf numFmtId="164" fontId="1" fillId="0" borderId="7" xfId="0" applyNumberFormat="1" applyFont="1" applyBorder="1" applyAlignment="1">
      <alignment horizontal="right"/>
    </xf>
    <xf numFmtId="164" fontId="1" fillId="0" borderId="1" xfId="0" applyNumberFormat="1" applyFont="1" applyBorder="1" applyAlignment="1">
      <alignment horizontal="right"/>
    </xf>
    <xf numFmtId="164" fontId="6" fillId="0" borderId="1" xfId="0" applyNumberFormat="1" applyFont="1" applyBorder="1" applyAlignment="1">
      <alignment horizontal="right"/>
    </xf>
    <xf numFmtId="164" fontId="1" fillId="0" borderId="1" xfId="0" applyNumberFormat="1" applyFont="1" applyBorder="1" applyAlignment="1">
      <alignment horizontal="right" vertical="center"/>
    </xf>
    <xf numFmtId="0" fontId="0" fillId="2" borderId="8" xfId="0" applyFill="1" applyBorder="1"/>
    <xf numFmtId="0" fontId="11" fillId="3" borderId="10" xfId="0" applyFont="1" applyFill="1" applyBorder="1" applyAlignment="1">
      <alignment vertical="center" wrapText="1"/>
    </xf>
    <xf numFmtId="0" fontId="11" fillId="4" borderId="11" xfId="0" applyFont="1" applyFill="1" applyBorder="1" applyAlignment="1">
      <alignment vertical="center"/>
    </xf>
    <xf numFmtId="0" fontId="1" fillId="0" borderId="12" xfId="0" applyFont="1" applyBorder="1"/>
    <xf numFmtId="0" fontId="1" fillId="0" borderId="13" xfId="0" applyFont="1" applyBorder="1" applyAlignment="1">
      <alignment horizontal="right"/>
    </xf>
    <xf numFmtId="0" fontId="1" fillId="0" borderId="12" xfId="0" applyFont="1" applyBorder="1" applyAlignment="1">
      <alignment horizontal="center"/>
    </xf>
    <xf numFmtId="0" fontId="1" fillId="0" borderId="13" xfId="0" applyFont="1" applyBorder="1"/>
    <xf numFmtId="0" fontId="1" fillId="0" borderId="14" xfId="0" applyFont="1" applyBorder="1" applyAlignment="1">
      <alignment horizontal="center"/>
    </xf>
    <xf numFmtId="0" fontId="1" fillId="0" borderId="15" xfId="0" applyFont="1" applyBorder="1"/>
    <xf numFmtId="0" fontId="1" fillId="0" borderId="28" xfId="0" applyFont="1" applyBorder="1"/>
    <xf numFmtId="0" fontId="6" fillId="0" borderId="7" xfId="0" quotePrefix="1" applyFont="1" applyBorder="1" applyAlignment="1">
      <alignment horizontal="left"/>
    </xf>
    <xf numFmtId="0" fontId="12" fillId="0" borderId="1" xfId="0" applyFont="1" applyBorder="1"/>
    <xf numFmtId="0" fontId="0" fillId="5" borderId="0" xfId="0" applyFill="1"/>
    <xf numFmtId="0" fontId="0" fillId="5" borderId="24" xfId="0" applyFill="1" applyBorder="1"/>
    <xf numFmtId="0" fontId="0" fillId="5" borderId="25" xfId="0" applyFill="1" applyBorder="1"/>
    <xf numFmtId="0" fontId="0" fillId="5" borderId="1" xfId="0" applyFill="1" applyBorder="1"/>
    <xf numFmtId="1" fontId="1" fillId="0" borderId="7" xfId="0" applyNumberFormat="1" applyFont="1" applyBorder="1" applyAlignment="1">
      <alignment horizontal="right" vertical="center"/>
    </xf>
    <xf numFmtId="0" fontId="3" fillId="0" borderId="29" xfId="0" applyFont="1" applyBorder="1" applyAlignment="1">
      <alignment horizontal="center"/>
    </xf>
    <xf numFmtId="0" fontId="3" fillId="0" borderId="30" xfId="0" applyFont="1" applyBorder="1" applyAlignment="1">
      <alignment horizontal="center"/>
    </xf>
    <xf numFmtId="164" fontId="1" fillId="0" borderId="7" xfId="0" applyNumberFormat="1" applyFont="1" applyBorder="1" applyAlignment="1">
      <alignment horizontal="right" vertical="center"/>
    </xf>
    <xf numFmtId="1" fontId="6" fillId="0" borderId="16" xfId="0" applyNumberFormat="1" applyFont="1" applyBorder="1" applyAlignment="1">
      <alignment horizontal="right"/>
    </xf>
    <xf numFmtId="0" fontId="6" fillId="0" borderId="26" xfId="0" applyFont="1" applyBorder="1" applyAlignment="1">
      <alignment horizontal="center"/>
    </xf>
    <xf numFmtId="0" fontId="6" fillId="0" borderId="26" xfId="0" applyFont="1" applyBorder="1" applyAlignment="1">
      <alignment horizontal="left"/>
    </xf>
    <xf numFmtId="0" fontId="6" fillId="0" borderId="1" xfId="0" applyFont="1" applyBorder="1" applyAlignment="1">
      <alignment horizontal="left"/>
    </xf>
    <xf numFmtId="0" fontId="6" fillId="0" borderId="1" xfId="0" applyFont="1" applyBorder="1" applyAlignment="1">
      <alignment wrapText="1"/>
    </xf>
    <xf numFmtId="0" fontId="9" fillId="0" borderId="1" xfId="0" applyFont="1" applyBorder="1" applyAlignment="1">
      <alignment horizontal="center"/>
    </xf>
    <xf numFmtId="0" fontId="3" fillId="0" borderId="15" xfId="0" applyFont="1" applyBorder="1" applyAlignment="1">
      <alignment horizontal="right"/>
    </xf>
    <xf numFmtId="164" fontId="0" fillId="0" borderId="1" xfId="0" applyNumberFormat="1" applyBorder="1" applyAlignment="1">
      <alignment horizontal="right"/>
    </xf>
    <xf numFmtId="0" fontId="0" fillId="0" borderId="0" xfId="0" applyAlignment="1">
      <alignment horizontal="right"/>
    </xf>
    <xf numFmtId="0" fontId="9" fillId="0" borderId="16" xfId="0" applyFont="1" applyBorder="1" applyAlignment="1">
      <alignment horizontal="right"/>
    </xf>
    <xf numFmtId="0" fontId="9" fillId="0" borderId="6" xfId="0" applyFont="1" applyBorder="1" applyAlignment="1">
      <alignment horizontal="right"/>
    </xf>
    <xf numFmtId="0" fontId="6" fillId="0" borderId="26" xfId="0" applyFont="1" applyBorder="1" applyAlignment="1">
      <alignment horizontal="right"/>
    </xf>
    <xf numFmtId="164" fontId="9" fillId="0" borderId="1" xfId="0" applyNumberFormat="1" applyFont="1" applyBorder="1" applyAlignment="1">
      <alignment horizontal="right"/>
    </xf>
    <xf numFmtId="0" fontId="9" fillId="0" borderId="1" xfId="0" applyFont="1" applyBorder="1" applyAlignment="1">
      <alignment horizontal="right"/>
    </xf>
    <xf numFmtId="0" fontId="3" fillId="0" borderId="2" xfId="0" applyFont="1" applyBorder="1" applyAlignment="1">
      <alignment horizontal="left" vertical="center"/>
    </xf>
    <xf numFmtId="0" fontId="2" fillId="0" borderId="3" xfId="0" applyFont="1" applyBorder="1" applyAlignment="1">
      <alignment horizontal="center" vertical="center"/>
    </xf>
    <xf numFmtId="0" fontId="0" fillId="0" borderId="0" xfId="0" applyAlignment="1">
      <alignment vertical="center"/>
    </xf>
    <xf numFmtId="1" fontId="1" fillId="0" borderId="1" xfId="0" applyNumberFormat="1" applyFont="1" applyBorder="1" applyAlignment="1">
      <alignment horizontal="center"/>
    </xf>
    <xf numFmtId="3" fontId="1" fillId="0" borderId="1" xfId="0" applyNumberFormat="1" applyFont="1" applyBorder="1"/>
    <xf numFmtId="0" fontId="1" fillId="0" borderId="4" xfId="0" applyFont="1" applyBorder="1"/>
    <xf numFmtId="9" fontId="1" fillId="0" borderId="1" xfId="0" applyNumberFormat="1" applyFont="1" applyBorder="1" applyAlignment="1">
      <alignment horizontal="right"/>
    </xf>
    <xf numFmtId="9" fontId="1" fillId="0" borderId="4" xfId="0" applyNumberFormat="1" applyFont="1" applyBorder="1" applyAlignment="1">
      <alignment horizontal="right"/>
    </xf>
    <xf numFmtId="3" fontId="6" fillId="0" borderId="1" xfId="0" applyNumberFormat="1" applyFont="1" applyBorder="1" applyAlignment="1">
      <alignment horizontal="right"/>
    </xf>
    <xf numFmtId="0" fontId="9" fillId="0" borderId="1" xfId="0" applyFont="1" applyBorder="1"/>
    <xf numFmtId="0" fontId="1" fillId="0" borderId="6" xfId="0" applyFont="1" applyBorder="1" applyAlignment="1">
      <alignment horizontal="right" indent="1"/>
    </xf>
    <xf numFmtId="0" fontId="1" fillId="0" borderId="6" xfId="0" applyFont="1" applyBorder="1" applyAlignment="1">
      <alignment horizontal="right" vertical="center"/>
    </xf>
    <xf numFmtId="14" fontId="1" fillId="0" borderId="5" xfId="0" applyNumberFormat="1" applyFont="1" applyBorder="1" applyAlignment="1">
      <alignment horizontal="center" vertical="center"/>
    </xf>
    <xf numFmtId="1" fontId="9" fillId="0" borderId="1" xfId="0" applyNumberFormat="1" applyFont="1" applyBorder="1" applyAlignment="1">
      <alignment horizontal="right"/>
    </xf>
    <xf numFmtId="1" fontId="9" fillId="0" borderId="16" xfId="0" applyNumberFormat="1" applyFont="1" applyBorder="1" applyAlignment="1">
      <alignment horizontal="right"/>
    </xf>
    <xf numFmtId="0" fontId="0" fillId="0" borderId="13" xfId="0" applyBorder="1"/>
    <xf numFmtId="0" fontId="1" fillId="0" borderId="37" xfId="0" applyFont="1" applyBorder="1" applyAlignment="1">
      <alignment horizontal="left"/>
    </xf>
    <xf numFmtId="0" fontId="1" fillId="0" borderId="38" xfId="0" applyFont="1" applyBorder="1" applyAlignment="1">
      <alignment horizontal="left"/>
    </xf>
    <xf numFmtId="0" fontId="0" fillId="0" borderId="28" xfId="0" applyBorder="1"/>
    <xf numFmtId="0" fontId="3" fillId="0" borderId="10" xfId="0" applyFont="1" applyBorder="1" applyAlignment="1">
      <alignment horizontal="center"/>
    </xf>
    <xf numFmtId="0" fontId="3" fillId="0" borderId="28" xfId="0" applyFont="1" applyBorder="1" applyAlignment="1">
      <alignment horizontal="center"/>
    </xf>
    <xf numFmtId="0" fontId="3" fillId="0" borderId="37" xfId="0" applyFont="1" applyBorder="1" applyAlignment="1">
      <alignment horizontal="left" vertical="center"/>
    </xf>
    <xf numFmtId="0" fontId="3" fillId="0" borderId="7" xfId="0" applyFont="1" applyBorder="1" applyAlignment="1">
      <alignment vertical="center"/>
    </xf>
    <xf numFmtId="0" fontId="1" fillId="0" borderId="39" xfId="0" applyFont="1" applyBorder="1"/>
    <xf numFmtId="0" fontId="0" fillId="0" borderId="36" xfId="0" applyBorder="1"/>
    <xf numFmtId="1" fontId="1" fillId="0" borderId="13" xfId="0" applyNumberFormat="1" applyFont="1" applyBorder="1" applyAlignment="1">
      <alignment horizontal="right"/>
    </xf>
    <xf numFmtId="14" fontId="1" fillId="0" borderId="40" xfId="0" applyNumberFormat="1" applyFont="1" applyBorder="1" applyAlignment="1">
      <alignment horizontal="center" vertical="center"/>
    </xf>
    <xf numFmtId="9" fontId="1" fillId="0" borderId="42" xfId="0" applyNumberFormat="1" applyFont="1" applyBorder="1" applyAlignment="1">
      <alignment horizontal="right"/>
    </xf>
    <xf numFmtId="9" fontId="6" fillId="0" borderId="15" xfId="1" applyFont="1" applyFill="1" applyBorder="1" applyAlignment="1">
      <alignment horizontal="right"/>
    </xf>
    <xf numFmtId="1" fontId="1" fillId="0" borderId="13" xfId="0" applyNumberFormat="1" applyFont="1" applyBorder="1"/>
    <xf numFmtId="1" fontId="1" fillId="0" borderId="6" xfId="0" applyNumberFormat="1" applyFont="1" applyBorder="1"/>
    <xf numFmtId="0" fontId="3" fillId="0" borderId="45" xfId="0" applyFont="1" applyBorder="1" applyAlignment="1">
      <alignment horizontal="center"/>
    </xf>
    <xf numFmtId="0" fontId="0" fillId="0" borderId="6" xfId="0" applyBorder="1"/>
    <xf numFmtId="0" fontId="1" fillId="0" borderId="8" xfId="0" applyFont="1" applyBorder="1" applyAlignment="1">
      <alignment horizontal="left"/>
    </xf>
    <xf numFmtId="0" fontId="1" fillId="0" borderId="10" xfId="0" applyFont="1" applyBorder="1" applyAlignment="1">
      <alignment horizontal="center"/>
    </xf>
    <xf numFmtId="0" fontId="1" fillId="0" borderId="10" xfId="0" applyFont="1" applyBorder="1" applyAlignment="1">
      <alignment horizontal="left"/>
    </xf>
    <xf numFmtId="0" fontId="1" fillId="0" borderId="6" xfId="0" applyFont="1" applyBorder="1"/>
    <xf numFmtId="1" fontId="0" fillId="0" borderId="26" xfId="0" applyNumberFormat="1" applyBorder="1"/>
    <xf numFmtId="1" fontId="1" fillId="0" borderId="28" xfId="0" applyNumberFormat="1" applyFont="1" applyBorder="1"/>
    <xf numFmtId="1" fontId="1" fillId="0" borderId="4" xfId="0" applyNumberFormat="1" applyFont="1" applyBorder="1"/>
    <xf numFmtId="0" fontId="6" fillId="0" borderId="7" xfId="0" applyFont="1" applyBorder="1" applyAlignment="1">
      <alignment horizontal="center" vertical="center"/>
    </xf>
    <xf numFmtId="1" fontId="6" fillId="0" borderId="26" xfId="0" applyNumberFormat="1" applyFont="1" applyBorder="1" applyAlignment="1">
      <alignment horizontal="right"/>
    </xf>
    <xf numFmtId="1" fontId="6" fillId="0" borderId="6" xfId="0" applyNumberFormat="1" applyFont="1" applyBorder="1" applyAlignment="1">
      <alignment horizontal="right"/>
    </xf>
    <xf numFmtId="0" fontId="1" fillId="4" borderId="7" xfId="0" applyFont="1" applyFill="1" applyBorder="1" applyAlignment="1">
      <alignment horizontal="center"/>
    </xf>
    <xf numFmtId="0" fontId="1" fillId="0" borderId="26" xfId="0" applyFont="1" applyBorder="1" applyAlignment="1">
      <alignment horizontal="center"/>
    </xf>
    <xf numFmtId="0" fontId="1" fillId="7" borderId="26" xfId="0" applyFont="1" applyFill="1" applyBorder="1" applyAlignment="1">
      <alignment horizontal="center"/>
    </xf>
    <xf numFmtId="0" fontId="9" fillId="0" borderId="1" xfId="0" applyFont="1" applyBorder="1" applyAlignment="1">
      <alignment horizontal="left"/>
    </xf>
    <xf numFmtId="1" fontId="9" fillId="0" borderId="16" xfId="2" applyNumberFormat="1" applyFont="1" applyFill="1" applyBorder="1" applyAlignment="1">
      <alignment horizontal="right" vertical="center"/>
    </xf>
    <xf numFmtId="1" fontId="9" fillId="0" borderId="6" xfId="0" applyNumberFormat="1" applyFont="1" applyBorder="1" applyAlignment="1">
      <alignment horizontal="right" vertical="center"/>
    </xf>
    <xf numFmtId="0" fontId="1" fillId="0" borderId="5" xfId="0" applyFont="1" applyBorder="1"/>
    <xf numFmtId="0" fontId="1" fillId="0" borderId="25" xfId="0" applyFont="1" applyBorder="1" applyAlignment="1">
      <alignment horizontal="center"/>
    </xf>
    <xf numFmtId="164" fontId="9" fillId="0" borderId="1" xfId="0" applyNumberFormat="1" applyFont="1" applyBorder="1" applyAlignment="1">
      <alignment horizontal="right" vertical="center"/>
    </xf>
    <xf numFmtId="1" fontId="9" fillId="0" borderId="16" xfId="0" applyNumberFormat="1" applyFont="1" applyBorder="1" applyAlignment="1">
      <alignment horizontal="right" vertical="center"/>
    </xf>
    <xf numFmtId="0" fontId="14" fillId="0" borderId="7" xfId="0" applyFont="1" applyBorder="1" applyAlignment="1">
      <alignment horizontal="center"/>
    </xf>
    <xf numFmtId="1" fontId="9" fillId="0" borderId="7" xfId="0" applyNumberFormat="1" applyFont="1" applyBorder="1" applyAlignment="1">
      <alignment horizontal="right" vertical="center"/>
    </xf>
    <xf numFmtId="0" fontId="9" fillId="0" borderId="7" xfId="0" applyFont="1" applyBorder="1" applyAlignment="1">
      <alignment horizontal="right"/>
    </xf>
    <xf numFmtId="1" fontId="9" fillId="0" borderId="1" xfId="0" applyNumberFormat="1" applyFont="1" applyBorder="1" applyAlignment="1">
      <alignment horizontal="right" vertical="center"/>
    </xf>
    <xf numFmtId="0" fontId="20" fillId="0" borderId="29" xfId="0" applyFont="1" applyBorder="1" applyAlignment="1">
      <alignment horizontal="center"/>
    </xf>
    <xf numFmtId="0" fontId="20" fillId="0" borderId="18" xfId="0" applyFont="1" applyBorder="1" applyAlignment="1">
      <alignment horizontal="center"/>
    </xf>
    <xf numFmtId="0" fontId="18" fillId="0" borderId="1" xfId="0" applyFont="1" applyBorder="1"/>
    <xf numFmtId="0" fontId="18" fillId="0" borderId="0" xfId="0" applyFont="1"/>
    <xf numFmtId="0" fontId="1" fillId="0" borderId="0" xfId="0" applyFont="1" applyAlignment="1">
      <alignment horizontal="left"/>
    </xf>
    <xf numFmtId="0" fontId="1" fillId="0" borderId="0" xfId="0" applyFont="1" applyAlignment="1">
      <alignment horizontal="center"/>
    </xf>
    <xf numFmtId="0" fontId="0" fillId="0" borderId="1" xfId="0" applyBorder="1" applyAlignment="1">
      <alignment horizontal="center"/>
    </xf>
    <xf numFmtId="0" fontId="9" fillId="0" borderId="7" xfId="0" applyFont="1" applyBorder="1"/>
    <xf numFmtId="164" fontId="9" fillId="0" borderId="7" xfId="0" applyNumberFormat="1" applyFont="1" applyBorder="1" applyAlignment="1">
      <alignment horizontal="right" vertical="center"/>
    </xf>
    <xf numFmtId="2" fontId="9" fillId="0" borderId="16" xfId="2" applyNumberFormat="1" applyFont="1" applyFill="1" applyBorder="1" applyAlignment="1">
      <alignment horizontal="right" vertical="center"/>
    </xf>
    <xf numFmtId="2" fontId="0" fillId="0" borderId="1" xfId="0" applyNumberFormat="1" applyBorder="1"/>
    <xf numFmtId="49" fontId="0" fillId="0" borderId="1" xfId="0" applyNumberFormat="1" applyBorder="1" applyAlignment="1">
      <alignment horizontal="center"/>
    </xf>
    <xf numFmtId="49" fontId="0" fillId="0" borderId="0" xfId="0" applyNumberFormat="1" applyAlignment="1">
      <alignment horizontal="center"/>
    </xf>
    <xf numFmtId="164" fontId="9" fillId="0" borderId="1" xfId="0" applyNumberFormat="1" applyFont="1" applyBorder="1" applyAlignment="1">
      <alignment horizontal="center"/>
    </xf>
    <xf numFmtId="3" fontId="0" fillId="0" borderId="0" xfId="0" applyNumberFormat="1" applyAlignment="1">
      <alignment horizontal="center"/>
    </xf>
    <xf numFmtId="9" fontId="0" fillId="0" borderId="0" xfId="0" applyNumberFormat="1" applyAlignment="1">
      <alignment horizontal="center"/>
    </xf>
    <xf numFmtId="10" fontId="0" fillId="0" borderId="0" xfId="0" applyNumberFormat="1"/>
    <xf numFmtId="3" fontId="0" fillId="0" borderId="0" xfId="0" applyNumberFormat="1"/>
    <xf numFmtId="49" fontId="0" fillId="0" borderId="0" xfId="0" applyNumberFormat="1"/>
    <xf numFmtId="0" fontId="22" fillId="0" borderId="0" xfId="0" applyFont="1"/>
    <xf numFmtId="166" fontId="0" fillId="0" borderId="0" xfId="0" applyNumberFormat="1"/>
    <xf numFmtId="3" fontId="1" fillId="0" borderId="9" xfId="0" applyNumberFormat="1" applyFont="1" applyBorder="1" applyAlignment="1">
      <alignment horizontal="right" vertical="center"/>
    </xf>
    <xf numFmtId="3" fontId="1" fillId="0" borderId="16" xfId="0" applyNumberFormat="1" applyFont="1" applyBorder="1" applyAlignment="1">
      <alignment horizontal="right"/>
    </xf>
    <xf numFmtId="1" fontId="1" fillId="0" borderId="11" xfId="0" applyNumberFormat="1" applyFont="1" applyBorder="1" applyAlignment="1">
      <alignment horizontal="right"/>
    </xf>
    <xf numFmtId="0" fontId="0" fillId="0" borderId="8" xfId="0" applyBorder="1"/>
    <xf numFmtId="0" fontId="0" fillId="0" borderId="10" xfId="0" applyBorder="1"/>
    <xf numFmtId="0" fontId="0" fillId="0" borderId="11" xfId="0" applyBorder="1"/>
    <xf numFmtId="0" fontId="0" fillId="0" borderId="14" xfId="0" applyBorder="1"/>
    <xf numFmtId="0" fontId="0" fillId="0" borderId="15" xfId="0" applyBorder="1"/>
    <xf numFmtId="1" fontId="1" fillId="0" borderId="13" xfId="0" applyNumberFormat="1" applyFont="1" applyBorder="1" applyAlignment="1">
      <alignment horizontal="right" vertical="center"/>
    </xf>
    <xf numFmtId="0" fontId="1" fillId="0" borderId="52" xfId="0" applyFont="1" applyBorder="1" applyAlignment="1">
      <alignment horizontal="left"/>
    </xf>
    <xf numFmtId="0" fontId="1" fillId="0" borderId="32" xfId="0" applyFont="1" applyBorder="1" applyAlignment="1">
      <alignment horizontal="center"/>
    </xf>
    <xf numFmtId="0" fontId="1" fillId="0" borderId="33" xfId="0" applyFont="1" applyBorder="1"/>
    <xf numFmtId="14" fontId="1" fillId="0" borderId="47" xfId="0" applyNumberFormat="1" applyFont="1" applyBorder="1" applyAlignment="1">
      <alignment horizontal="left" vertical="center"/>
    </xf>
    <xf numFmtId="0" fontId="1" fillId="0" borderId="14" xfId="0" applyFont="1" applyBorder="1" applyAlignment="1">
      <alignment horizontal="left"/>
    </xf>
    <xf numFmtId="0" fontId="1" fillId="0" borderId="54" xfId="0" applyFont="1" applyBorder="1" applyAlignment="1">
      <alignment horizontal="left"/>
    </xf>
    <xf numFmtId="0" fontId="1" fillId="0" borderId="55" xfId="0" applyFont="1" applyBorder="1" applyAlignment="1">
      <alignment horizontal="right"/>
    </xf>
    <xf numFmtId="1" fontId="1" fillId="0" borderId="55" xfId="0" applyNumberFormat="1" applyFont="1" applyBorder="1" applyAlignment="1">
      <alignment horizontal="right" vertical="center"/>
    </xf>
    <xf numFmtId="1" fontId="1" fillId="0" borderId="55" xfId="0" applyNumberFormat="1" applyFont="1" applyBorder="1" applyAlignment="1">
      <alignment horizontal="right"/>
    </xf>
    <xf numFmtId="0" fontId="0" fillId="5" borderId="0" xfId="0" applyFill="1" applyAlignment="1">
      <alignment horizontal="center"/>
    </xf>
    <xf numFmtId="0" fontId="3" fillId="0" borderId="1" xfId="0" applyFont="1" applyBorder="1" applyAlignment="1">
      <alignment horizontal="center"/>
    </xf>
    <xf numFmtId="3" fontId="1" fillId="0" borderId="1" xfId="0" applyNumberFormat="1" applyFont="1" applyBorder="1" applyAlignment="1">
      <alignment horizontal="right" vertical="center"/>
    </xf>
    <xf numFmtId="0" fontId="1" fillId="0" borderId="1" xfId="0" applyFont="1" applyBorder="1" applyAlignment="1">
      <alignment horizontal="right" indent="1"/>
    </xf>
    <xf numFmtId="0" fontId="1" fillId="0" borderId="1" xfId="0" applyFont="1" applyBorder="1" applyAlignment="1">
      <alignment horizontal="right" vertical="center"/>
    </xf>
    <xf numFmtId="9" fontId="6" fillId="0" borderId="1" xfId="1" applyFont="1" applyFill="1" applyBorder="1" applyAlignment="1">
      <alignment horizontal="right"/>
    </xf>
    <xf numFmtId="0" fontId="1" fillId="0" borderId="4" xfId="0" applyFont="1" applyBorder="1" applyAlignment="1">
      <alignment horizontal="right"/>
    </xf>
    <xf numFmtId="0" fontId="1" fillId="0" borderId="5" xfId="0" applyFont="1" applyBorder="1" applyAlignment="1">
      <alignment horizontal="right"/>
    </xf>
    <xf numFmtId="0" fontId="24" fillId="9" borderId="0" xfId="3" quotePrefix="1" applyFont="1" applyFill="1" applyAlignment="1">
      <alignment horizontal="center"/>
    </xf>
    <xf numFmtId="0" fontId="25" fillId="10" borderId="0" xfId="3" quotePrefix="1" applyFont="1" applyFill="1" applyAlignment="1">
      <alignment horizontal="center"/>
    </xf>
    <xf numFmtId="0" fontId="9" fillId="11" borderId="0" xfId="0" applyFont="1" applyFill="1"/>
    <xf numFmtId="0" fontId="27" fillId="0" borderId="0" xfId="3" applyFont="1" applyFill="1" applyBorder="1" applyAlignment="1"/>
    <xf numFmtId="0" fontId="27" fillId="0" borderId="0" xfId="3" applyFont="1" applyAlignment="1">
      <alignment vertical="top"/>
    </xf>
    <xf numFmtId="14" fontId="1" fillId="0" borderId="1" xfId="0" applyNumberFormat="1" applyFont="1" applyBorder="1" applyAlignment="1">
      <alignment horizontal="center" vertical="center"/>
    </xf>
    <xf numFmtId="0" fontId="28" fillId="0" borderId="0" xfId="0" applyFont="1"/>
    <xf numFmtId="0" fontId="28" fillId="0" borderId="0" xfId="0" applyFont="1" applyAlignment="1">
      <alignment horizontal="center"/>
    </xf>
    <xf numFmtId="2" fontId="28" fillId="0" borderId="0" xfId="0" applyNumberFormat="1" applyFont="1"/>
    <xf numFmtId="49" fontId="28" fillId="0" borderId="0" xfId="0" applyNumberFormat="1" applyFont="1" applyAlignment="1">
      <alignment horizontal="center"/>
    </xf>
    <xf numFmtId="0" fontId="28" fillId="0" borderId="0" xfId="0" applyFont="1" applyProtection="1">
      <protection hidden="1"/>
    </xf>
    <xf numFmtId="0" fontId="28" fillId="0" borderId="0" xfId="0" applyFont="1" applyAlignment="1" applyProtection="1">
      <alignment horizontal="center"/>
      <protection hidden="1"/>
    </xf>
    <xf numFmtId="2" fontId="28" fillId="0" borderId="0" xfId="0" applyNumberFormat="1" applyFont="1" applyProtection="1">
      <protection hidden="1"/>
    </xf>
    <xf numFmtId="0" fontId="0" fillId="0" borderId="9" xfId="0" applyBorder="1"/>
    <xf numFmtId="0" fontId="0" fillId="0" borderId="11" xfId="0" applyBorder="1" applyAlignment="1">
      <alignment horizontal="center"/>
    </xf>
    <xf numFmtId="0" fontId="0" fillId="0" borderId="58" xfId="0" applyBorder="1" applyAlignment="1">
      <alignment horizontal="center"/>
    </xf>
    <xf numFmtId="0" fontId="30" fillId="0" borderId="22" xfId="0" applyFont="1" applyBorder="1" applyAlignment="1">
      <alignment horizontal="center" vertical="center"/>
    </xf>
    <xf numFmtId="0" fontId="30" fillId="0" borderId="23" xfId="0" applyFont="1" applyBorder="1" applyAlignment="1">
      <alignment horizontal="center" vertical="center"/>
    </xf>
    <xf numFmtId="0" fontId="30" fillId="0" borderId="23" xfId="0" applyFont="1" applyBorder="1" applyAlignment="1">
      <alignment horizontal="center"/>
    </xf>
    <xf numFmtId="0" fontId="30" fillId="0" borderId="65" xfId="0" applyFont="1" applyBorder="1" applyAlignment="1">
      <alignment horizontal="center"/>
    </xf>
    <xf numFmtId="0" fontId="30" fillId="0" borderId="18" xfId="0" applyFont="1" applyBorder="1" applyAlignment="1">
      <alignment horizontal="center"/>
    </xf>
    <xf numFmtId="0" fontId="0" fillId="0" borderId="59" xfId="0" applyBorder="1"/>
    <xf numFmtId="0" fontId="0" fillId="0" borderId="60" xfId="0" applyBorder="1"/>
    <xf numFmtId="0" fontId="31" fillId="0" borderId="60" xfId="0" applyFont="1" applyBorder="1" applyAlignment="1">
      <alignment horizontal="center" vertical="center"/>
    </xf>
    <xf numFmtId="0" fontId="31" fillId="0" borderId="66" xfId="0" applyFont="1" applyBorder="1"/>
    <xf numFmtId="2" fontId="31" fillId="0" borderId="67" xfId="0" applyNumberFormat="1" applyFont="1" applyBorder="1" applyAlignment="1">
      <alignment horizontal="center"/>
    </xf>
    <xf numFmtId="2" fontId="31" fillId="0" borderId="68" xfId="0" applyNumberFormat="1" applyFont="1" applyBorder="1" applyAlignment="1">
      <alignment horizontal="center"/>
    </xf>
    <xf numFmtId="2" fontId="0" fillId="0" borderId="68" xfId="0" applyNumberFormat="1" applyBorder="1" applyAlignment="1">
      <alignment horizontal="center"/>
    </xf>
    <xf numFmtId="2" fontId="31" fillId="0" borderId="71" xfId="0" applyNumberFormat="1" applyFont="1" applyBorder="1" applyAlignment="1">
      <alignment horizontal="center"/>
    </xf>
    <xf numFmtId="2" fontId="0" fillId="0" borderId="72" xfId="0" applyNumberFormat="1" applyBorder="1" applyAlignment="1">
      <alignment horizontal="center"/>
    </xf>
    <xf numFmtId="1" fontId="1" fillId="0" borderId="73" xfId="0" applyNumberFormat="1" applyFont="1" applyBorder="1" applyAlignment="1">
      <alignment horizontal="center"/>
    </xf>
    <xf numFmtId="1" fontId="1" fillId="0" borderId="74" xfId="0" applyNumberFormat="1" applyFont="1" applyBorder="1" applyAlignment="1">
      <alignment horizontal="center"/>
    </xf>
    <xf numFmtId="2" fontId="31" fillId="0" borderId="72" xfId="0" applyNumberFormat="1" applyFont="1" applyBorder="1" applyAlignment="1">
      <alignment horizontal="center"/>
    </xf>
    <xf numFmtId="0" fontId="0" fillId="0" borderId="75" xfId="0" applyBorder="1"/>
    <xf numFmtId="0" fontId="0" fillId="0" borderId="76" xfId="0" applyBorder="1"/>
    <xf numFmtId="0" fontId="31" fillId="0" borderId="76" xfId="0" applyFont="1" applyBorder="1" applyAlignment="1">
      <alignment horizontal="center" vertical="center"/>
    </xf>
    <xf numFmtId="0" fontId="31" fillId="0" borderId="69" xfId="0" applyFont="1" applyBorder="1"/>
    <xf numFmtId="2" fontId="0" fillId="0" borderId="76" xfId="0" applyNumberFormat="1" applyBorder="1" applyAlignment="1">
      <alignment horizontal="center"/>
    </xf>
    <xf numFmtId="2" fontId="0" fillId="0" borderId="77" xfId="0" applyNumberFormat="1" applyBorder="1" applyAlignment="1">
      <alignment horizontal="center"/>
    </xf>
    <xf numFmtId="1" fontId="1" fillId="0" borderId="78" xfId="0" applyNumberFormat="1" applyFont="1" applyBorder="1" applyAlignment="1">
      <alignment horizontal="center"/>
    </xf>
    <xf numFmtId="2" fontId="31" fillId="0" borderId="77" xfId="0" applyNumberFormat="1" applyFont="1" applyBorder="1" applyAlignment="1">
      <alignment horizontal="center"/>
    </xf>
    <xf numFmtId="2" fontId="31" fillId="0" borderId="76" xfId="0" applyNumberFormat="1" applyFont="1" applyBorder="1" applyAlignment="1">
      <alignment horizontal="center"/>
    </xf>
    <xf numFmtId="0" fontId="31" fillId="4" borderId="76" xfId="0" applyFont="1" applyFill="1" applyBorder="1" applyAlignment="1">
      <alignment horizontal="center" vertical="center"/>
    </xf>
    <xf numFmtId="0" fontId="31" fillId="0" borderId="75" xfId="0" applyFont="1" applyBorder="1" applyAlignment="1">
      <alignment horizontal="center"/>
    </xf>
    <xf numFmtId="0" fontId="31" fillId="0" borderId="76" xfId="0" applyFont="1" applyBorder="1" applyAlignment="1">
      <alignment horizontal="center"/>
    </xf>
    <xf numFmtId="0" fontId="0" fillId="0" borderId="76" xfId="0" applyBorder="1" applyAlignment="1">
      <alignment horizontal="center"/>
    </xf>
    <xf numFmtId="0" fontId="0" fillId="0" borderId="70" xfId="0" applyBorder="1" applyAlignment="1">
      <alignment horizontal="center"/>
    </xf>
    <xf numFmtId="0" fontId="31" fillId="0" borderId="79" xfId="0" applyFont="1" applyBorder="1" applyAlignment="1">
      <alignment horizontal="center"/>
    </xf>
    <xf numFmtId="0" fontId="31" fillId="0" borderId="77" xfId="0" applyFont="1" applyBorder="1" applyAlignment="1">
      <alignment horizontal="center"/>
    </xf>
    <xf numFmtId="0" fontId="0" fillId="0" borderId="77" xfId="0" applyBorder="1" applyAlignment="1">
      <alignment horizontal="center"/>
    </xf>
    <xf numFmtId="0" fontId="0" fillId="0" borderId="78" xfId="0" applyBorder="1" applyAlignment="1">
      <alignment horizontal="center"/>
    </xf>
    <xf numFmtId="0" fontId="0" fillId="0" borderId="62" xfId="0" applyBorder="1"/>
    <xf numFmtId="0" fontId="0" fillId="0" borderId="63" xfId="0" applyBorder="1"/>
    <xf numFmtId="0" fontId="31" fillId="0" borderId="63" xfId="0" applyFont="1" applyBorder="1" applyAlignment="1">
      <alignment horizontal="center" vertical="center"/>
    </xf>
    <xf numFmtId="0" fontId="31" fillId="0" borderId="80" xfId="0" applyFont="1" applyBorder="1"/>
    <xf numFmtId="0" fontId="31" fillId="0" borderId="62" xfId="0" applyFont="1" applyBorder="1" applyAlignment="1">
      <alignment horizontal="center"/>
    </xf>
    <xf numFmtId="0" fontId="31" fillId="0" borderId="63" xfId="0" applyFont="1" applyBorder="1" applyAlignment="1">
      <alignment horizontal="center"/>
    </xf>
    <xf numFmtId="0" fontId="0" fillId="0" borderId="63" xfId="0" applyBorder="1" applyAlignment="1">
      <alignment horizontal="center"/>
    </xf>
    <xf numFmtId="0" fontId="0" fillId="0" borderId="65" xfId="0" applyBorder="1" applyAlignment="1">
      <alignment horizontal="center"/>
    </xf>
    <xf numFmtId="0" fontId="31" fillId="0" borderId="81" xfId="0" applyFont="1" applyBorder="1" applyAlignment="1">
      <alignment horizontal="center"/>
    </xf>
    <xf numFmtId="0" fontId="31" fillId="0" borderId="82" xfId="0" applyFont="1" applyBorder="1" applyAlignment="1">
      <alignment horizontal="center"/>
    </xf>
    <xf numFmtId="0" fontId="0" fillId="0" borderId="82" xfId="0" applyBorder="1" applyAlignment="1">
      <alignment horizontal="center"/>
    </xf>
    <xf numFmtId="0" fontId="0" fillId="0" borderId="83" xfId="0" applyBorder="1" applyAlignment="1">
      <alignment horizontal="center"/>
    </xf>
    <xf numFmtId="0" fontId="0" fillId="0" borderId="84" xfId="0" applyBorder="1" applyAlignment="1">
      <alignment horizontal="center"/>
    </xf>
    <xf numFmtId="2" fontId="31" fillId="0" borderId="75" xfId="0" applyNumberFormat="1" applyFont="1" applyBorder="1" applyAlignment="1">
      <alignment horizontal="center"/>
    </xf>
    <xf numFmtId="0" fontId="18" fillId="0" borderId="58" xfId="0" applyFont="1" applyBorder="1" applyAlignment="1">
      <alignment horizontal="center"/>
    </xf>
    <xf numFmtId="0" fontId="32" fillId="0" borderId="22" xfId="0" applyFont="1" applyBorder="1" applyAlignment="1">
      <alignment horizontal="center" vertical="center"/>
    </xf>
    <xf numFmtId="0" fontId="32" fillId="0" borderId="23" xfId="0" applyFont="1" applyBorder="1" applyAlignment="1">
      <alignment horizontal="center" vertical="center"/>
    </xf>
    <xf numFmtId="0" fontId="32" fillId="0" borderId="23" xfId="0" applyFont="1" applyBorder="1" applyAlignment="1">
      <alignment horizontal="center"/>
    </xf>
    <xf numFmtId="0" fontId="32" fillId="0" borderId="65" xfId="0" applyFont="1" applyBorder="1" applyAlignment="1">
      <alignment horizontal="center"/>
    </xf>
    <xf numFmtId="0" fontId="32" fillId="0" borderId="18" xfId="0" applyFont="1" applyBorder="1" applyAlignment="1">
      <alignment horizontal="center"/>
    </xf>
    <xf numFmtId="0" fontId="0" fillId="0" borderId="47" xfId="0" applyBorder="1" applyAlignment="1">
      <alignment horizontal="center"/>
    </xf>
    <xf numFmtId="0" fontId="0" fillId="0" borderId="53" xfId="0" applyBorder="1" applyAlignment="1">
      <alignment horizontal="center"/>
    </xf>
    <xf numFmtId="0" fontId="0" fillId="0" borderId="53" xfId="0" applyBorder="1"/>
    <xf numFmtId="0" fontId="0" fillId="0" borderId="8" xfId="0" applyBorder="1" applyAlignment="1">
      <alignment horizontal="center"/>
    </xf>
    <xf numFmtId="0" fontId="0" fillId="0" borderId="10" xfId="0" applyBorder="1" applyAlignment="1">
      <alignment horizontal="center"/>
    </xf>
    <xf numFmtId="0" fontId="0" fillId="0" borderId="46" xfId="0" applyBorder="1"/>
    <xf numFmtId="0" fontId="0" fillId="0" borderId="43" xfId="0" applyBorder="1"/>
    <xf numFmtId="0" fontId="0" fillId="0" borderId="12" xfId="0" applyBorder="1" applyAlignment="1">
      <alignment horizontal="center"/>
    </xf>
    <xf numFmtId="0" fontId="0" fillId="0" borderId="13" xfId="0" applyBorder="1" applyAlignment="1">
      <alignment horizontal="center"/>
    </xf>
    <xf numFmtId="0" fontId="0" fillId="0" borderId="38" xfId="0" applyBorder="1"/>
    <xf numFmtId="0" fontId="0" fillId="0" borderId="40" xfId="0" applyBorder="1"/>
    <xf numFmtId="0" fontId="0" fillId="0" borderId="14" xfId="0" applyBorder="1" applyAlignment="1">
      <alignment horizontal="center"/>
    </xf>
    <xf numFmtId="0" fontId="0" fillId="0" borderId="15" xfId="0" applyBorder="1" applyAlignment="1">
      <alignment horizontal="center"/>
    </xf>
    <xf numFmtId="0" fontId="0" fillId="0" borderId="28" xfId="0" applyBorder="1" applyAlignment="1">
      <alignment horizontal="center"/>
    </xf>
    <xf numFmtId="0" fontId="0" fillId="0" borderId="30" xfId="0" applyBorder="1"/>
    <xf numFmtId="0" fontId="0" fillId="0" borderId="41" xfId="0" applyBorder="1"/>
    <xf numFmtId="0" fontId="3" fillId="0" borderId="0" xfId="0" applyFont="1"/>
    <xf numFmtId="0" fontId="0" fillId="0" borderId="47" xfId="0" applyBorder="1"/>
    <xf numFmtId="0" fontId="0" fillId="0" borderId="31" xfId="0" applyBorder="1" applyAlignment="1">
      <alignment horizontal="center"/>
    </xf>
    <xf numFmtId="0" fontId="0" fillId="0" borderId="86" xfId="0" applyBorder="1" applyAlignment="1">
      <alignment horizontal="center"/>
    </xf>
    <xf numFmtId="0" fontId="0" fillId="0" borderId="87" xfId="0" applyBorder="1" applyAlignment="1">
      <alignment horizontal="center"/>
    </xf>
    <xf numFmtId="0" fontId="0" fillId="0" borderId="34" xfId="0" applyBorder="1" applyAlignment="1">
      <alignment horizontal="center"/>
    </xf>
    <xf numFmtId="0" fontId="0" fillId="0" borderId="44" xfId="0" applyBorder="1"/>
    <xf numFmtId="0" fontId="0" fillId="0" borderId="26" xfId="0" applyBorder="1"/>
    <xf numFmtId="0" fontId="0" fillId="0" borderId="16" xfId="0" applyBorder="1"/>
    <xf numFmtId="0" fontId="0" fillId="0" borderId="18" xfId="0" applyBorder="1"/>
    <xf numFmtId="0" fontId="0" fillId="0" borderId="18" xfId="0" applyBorder="1" applyAlignment="1">
      <alignment horizontal="center"/>
    </xf>
    <xf numFmtId="0" fontId="34" fillId="0" borderId="0" xfId="0" applyFont="1" applyAlignment="1">
      <alignment horizontal="center"/>
    </xf>
    <xf numFmtId="0" fontId="35" fillId="0" borderId="0" xfId="0" applyFont="1" applyAlignment="1">
      <alignment horizontal="center"/>
    </xf>
    <xf numFmtId="1" fontId="0" fillId="0" borderId="0" xfId="0" applyNumberFormat="1" applyAlignment="1">
      <alignment horizontal="center"/>
    </xf>
    <xf numFmtId="0" fontId="36" fillId="0" borderId="0" xfId="0" applyFont="1" applyAlignment="1">
      <alignment horizontal="center"/>
    </xf>
    <xf numFmtId="0" fontId="34" fillId="0" borderId="1" xfId="0" applyFont="1" applyBorder="1" applyAlignment="1">
      <alignment horizontal="center" wrapText="1"/>
    </xf>
    <xf numFmtId="0" fontId="35" fillId="0" borderId="1" xfId="0" applyFont="1" applyBorder="1" applyAlignment="1">
      <alignment horizontal="center" wrapText="1"/>
    </xf>
    <xf numFmtId="1" fontId="0" fillId="0" borderId="1" xfId="0" applyNumberFormat="1" applyBorder="1" applyAlignment="1">
      <alignment horizontal="center"/>
    </xf>
    <xf numFmtId="0" fontId="36" fillId="0" borderId="1" xfId="0" applyFont="1" applyBorder="1" applyAlignment="1">
      <alignment horizontal="center"/>
    </xf>
    <xf numFmtId="0" fontId="34" fillId="0" borderId="12" xfId="0" applyFont="1" applyBorder="1" applyAlignment="1">
      <alignment horizontal="center" wrapText="1"/>
    </xf>
    <xf numFmtId="0" fontId="35" fillId="0" borderId="13" xfId="0" applyFont="1" applyBorder="1" applyAlignment="1">
      <alignment horizontal="center" wrapText="1"/>
    </xf>
    <xf numFmtId="0" fontId="36" fillId="0" borderId="13" xfId="0" applyFont="1" applyBorder="1" applyAlignment="1">
      <alignment horizontal="center"/>
    </xf>
    <xf numFmtId="1" fontId="0" fillId="0" borderId="15" xfId="0" applyNumberFormat="1" applyBorder="1" applyAlignment="1">
      <alignment horizontal="center"/>
    </xf>
    <xf numFmtId="0" fontId="36" fillId="0" borderId="15" xfId="0" applyFont="1" applyBorder="1" applyAlignment="1">
      <alignment horizontal="center"/>
    </xf>
    <xf numFmtId="0" fontId="36" fillId="0" borderId="28" xfId="0" applyFont="1" applyBorder="1" applyAlignment="1">
      <alignment horizontal="center"/>
    </xf>
    <xf numFmtId="0" fontId="34" fillId="0" borderId="1" xfId="0" applyFont="1" applyBorder="1" applyAlignment="1">
      <alignment horizontal="center"/>
    </xf>
    <xf numFmtId="0" fontId="34" fillId="0" borderId="12" xfId="0" applyFont="1" applyBorder="1" applyAlignment="1">
      <alignment horizontal="center"/>
    </xf>
    <xf numFmtId="0" fontId="0" fillId="0" borderId="0" xfId="0" applyAlignment="1">
      <alignment horizontal="left"/>
    </xf>
    <xf numFmtId="0" fontId="34" fillId="0" borderId="10" xfId="0" applyFont="1" applyBorder="1" applyAlignment="1">
      <alignment horizontal="center" wrapText="1"/>
    </xf>
    <xf numFmtId="0" fontId="35" fillId="0" borderId="10" xfId="0" applyFont="1" applyBorder="1" applyAlignment="1">
      <alignment horizontal="center" wrapText="1"/>
    </xf>
    <xf numFmtId="0" fontId="35" fillId="0" borderId="11" xfId="0" applyFont="1" applyBorder="1" applyAlignment="1">
      <alignment horizontal="center" wrapText="1"/>
    </xf>
    <xf numFmtId="0" fontId="0" fillId="0" borderId="0" xfId="0" applyAlignment="1">
      <alignment horizontal="center" wrapText="1"/>
    </xf>
    <xf numFmtId="1" fontId="36" fillId="0" borderId="0" xfId="0" applyNumberFormat="1" applyFont="1" applyAlignment="1">
      <alignment horizontal="center"/>
    </xf>
    <xf numFmtId="1" fontId="1" fillId="0" borderId="32" xfId="0" applyNumberFormat="1" applyFont="1" applyBorder="1" applyAlignment="1">
      <alignment horizontal="center"/>
    </xf>
    <xf numFmtId="0" fontId="35" fillId="9" borderId="0" xfId="0" applyFont="1" applyFill="1" applyAlignment="1">
      <alignment horizontal="center"/>
    </xf>
    <xf numFmtId="0" fontId="0" fillId="0" borderId="21" xfId="0" applyBorder="1" applyAlignment="1">
      <alignment horizontal="center"/>
    </xf>
    <xf numFmtId="1" fontId="9" fillId="9" borderId="19" xfId="0" applyNumberFormat="1" applyFont="1" applyFill="1" applyBorder="1" applyAlignment="1">
      <alignment horizontal="center"/>
    </xf>
    <xf numFmtId="0" fontId="35" fillId="0" borderId="1" xfId="0" applyFont="1" applyBorder="1" applyAlignment="1">
      <alignment horizontal="center"/>
    </xf>
    <xf numFmtId="0" fontId="35" fillId="0" borderId="13" xfId="0" applyFont="1" applyBorder="1" applyAlignment="1">
      <alignment horizontal="center"/>
    </xf>
    <xf numFmtId="1" fontId="36" fillId="0" borderId="1" xfId="0" applyNumberFormat="1" applyFont="1" applyBorder="1" applyAlignment="1">
      <alignment horizontal="center"/>
    </xf>
    <xf numFmtId="166" fontId="0" fillId="0" borderId="0" xfId="0" applyNumberFormat="1" applyAlignment="1">
      <alignment horizontal="center"/>
    </xf>
    <xf numFmtId="166" fontId="36" fillId="0" borderId="0" xfId="0" applyNumberFormat="1" applyFont="1" applyAlignment="1">
      <alignment horizontal="center"/>
    </xf>
    <xf numFmtId="0" fontId="0" fillId="0" borderId="1" xfId="0" applyBorder="1" applyAlignment="1">
      <alignment wrapText="1"/>
    </xf>
    <xf numFmtId="166" fontId="0" fillId="0" borderId="1" xfId="0" applyNumberFormat="1" applyBorder="1" applyAlignment="1">
      <alignment horizontal="center"/>
    </xf>
    <xf numFmtId="1" fontId="36" fillId="0" borderId="13" xfId="0" applyNumberFormat="1" applyFont="1" applyBorder="1" applyAlignment="1">
      <alignment horizontal="center"/>
    </xf>
    <xf numFmtId="1" fontId="36" fillId="0" borderId="15" xfId="0" applyNumberFormat="1" applyFont="1" applyBorder="1" applyAlignment="1">
      <alignment horizontal="center"/>
    </xf>
    <xf numFmtId="1" fontId="36" fillId="0" borderId="28" xfId="0" applyNumberFormat="1" applyFont="1" applyBorder="1" applyAlignment="1">
      <alignment horizontal="center"/>
    </xf>
    <xf numFmtId="0" fontId="40" fillId="8" borderId="1" xfId="3" applyFont="1" applyFill="1" applyBorder="1" applyAlignment="1">
      <alignment horizontal="center" vertical="center"/>
    </xf>
    <xf numFmtId="0" fontId="40" fillId="7" borderId="1" xfId="3" applyFont="1" applyFill="1" applyBorder="1" applyAlignment="1">
      <alignment horizontal="center" vertical="center"/>
    </xf>
    <xf numFmtId="0" fontId="40" fillId="9" borderId="1" xfId="3" applyFont="1" applyFill="1" applyBorder="1" applyAlignment="1">
      <alignment horizontal="center" vertical="center"/>
    </xf>
    <xf numFmtId="0" fontId="9" fillId="10" borderId="85" xfId="0" applyFont="1" applyFill="1" applyBorder="1" applyAlignment="1">
      <alignment horizontal="center" vertical="center"/>
    </xf>
    <xf numFmtId="0" fontId="40" fillId="8" borderId="56" xfId="3" applyFont="1" applyFill="1" applyBorder="1" applyAlignment="1">
      <alignment horizontal="center" vertical="center"/>
    </xf>
    <xf numFmtId="0" fontId="40" fillId="7" borderId="56" xfId="3" applyFont="1" applyFill="1" applyBorder="1" applyAlignment="1">
      <alignment horizontal="center" vertical="center"/>
    </xf>
    <xf numFmtId="0" fontId="40" fillId="8" borderId="57" xfId="3" applyFont="1" applyFill="1" applyBorder="1" applyAlignment="1">
      <alignment horizontal="center" vertical="center"/>
    </xf>
    <xf numFmtId="14" fontId="1" fillId="0" borderId="13" xfId="0" applyNumberFormat="1" applyFont="1" applyBorder="1" applyAlignment="1">
      <alignment horizontal="center" vertical="center"/>
    </xf>
    <xf numFmtId="14" fontId="1" fillId="0" borderId="12" xfId="0" applyNumberFormat="1" applyFont="1" applyBorder="1" applyAlignment="1">
      <alignment horizontal="left" vertical="center"/>
    </xf>
    <xf numFmtId="0" fontId="3" fillId="0" borderId="7" xfId="0" applyFont="1" applyBorder="1" applyAlignment="1">
      <alignment horizontal="center"/>
    </xf>
    <xf numFmtId="3" fontId="1" fillId="0" borderId="26" xfId="0" applyNumberFormat="1" applyFont="1" applyBorder="1" applyAlignment="1">
      <alignment horizontal="right" vertical="center"/>
    </xf>
    <xf numFmtId="1" fontId="1" fillId="0" borderId="39" xfId="0" applyNumberFormat="1" applyFont="1" applyBorder="1" applyAlignment="1">
      <alignment horizontal="right"/>
    </xf>
    <xf numFmtId="3" fontId="9" fillId="0" borderId="6" xfId="0" applyNumberFormat="1" applyFont="1" applyBorder="1" applyAlignment="1">
      <alignment horizontal="right" vertical="center"/>
    </xf>
    <xf numFmtId="3" fontId="9" fillId="0" borderId="7" xfId="0" applyNumberFormat="1" applyFont="1" applyBorder="1" applyAlignment="1">
      <alignment horizontal="right" vertical="center"/>
    </xf>
    <xf numFmtId="3" fontId="9" fillId="0" borderId="16" xfId="0" applyNumberFormat="1" applyFont="1" applyBorder="1" applyAlignment="1">
      <alignment horizontal="right" vertical="center"/>
    </xf>
    <xf numFmtId="3" fontId="9" fillId="0" borderId="1" xfId="0" applyNumberFormat="1" applyFont="1" applyBorder="1" applyAlignment="1">
      <alignment horizontal="right" vertical="center"/>
    </xf>
    <xf numFmtId="0" fontId="6" fillId="0" borderId="37" xfId="0" applyFont="1" applyBorder="1" applyAlignment="1">
      <alignment horizontal="left"/>
    </xf>
    <xf numFmtId="16" fontId="9" fillId="0" borderId="1" xfId="0" applyNumberFormat="1" applyFont="1" applyBorder="1" applyAlignment="1">
      <alignment horizontal="right"/>
    </xf>
    <xf numFmtId="0" fontId="1" fillId="4" borderId="1" xfId="0" applyFont="1" applyFill="1" applyBorder="1" applyAlignment="1">
      <alignment horizontal="left"/>
    </xf>
    <xf numFmtId="0" fontId="9" fillId="0" borderId="37" xfId="0" applyFont="1" applyBorder="1" applyAlignment="1">
      <alignment horizontal="left"/>
    </xf>
    <xf numFmtId="0" fontId="9" fillId="0" borderId="37" xfId="0" applyFont="1" applyBorder="1" applyAlignment="1">
      <alignment horizontal="left" wrapText="1"/>
    </xf>
    <xf numFmtId="0" fontId="3" fillId="0" borderId="8" xfId="0" applyFont="1" applyBorder="1" applyAlignment="1">
      <alignment horizontal="left" vertical="center"/>
    </xf>
    <xf numFmtId="0" fontId="3" fillId="0" borderId="10" xfId="0" applyFont="1" applyBorder="1" applyAlignment="1">
      <alignment vertical="center"/>
    </xf>
    <xf numFmtId="0" fontId="3" fillId="0" borderId="14" xfId="0" applyFont="1" applyBorder="1" applyAlignment="1">
      <alignment horizontal="left" vertical="center"/>
    </xf>
    <xf numFmtId="0" fontId="3" fillId="0" borderId="15" xfId="0" applyFont="1" applyBorder="1" applyAlignment="1">
      <alignment vertical="center"/>
    </xf>
    <xf numFmtId="169" fontId="3" fillId="0" borderId="11" xfId="0" applyNumberFormat="1" applyFont="1" applyBorder="1" applyAlignment="1">
      <alignment horizontal="left" vertical="center"/>
    </xf>
    <xf numFmtId="0" fontId="3" fillId="0" borderId="13" xfId="0" applyFont="1" applyBorder="1" applyAlignment="1">
      <alignment horizontal="left" vertical="center"/>
    </xf>
    <xf numFmtId="169" fontId="3" fillId="0" borderId="28" xfId="0" applyNumberFormat="1" applyFont="1" applyBorder="1" applyAlignment="1">
      <alignment horizontal="left" vertical="center"/>
    </xf>
    <xf numFmtId="165" fontId="0" fillId="0" borderId="0" xfId="0" applyNumberFormat="1"/>
    <xf numFmtId="165" fontId="1" fillId="0" borderId="1" xfId="0" applyNumberFormat="1" applyFont="1" applyBorder="1"/>
    <xf numFmtId="165" fontId="1" fillId="0" borderId="13" xfId="0" applyNumberFormat="1" applyFont="1" applyBorder="1"/>
    <xf numFmtId="0" fontId="1" fillId="0" borderId="12" xfId="0" applyFont="1" applyBorder="1" applyAlignment="1">
      <alignment horizontal="left" vertical="center"/>
    </xf>
    <xf numFmtId="3" fontId="1" fillId="0" borderId="0" xfId="0" applyNumberFormat="1" applyFont="1"/>
    <xf numFmtId="1" fontId="1" fillId="0" borderId="12" xfId="0" applyNumberFormat="1" applyFont="1" applyBorder="1"/>
    <xf numFmtId="1" fontId="1" fillId="0" borderId="1" xfId="0" applyNumberFormat="1" applyFont="1" applyBorder="1"/>
    <xf numFmtId="1" fontId="1" fillId="0" borderId="14" xfId="0" applyNumberFormat="1" applyFont="1" applyBorder="1"/>
    <xf numFmtId="1" fontId="1" fillId="0" borderId="15" xfId="0" applyNumberFormat="1" applyFont="1" applyBorder="1"/>
    <xf numFmtId="1" fontId="1" fillId="0" borderId="0" xfId="0" applyNumberFormat="1" applyFont="1"/>
    <xf numFmtId="1" fontId="0" fillId="0" borderId="1" xfId="0" applyNumberFormat="1" applyBorder="1" applyAlignment="1">
      <alignment horizontal="right" vertical="center"/>
    </xf>
    <xf numFmtId="0" fontId="0" fillId="0" borderId="44" xfId="0" applyBorder="1" applyAlignment="1">
      <alignment horizontal="center"/>
    </xf>
    <xf numFmtId="0" fontId="0" fillId="0" borderId="16" xfId="0" applyBorder="1" applyAlignment="1">
      <alignment horizontal="left"/>
    </xf>
    <xf numFmtId="49" fontId="0" fillId="0" borderId="16" xfId="0" applyNumberFormat="1" applyBorder="1" applyAlignment="1">
      <alignment horizontal="center"/>
    </xf>
    <xf numFmtId="0" fontId="0" fillId="0" borderId="16" xfId="0" applyBorder="1" applyAlignment="1">
      <alignment horizontal="center"/>
    </xf>
    <xf numFmtId="0" fontId="3" fillId="0" borderId="0" xfId="0" applyFont="1" applyAlignment="1">
      <alignment horizontal="left"/>
    </xf>
    <xf numFmtId="0" fontId="30" fillId="0" borderId="87" xfId="0" applyFont="1" applyBorder="1" applyAlignment="1">
      <alignment horizontal="center"/>
    </xf>
    <xf numFmtId="2" fontId="0" fillId="0" borderId="91" xfId="0" applyNumberFormat="1" applyBorder="1" applyAlignment="1">
      <alignment horizontal="center"/>
    </xf>
    <xf numFmtId="2" fontId="0" fillId="0" borderId="92" xfId="0" applyNumberFormat="1" applyBorder="1" applyAlignment="1">
      <alignment horizontal="center"/>
    </xf>
    <xf numFmtId="0" fontId="0" fillId="0" borderId="92" xfId="0" applyBorder="1" applyAlignment="1">
      <alignment horizontal="center"/>
    </xf>
    <xf numFmtId="0" fontId="0" fillId="0" borderId="64" xfId="0" applyBorder="1" applyAlignment="1">
      <alignment horizontal="center"/>
    </xf>
    <xf numFmtId="0" fontId="32" fillId="0" borderId="87" xfId="0" applyFont="1" applyBorder="1" applyAlignment="1">
      <alignment horizontal="center"/>
    </xf>
    <xf numFmtId="0" fontId="0" fillId="0" borderId="29" xfId="0" applyBorder="1" applyAlignment="1">
      <alignment horizontal="center"/>
    </xf>
    <xf numFmtId="0" fontId="0" fillId="7" borderId="75" xfId="0" applyFill="1" applyBorder="1"/>
    <xf numFmtId="0" fontId="0" fillId="7" borderId="76" xfId="0" applyFill="1" applyBorder="1"/>
    <xf numFmtId="164" fontId="0" fillId="0" borderId="4" xfId="0" applyNumberFormat="1" applyBorder="1"/>
    <xf numFmtId="1" fontId="9" fillId="0" borderId="0" xfId="0" applyNumberFormat="1" applyFont="1" applyAlignment="1">
      <alignment horizontal="right" vertical="center"/>
    </xf>
    <xf numFmtId="0" fontId="1" fillId="0" borderId="39" xfId="0" applyFont="1" applyBorder="1" applyAlignment="1">
      <alignment horizontal="right"/>
    </xf>
    <xf numFmtId="0" fontId="1" fillId="0" borderId="93" xfId="0" applyFont="1" applyBorder="1" applyAlignment="1">
      <alignment horizontal="left"/>
    </xf>
    <xf numFmtId="0" fontId="1" fillId="0" borderId="24" xfId="0" applyFont="1" applyBorder="1" applyAlignment="1">
      <alignment horizontal="center"/>
    </xf>
    <xf numFmtId="0" fontId="1" fillId="0" borderId="24" xfId="0" applyFont="1" applyBorder="1" applyAlignment="1">
      <alignment horizontal="left"/>
    </xf>
    <xf numFmtId="1" fontId="1" fillId="0" borderId="86" xfId="0" applyNumberFormat="1" applyFont="1" applyBorder="1" applyAlignment="1">
      <alignment horizontal="right" vertical="center"/>
    </xf>
    <xf numFmtId="0" fontId="34" fillId="0" borderId="8" xfId="0" applyFont="1" applyBorder="1" applyAlignment="1">
      <alignment horizontal="center"/>
    </xf>
    <xf numFmtId="0" fontId="34" fillId="0" borderId="10" xfId="0" applyFont="1" applyBorder="1" applyAlignment="1">
      <alignment horizontal="center"/>
    </xf>
    <xf numFmtId="0" fontId="0" fillId="7" borderId="0" xfId="0" applyFill="1"/>
    <xf numFmtId="0" fontId="38" fillId="7" borderId="0" xfId="0" applyFont="1" applyFill="1"/>
    <xf numFmtId="0" fontId="35" fillId="7" borderId="0" xfId="0" applyFont="1" applyFill="1" applyAlignment="1">
      <alignment horizontal="center" wrapText="1"/>
    </xf>
    <xf numFmtId="0" fontId="36" fillId="7" borderId="0" xfId="0" applyFont="1" applyFill="1" applyAlignment="1">
      <alignment horizontal="center"/>
    </xf>
    <xf numFmtId="0" fontId="1" fillId="0" borderId="8" xfId="0" applyFont="1" applyBorder="1" applyAlignment="1">
      <alignment horizontal="center" wrapText="1"/>
    </xf>
    <xf numFmtId="0" fontId="1" fillId="0" borderId="10" xfId="0" applyFont="1" applyBorder="1" applyAlignment="1">
      <alignment horizontal="center" wrapText="1"/>
    </xf>
    <xf numFmtId="0" fontId="36" fillId="0" borderId="10" xfId="0" applyFont="1" applyBorder="1" applyAlignment="1">
      <alignment horizontal="center" wrapText="1"/>
    </xf>
    <xf numFmtId="0" fontId="36" fillId="0" borderId="11" xfId="0" applyFont="1" applyBorder="1" applyAlignment="1">
      <alignment horizontal="center" wrapText="1"/>
    </xf>
    <xf numFmtId="0" fontId="1" fillId="4" borderId="0" xfId="0" applyFont="1" applyFill="1" applyAlignment="1">
      <alignment horizontal="center"/>
    </xf>
    <xf numFmtId="0" fontId="34" fillId="4" borderId="12" xfId="0" applyFont="1" applyFill="1" applyBorder="1" applyAlignment="1">
      <alignment horizontal="center"/>
    </xf>
    <xf numFmtId="0" fontId="23" fillId="7" borderId="1" xfId="3" applyFill="1" applyBorder="1" applyAlignment="1">
      <alignment horizontal="center" vertical="center"/>
    </xf>
    <xf numFmtId="0" fontId="0" fillId="0" borderId="0" xfId="0" applyAlignment="1">
      <alignment wrapText="1"/>
    </xf>
    <xf numFmtId="0" fontId="0" fillId="0" borderId="12" xfId="0" applyBorder="1" applyAlignment="1">
      <alignment wrapText="1"/>
    </xf>
    <xf numFmtId="1" fontId="0" fillId="0" borderId="14" xfId="0" applyNumberFormat="1" applyBorder="1"/>
    <xf numFmtId="1" fontId="0" fillId="0" borderId="15" xfId="0" applyNumberFormat="1" applyBorder="1"/>
    <xf numFmtId="0" fontId="0" fillId="0" borderId="12" xfId="0" applyBorder="1"/>
    <xf numFmtId="0" fontId="0" fillId="4" borderId="13" xfId="0" applyFill="1" applyBorder="1" applyAlignment="1">
      <alignment wrapText="1"/>
    </xf>
    <xf numFmtId="0" fontId="0" fillId="4" borderId="13" xfId="0" applyFill="1" applyBorder="1"/>
    <xf numFmtId="0" fontId="0" fillId="4" borderId="28" xfId="0" applyFill="1" applyBorder="1"/>
    <xf numFmtId="1" fontId="0" fillId="4" borderId="28" xfId="0" applyNumberFormat="1" applyFill="1" applyBorder="1"/>
    <xf numFmtId="0" fontId="0" fillId="0" borderId="1" xfId="0" applyBorder="1" applyAlignment="1">
      <alignment horizontal="right"/>
    </xf>
    <xf numFmtId="0" fontId="0" fillId="0" borderId="13" xfId="0" applyBorder="1" applyAlignment="1">
      <alignment horizontal="right"/>
    </xf>
    <xf numFmtId="0" fontId="1" fillId="7" borderId="1" xfId="0" applyFont="1" applyFill="1" applyBorder="1" applyAlignment="1">
      <alignment horizontal="left"/>
    </xf>
    <xf numFmtId="1" fontId="0" fillId="0" borderId="91" xfId="0" applyNumberFormat="1" applyBorder="1" applyAlignment="1">
      <alignment horizontal="center"/>
    </xf>
    <xf numFmtId="0" fontId="1" fillId="0" borderId="0" xfId="0" applyFont="1" applyAlignment="1">
      <alignment horizontal="center" wrapText="1"/>
    </xf>
    <xf numFmtId="0" fontId="1" fillId="12" borderId="0" xfId="0" applyFont="1" applyFill="1" applyAlignment="1">
      <alignment horizontal="center" wrapText="1"/>
    </xf>
    <xf numFmtId="0" fontId="0" fillId="0" borderId="12" xfId="0" applyBorder="1" applyAlignment="1">
      <alignment horizontal="center" vertical="center"/>
    </xf>
    <xf numFmtId="0" fontId="0" fillId="0" borderId="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28" xfId="0" applyBorder="1" applyAlignment="1">
      <alignment horizontal="center" vertical="center"/>
    </xf>
    <xf numFmtId="0" fontId="0" fillId="4" borderId="1" xfId="0" applyFill="1" applyBorder="1" applyAlignment="1">
      <alignment horizontal="center" vertical="center"/>
    </xf>
    <xf numFmtId="0" fontId="0" fillId="4" borderId="15" xfId="0" applyFill="1" applyBorder="1" applyAlignment="1">
      <alignment horizontal="center" vertical="center"/>
    </xf>
    <xf numFmtId="0" fontId="3" fillId="0" borderId="8" xfId="0" applyFont="1" applyBorder="1" applyAlignment="1">
      <alignment horizontal="center"/>
    </xf>
    <xf numFmtId="0" fontId="3" fillId="0" borderId="11" xfId="0" applyFont="1" applyBorder="1" applyAlignment="1">
      <alignment horizontal="center"/>
    </xf>
    <xf numFmtId="0" fontId="1" fillId="0" borderId="8"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0" xfId="0" applyAlignment="1">
      <alignment horizontal="center"/>
    </xf>
    <xf numFmtId="0" fontId="40" fillId="8" borderId="6" xfId="3" applyFont="1" applyFill="1" applyBorder="1" applyAlignment="1">
      <alignment horizontal="center" vertical="center"/>
    </xf>
    <xf numFmtId="0" fontId="40" fillId="8" borderId="4" xfId="3" applyFont="1" applyFill="1" applyBorder="1" applyAlignment="1">
      <alignment horizontal="center" vertical="center"/>
    </xf>
    <xf numFmtId="0" fontId="40" fillId="7" borderId="1" xfId="3" applyFont="1" applyFill="1" applyBorder="1" applyAlignment="1">
      <alignment horizontal="center" vertical="center"/>
    </xf>
    <xf numFmtId="0" fontId="0" fillId="10" borderId="6" xfId="0" applyFill="1" applyBorder="1" applyAlignment="1">
      <alignment horizontal="center" vertical="center"/>
    </xf>
    <xf numFmtId="0" fontId="0" fillId="10" borderId="5" xfId="0" applyFill="1" applyBorder="1" applyAlignment="1">
      <alignment horizontal="center" vertical="center"/>
    </xf>
    <xf numFmtId="0" fontId="0" fillId="10" borderId="4" xfId="0" applyFill="1" applyBorder="1" applyAlignment="1">
      <alignment horizontal="center" vertical="center"/>
    </xf>
    <xf numFmtId="0" fontId="9" fillId="10" borderId="37" xfId="0" applyFont="1" applyFill="1" applyBorder="1" applyAlignment="1">
      <alignment horizontal="center" vertical="center"/>
    </xf>
    <xf numFmtId="0" fontId="9" fillId="10" borderId="39" xfId="0" applyFont="1" applyFill="1" applyBorder="1" applyAlignment="1">
      <alignment horizontal="center" vertical="center"/>
    </xf>
    <xf numFmtId="0" fontId="40" fillId="9" borderId="1" xfId="3" applyFont="1" applyFill="1" applyBorder="1" applyAlignment="1">
      <alignment horizontal="center" vertical="center"/>
    </xf>
    <xf numFmtId="0" fontId="40" fillId="9" borderId="6" xfId="3" applyFont="1" applyFill="1" applyBorder="1" applyAlignment="1">
      <alignment horizontal="center" vertical="center"/>
    </xf>
    <xf numFmtId="0" fontId="40" fillId="9" borderId="4" xfId="3" applyFont="1" applyFill="1" applyBorder="1" applyAlignment="1">
      <alignment horizontal="center" vertical="center"/>
    </xf>
    <xf numFmtId="0" fontId="40" fillId="8" borderId="1" xfId="3" applyFont="1" applyFill="1" applyBorder="1" applyAlignment="1">
      <alignment horizontal="center" vertical="center"/>
    </xf>
    <xf numFmtId="0" fontId="40" fillId="8" borderId="14" xfId="3" applyFont="1" applyFill="1" applyBorder="1" applyAlignment="1">
      <alignment horizontal="center" vertical="center"/>
    </xf>
    <xf numFmtId="0" fontId="40" fillId="8" borderId="28" xfId="3" applyFont="1" applyFill="1" applyBorder="1" applyAlignment="1">
      <alignment horizontal="center" vertical="center"/>
    </xf>
    <xf numFmtId="0" fontId="40" fillId="8" borderId="12" xfId="3" applyFont="1" applyFill="1" applyBorder="1" applyAlignment="1">
      <alignment horizontal="center" vertical="center"/>
    </xf>
    <xf numFmtId="0" fontId="40" fillId="8" borderId="13" xfId="3" applyFont="1" applyFill="1" applyBorder="1" applyAlignment="1">
      <alignment horizontal="center" vertical="center"/>
    </xf>
    <xf numFmtId="0" fontId="40" fillId="7" borderId="12" xfId="3" applyFont="1" applyFill="1" applyBorder="1" applyAlignment="1">
      <alignment horizontal="center" vertical="center"/>
    </xf>
    <xf numFmtId="0" fontId="40" fillId="7" borderId="13" xfId="3" applyFont="1" applyFill="1" applyBorder="1" applyAlignment="1">
      <alignment horizontal="center" vertical="center"/>
    </xf>
    <xf numFmtId="0" fontId="4" fillId="0" borderId="88" xfId="0" applyFont="1" applyBorder="1" applyAlignment="1">
      <alignment horizontal="center" vertical="center"/>
    </xf>
    <xf numFmtId="0" fontId="4" fillId="0" borderId="89" xfId="0" applyFont="1" applyBorder="1" applyAlignment="1">
      <alignment horizontal="center" vertical="center"/>
    </xf>
    <xf numFmtId="0" fontId="4" fillId="0" borderId="90" xfId="0" applyFont="1" applyBorder="1" applyAlignment="1">
      <alignment horizontal="center" vertical="center"/>
    </xf>
    <xf numFmtId="0" fontId="3" fillId="0" borderId="10" xfId="0" applyFont="1" applyBorder="1" applyAlignment="1">
      <alignment horizontal="left" vertical="center"/>
    </xf>
    <xf numFmtId="0" fontId="3" fillId="0" borderId="15" xfId="0" applyFont="1" applyBorder="1" applyAlignment="1">
      <alignment horizontal="left" vertical="center"/>
    </xf>
    <xf numFmtId="14" fontId="3" fillId="0" borderId="15" xfId="0" applyNumberFormat="1" applyFont="1" applyBorder="1" applyAlignment="1">
      <alignment horizontal="center" vertical="center"/>
    </xf>
    <xf numFmtId="14" fontId="3" fillId="0" borderId="28" xfId="0" applyNumberFormat="1" applyFont="1" applyBorder="1" applyAlignment="1">
      <alignment horizontal="center" vertical="center"/>
    </xf>
    <xf numFmtId="164" fontId="3" fillId="0" borderId="10" xfId="0" applyNumberFormat="1" applyFont="1" applyBorder="1" applyAlignment="1">
      <alignment horizontal="center" vertical="center"/>
    </xf>
    <xf numFmtId="164" fontId="3" fillId="0" borderId="11" xfId="0" applyNumberFormat="1" applyFont="1" applyBorder="1" applyAlignment="1">
      <alignment horizontal="center" vertical="center"/>
    </xf>
    <xf numFmtId="167" fontId="1" fillId="0" borderId="1" xfId="0" applyNumberFormat="1" applyFont="1" applyBorder="1" applyAlignment="1">
      <alignment horizontal="left"/>
    </xf>
    <xf numFmtId="14" fontId="1" fillId="0" borderId="1" xfId="0" applyNumberFormat="1" applyFont="1" applyBorder="1" applyAlignment="1">
      <alignment vertical="center"/>
    </xf>
    <xf numFmtId="1" fontId="1" fillId="0" borderId="1" xfId="0" applyNumberFormat="1" applyFont="1" applyBorder="1" applyAlignment="1">
      <alignment horizontal="left" vertical="center"/>
    </xf>
    <xf numFmtId="166" fontId="1" fillId="0" borderId="1" xfId="0" applyNumberFormat="1" applyFont="1" applyBorder="1" applyAlignment="1">
      <alignment horizontal="left" vertical="center"/>
    </xf>
    <xf numFmtId="168" fontId="1" fillId="0" borderId="1" xfId="0" applyNumberFormat="1" applyFont="1" applyBorder="1" applyAlignment="1">
      <alignment horizontal="left" vertical="center"/>
    </xf>
    <xf numFmtId="14" fontId="1" fillId="0" borderId="12" xfId="0" applyNumberFormat="1" applyFont="1" applyBorder="1" applyAlignment="1">
      <alignment horizontal="left" vertical="center"/>
    </xf>
    <xf numFmtId="14" fontId="1" fillId="0" borderId="1" xfId="0" applyNumberFormat="1" applyFont="1" applyBorder="1" applyAlignment="1">
      <alignment horizontal="left" vertical="center"/>
    </xf>
    <xf numFmtId="14" fontId="1" fillId="0" borderId="13" xfId="0" applyNumberFormat="1" applyFont="1" applyBorder="1" applyAlignment="1">
      <alignment horizontal="left" vertical="center"/>
    </xf>
    <xf numFmtId="14" fontId="1" fillId="0" borderId="14" xfId="0" applyNumberFormat="1" applyFont="1" applyBorder="1" applyAlignment="1">
      <alignment horizontal="center" vertical="center"/>
    </xf>
    <xf numFmtId="14" fontId="1" fillId="0" borderId="15" xfId="0" applyNumberFormat="1" applyFont="1" applyBorder="1" applyAlignment="1">
      <alignment horizontal="center" vertical="center"/>
    </xf>
    <xf numFmtId="14" fontId="1" fillId="0" borderId="28" xfId="0" applyNumberFormat="1" applyFont="1" applyBorder="1" applyAlignment="1">
      <alignment horizontal="center" vertical="center"/>
    </xf>
    <xf numFmtId="0" fontId="1" fillId="0" borderId="8" xfId="0" applyFont="1" applyBorder="1" applyAlignment="1">
      <alignment horizontal="center" vertical="center"/>
    </xf>
    <xf numFmtId="0" fontId="1" fillId="0" borderId="12" xfId="0" applyFont="1" applyBorder="1" applyAlignment="1">
      <alignment horizontal="center" vertical="center"/>
    </xf>
    <xf numFmtId="0" fontId="1" fillId="0" borderId="10"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xf>
    <xf numFmtId="0" fontId="0" fillId="0" borderId="94" xfId="0" applyBorder="1" applyAlignment="1">
      <alignment horizontal="left" vertical="top"/>
    </xf>
    <xf numFmtId="0" fontId="0" fillId="0" borderId="47" xfId="0" applyBorder="1" applyAlignment="1">
      <alignment horizontal="left" vertical="top"/>
    </xf>
    <xf numFmtId="0" fontId="0" fillId="0" borderId="0" xfId="0" applyAlignment="1">
      <alignment horizontal="left" vertical="top"/>
    </xf>
    <xf numFmtId="0" fontId="0" fillId="0" borderId="53" xfId="0" applyBorder="1" applyAlignment="1">
      <alignment horizontal="left" vertical="top"/>
    </xf>
    <xf numFmtId="0" fontId="0" fillId="0" borderId="27" xfId="0" applyBorder="1" applyAlignment="1">
      <alignment horizontal="left" vertical="top"/>
    </xf>
    <xf numFmtId="0" fontId="0" fillId="0" borderId="18" xfId="0" applyBorder="1" applyAlignment="1">
      <alignment horizontal="left" vertical="top"/>
    </xf>
    <xf numFmtId="0" fontId="0" fillId="0" borderId="95" xfId="0" applyBorder="1" applyAlignment="1">
      <alignment horizontal="left" vertical="top"/>
    </xf>
    <xf numFmtId="0" fontId="38" fillId="0" borderId="8" xfId="0" applyFont="1" applyBorder="1" applyAlignment="1">
      <alignment horizontal="center"/>
    </xf>
    <xf numFmtId="0" fontId="38" fillId="0" borderId="10" xfId="0" applyFont="1" applyBorder="1" applyAlignment="1">
      <alignment horizontal="center"/>
    </xf>
    <xf numFmtId="0" fontId="38" fillId="0" borderId="11" xfId="0" applyFont="1" applyBorder="1" applyAlignment="1">
      <alignment horizontal="center"/>
    </xf>
    <xf numFmtId="0" fontId="38" fillId="0" borderId="12" xfId="0" applyFont="1" applyBorder="1" applyAlignment="1">
      <alignment horizontal="center"/>
    </xf>
    <xf numFmtId="0" fontId="38" fillId="0" borderId="1" xfId="0" applyFont="1" applyBorder="1" applyAlignment="1">
      <alignment horizontal="center"/>
    </xf>
    <xf numFmtId="0" fontId="38" fillId="0" borderId="13" xfId="0" applyFont="1" applyBorder="1" applyAlignment="1">
      <alignment horizontal="center"/>
    </xf>
    <xf numFmtId="0" fontId="35" fillId="0" borderId="13" xfId="0" applyFont="1" applyBorder="1" applyAlignment="1">
      <alignment horizontal="center"/>
    </xf>
    <xf numFmtId="1" fontId="0" fillId="0" borderId="15" xfId="0" applyNumberFormat="1" applyBorder="1" applyAlignment="1">
      <alignment horizontal="center"/>
    </xf>
    <xf numFmtId="0" fontId="37" fillId="0" borderId="8" xfId="0" applyFont="1" applyBorder="1" applyAlignment="1">
      <alignment horizontal="center"/>
    </xf>
    <xf numFmtId="0" fontId="37" fillId="0" borderId="10" xfId="0" applyFont="1" applyBorder="1" applyAlignment="1">
      <alignment horizontal="center"/>
    </xf>
    <xf numFmtId="0" fontId="37" fillId="0" borderId="11" xfId="0" applyFont="1" applyBorder="1" applyAlignment="1">
      <alignment horizontal="center"/>
    </xf>
    <xf numFmtId="0" fontId="37" fillId="0" borderId="12" xfId="0" applyFont="1" applyBorder="1" applyAlignment="1">
      <alignment horizontal="center"/>
    </xf>
    <xf numFmtId="0" fontId="37" fillId="0" borderId="1" xfId="0" applyFont="1" applyBorder="1" applyAlignment="1">
      <alignment horizontal="center"/>
    </xf>
    <xf numFmtId="0" fontId="37" fillId="0" borderId="13" xfId="0" applyFont="1" applyBorder="1" applyAlignment="1">
      <alignment horizontal="center"/>
    </xf>
    <xf numFmtId="0" fontId="34" fillId="0" borderId="8" xfId="0" applyFont="1" applyBorder="1" applyAlignment="1">
      <alignment horizontal="center"/>
    </xf>
    <xf numFmtId="0" fontId="34" fillId="0" borderId="10" xfId="0" applyFont="1" applyBorder="1" applyAlignment="1">
      <alignment horizontal="center"/>
    </xf>
    <xf numFmtId="0" fontId="39" fillId="0" borderId="8" xfId="0" applyFont="1" applyBorder="1" applyAlignment="1">
      <alignment horizontal="center"/>
    </xf>
    <xf numFmtId="0" fontId="39" fillId="0" borderId="10" xfId="0" applyFont="1" applyBorder="1" applyAlignment="1">
      <alignment horizontal="center"/>
    </xf>
    <xf numFmtId="0" fontId="39" fillId="0" borderId="11" xfId="0" applyFont="1" applyBorder="1" applyAlignment="1">
      <alignment horizontal="center"/>
    </xf>
    <xf numFmtId="0" fontId="39" fillId="0" borderId="12" xfId="0" applyFont="1" applyBorder="1" applyAlignment="1">
      <alignment horizontal="center"/>
    </xf>
    <xf numFmtId="0" fontId="39" fillId="0" borderId="1" xfId="0" applyFont="1" applyBorder="1" applyAlignment="1">
      <alignment horizontal="center"/>
    </xf>
    <xf numFmtId="0" fontId="39" fillId="0" borderId="13" xfId="0" applyFont="1" applyBorder="1" applyAlignment="1">
      <alignment horizontal="center"/>
    </xf>
    <xf numFmtId="0" fontId="34" fillId="4" borderId="12" xfId="0" applyFont="1" applyFill="1" applyBorder="1" applyAlignment="1">
      <alignment horizontal="center" wrapText="1"/>
    </xf>
    <xf numFmtId="0" fontId="34" fillId="0" borderId="1" xfId="0" applyFont="1" applyBorder="1" applyAlignment="1">
      <alignment horizontal="center" wrapText="1"/>
    </xf>
    <xf numFmtId="0" fontId="35" fillId="0" borderId="1" xfId="0" applyFont="1" applyBorder="1" applyAlignment="1">
      <alignment horizontal="center" wrapText="1"/>
    </xf>
    <xf numFmtId="0" fontId="35" fillId="0" borderId="13" xfId="0" applyFont="1" applyBorder="1" applyAlignment="1">
      <alignment horizontal="center" wrapText="1"/>
    </xf>
    <xf numFmtId="1" fontId="0" fillId="0" borderId="1" xfId="0" applyNumberFormat="1" applyBorder="1" applyAlignment="1">
      <alignment horizontal="center"/>
    </xf>
    <xf numFmtId="0" fontId="34" fillId="0" borderId="12" xfId="0" applyFont="1" applyBorder="1" applyAlignment="1">
      <alignment horizontal="center"/>
    </xf>
    <xf numFmtId="0" fontId="34" fillId="0" borderId="1" xfId="0" applyFont="1" applyBorder="1" applyAlignment="1">
      <alignment horizontal="center"/>
    </xf>
    <xf numFmtId="0" fontId="0" fillId="10" borderId="46" xfId="0" applyFill="1" applyBorder="1" applyAlignment="1">
      <alignment horizontal="center"/>
    </xf>
    <xf numFmtId="0" fontId="0" fillId="10" borderId="44" xfId="0" applyFill="1" applyBorder="1" applyAlignment="1">
      <alignment horizontal="center"/>
    </xf>
    <xf numFmtId="0" fontId="0" fillId="10" borderId="43" xfId="0" applyFill="1" applyBorder="1" applyAlignment="1">
      <alignment horizontal="center"/>
    </xf>
    <xf numFmtId="0" fontId="0" fillId="9" borderId="46" xfId="0" applyFill="1" applyBorder="1" applyAlignment="1">
      <alignment horizontal="center"/>
    </xf>
    <xf numFmtId="0" fontId="0" fillId="9" borderId="44" xfId="0" applyFill="1" applyBorder="1" applyAlignment="1">
      <alignment horizontal="center"/>
    </xf>
    <xf numFmtId="0" fontId="0" fillId="9" borderId="43" xfId="0" applyFill="1" applyBorder="1" applyAlignment="1">
      <alignment horizontal="center"/>
    </xf>
    <xf numFmtId="0" fontId="0" fillId="5" borderId="46" xfId="0" applyFill="1" applyBorder="1" applyAlignment="1">
      <alignment horizontal="center"/>
    </xf>
    <xf numFmtId="0" fontId="0" fillId="5" borderId="44" xfId="0" applyFill="1" applyBorder="1" applyAlignment="1">
      <alignment horizontal="center"/>
    </xf>
    <xf numFmtId="0" fontId="0" fillId="5" borderId="43" xfId="0" applyFill="1" applyBorder="1" applyAlignment="1">
      <alignment horizontal="center"/>
    </xf>
    <xf numFmtId="0" fontId="39" fillId="0" borderId="14" xfId="0" applyFont="1" applyBorder="1" applyAlignment="1">
      <alignment horizontal="center"/>
    </xf>
    <xf numFmtId="0" fontId="39" fillId="0" borderId="15" xfId="0" applyFont="1" applyBorder="1" applyAlignment="1">
      <alignment horizontal="center"/>
    </xf>
    <xf numFmtId="0" fontId="39" fillId="0" borderId="28" xfId="0" applyFont="1" applyBorder="1" applyAlignment="1">
      <alignment horizontal="center"/>
    </xf>
    <xf numFmtId="0" fontId="39" fillId="0" borderId="0" xfId="0" applyFont="1" applyAlignment="1">
      <alignment horizontal="center"/>
    </xf>
    <xf numFmtId="16" fontId="39" fillId="0" borderId="0" xfId="0" applyNumberFormat="1" applyFont="1" applyAlignment="1">
      <alignment horizontal="center"/>
    </xf>
    <xf numFmtId="0" fontId="39" fillId="0" borderId="0" xfId="0" applyFont="1" applyAlignment="1">
      <alignment horizontal="center" vertical="center"/>
    </xf>
    <xf numFmtId="0" fontId="33" fillId="0" borderId="0" xfId="0" applyFont="1" applyAlignment="1">
      <alignment horizontal="center" vertical="center"/>
    </xf>
    <xf numFmtId="0" fontId="29" fillId="0" borderId="0" xfId="0" applyFont="1" applyAlignment="1">
      <alignment horizontal="center"/>
    </xf>
    <xf numFmtId="0" fontId="0" fillId="0" borderId="46" xfId="0" applyBorder="1" applyAlignment="1">
      <alignment horizontal="center"/>
    </xf>
    <xf numFmtId="0" fontId="0" fillId="0" borderId="44" xfId="0" applyBorder="1" applyAlignment="1">
      <alignment horizontal="center"/>
    </xf>
    <xf numFmtId="0" fontId="0" fillId="0" borderId="43" xfId="0" applyBorder="1" applyAlignment="1">
      <alignment horizontal="center"/>
    </xf>
    <xf numFmtId="0" fontId="37" fillId="0" borderId="93" xfId="0" applyFont="1" applyBorder="1" applyAlignment="1">
      <alignment horizontal="center"/>
    </xf>
    <xf numFmtId="0" fontId="37" fillId="0" borderId="24" xfId="0" applyFont="1" applyBorder="1" applyAlignment="1">
      <alignment horizontal="center"/>
    </xf>
    <xf numFmtId="0" fontId="37" fillId="0" borderId="86" xfId="0" applyFont="1" applyBorder="1" applyAlignment="1">
      <alignment horizontal="center"/>
    </xf>
    <xf numFmtId="0" fontId="0" fillId="0" borderId="48" xfId="0" applyBorder="1" applyAlignment="1">
      <alignment horizontal="center"/>
    </xf>
    <xf numFmtId="0" fontId="0" fillId="0" borderId="49" xfId="0" applyBorder="1" applyAlignment="1">
      <alignment horizontal="center"/>
    </xf>
    <xf numFmtId="165" fontId="0" fillId="0" borderId="49" xfId="0" applyNumberFormat="1" applyBorder="1" applyAlignment="1">
      <alignment horizontal="center"/>
    </xf>
    <xf numFmtId="165" fontId="0" fillId="0" borderId="50" xfId="0" applyNumberFormat="1" applyBorder="1" applyAlignment="1">
      <alignment horizontal="center"/>
    </xf>
    <xf numFmtId="0" fontId="27" fillId="0" borderId="0" xfId="3" applyFont="1" applyAlignment="1">
      <alignment horizontal="center" vertical="top"/>
    </xf>
    <xf numFmtId="0" fontId="29" fillId="0" borderId="0" xfId="0" applyFont="1" applyAlignment="1">
      <alignment horizontal="center" vertical="center"/>
    </xf>
    <xf numFmtId="0" fontId="1" fillId="0" borderId="59" xfId="0" applyFont="1" applyBorder="1" applyAlignment="1">
      <alignment horizontal="center" vertical="center" wrapText="1"/>
    </xf>
    <xf numFmtId="0" fontId="1" fillId="0" borderId="62" xfId="0" applyFont="1" applyBorder="1" applyAlignment="1">
      <alignment horizontal="center" vertical="center" wrapText="1"/>
    </xf>
    <xf numFmtId="0" fontId="1" fillId="0" borderId="60" xfId="0" applyFont="1" applyBorder="1" applyAlignment="1">
      <alignment horizontal="center" vertical="center" wrapText="1"/>
    </xf>
    <xf numFmtId="0" fontId="1" fillId="0" borderId="63" xfId="0" applyFont="1" applyBorder="1" applyAlignment="1">
      <alignment horizontal="center" vertical="center" wrapText="1"/>
    </xf>
    <xf numFmtId="0" fontId="1" fillId="0" borderId="60" xfId="0" applyFont="1" applyBorder="1" applyAlignment="1">
      <alignment horizontal="center" vertical="center"/>
    </xf>
    <xf numFmtId="0" fontId="1" fillId="0" borderId="63" xfId="0" applyFont="1" applyBorder="1" applyAlignment="1">
      <alignment horizontal="center" vertical="center"/>
    </xf>
    <xf numFmtId="0" fontId="1" fillId="0" borderId="61" xfId="0" applyFont="1" applyBorder="1" applyAlignment="1">
      <alignment vertical="center"/>
    </xf>
    <xf numFmtId="0" fontId="1" fillId="0" borderId="64" xfId="0" applyFont="1" applyBorder="1" applyAlignment="1">
      <alignment vertical="center"/>
    </xf>
    <xf numFmtId="0" fontId="0" fillId="9" borderId="10" xfId="0" applyFill="1" applyBorder="1" applyAlignment="1">
      <alignment horizontal="center"/>
    </xf>
    <xf numFmtId="0" fontId="0" fillId="9" borderId="9" xfId="0" applyFill="1" applyBorder="1" applyAlignment="1">
      <alignment horizontal="center"/>
    </xf>
    <xf numFmtId="16" fontId="0" fillId="9" borderId="8" xfId="0" applyNumberFormat="1" applyFill="1" applyBorder="1" applyAlignment="1">
      <alignment horizontal="center"/>
    </xf>
    <xf numFmtId="0" fontId="0" fillId="9" borderId="11" xfId="0" applyFill="1" applyBorder="1" applyAlignment="1">
      <alignment horizontal="center"/>
    </xf>
    <xf numFmtId="0" fontId="18" fillId="10" borderId="9" xfId="0" applyFont="1" applyFill="1" applyBorder="1" applyAlignment="1">
      <alignment horizontal="center"/>
    </xf>
    <xf numFmtId="0" fontId="18" fillId="10" borderId="44" xfId="0" applyFont="1" applyFill="1" applyBorder="1" applyAlignment="1">
      <alignment horizontal="center"/>
    </xf>
    <xf numFmtId="16" fontId="18" fillId="10" borderId="46" xfId="0" applyNumberFormat="1" applyFont="1" applyFill="1" applyBorder="1" applyAlignment="1">
      <alignment horizontal="center"/>
    </xf>
    <xf numFmtId="16" fontId="18" fillId="10" borderId="44" xfId="0" applyNumberFormat="1" applyFont="1" applyFill="1" applyBorder="1" applyAlignment="1">
      <alignment horizontal="center"/>
    </xf>
    <xf numFmtId="16" fontId="18" fillId="10" borderId="58" xfId="0" applyNumberFormat="1" applyFont="1" applyFill="1" applyBorder="1" applyAlignment="1">
      <alignment horizontal="center"/>
    </xf>
    <xf numFmtId="16" fontId="18" fillId="10" borderId="43" xfId="0" applyNumberFormat="1" applyFont="1" applyFill="1" applyBorder="1" applyAlignment="1">
      <alignment horizontal="center"/>
    </xf>
    <xf numFmtId="0" fontId="27" fillId="11" borderId="0" xfId="3" applyFont="1" applyFill="1" applyBorder="1" applyAlignment="1">
      <alignment horizontal="center"/>
    </xf>
    <xf numFmtId="0" fontId="13" fillId="5" borderId="0" xfId="0" applyFont="1" applyFill="1" applyAlignment="1">
      <alignment horizontal="center"/>
    </xf>
    <xf numFmtId="0" fontId="3" fillId="4" borderId="31" xfId="0" applyFont="1" applyFill="1" applyBorder="1" applyAlignment="1">
      <alignment horizontal="center" vertical="center"/>
    </xf>
    <xf numFmtId="0" fontId="3" fillId="4" borderId="32" xfId="0" applyFont="1" applyFill="1" applyBorder="1" applyAlignment="1">
      <alignment horizontal="center" vertical="center"/>
    </xf>
    <xf numFmtId="0" fontId="3" fillId="4" borderId="33" xfId="0" applyFont="1" applyFill="1" applyBorder="1" applyAlignment="1">
      <alignment horizontal="center" vertical="center"/>
    </xf>
    <xf numFmtId="0" fontId="3" fillId="4" borderId="34" xfId="0" applyFont="1" applyFill="1" applyBorder="1" applyAlignment="1">
      <alignment horizontal="center" vertical="center"/>
    </xf>
    <xf numFmtId="0" fontId="3" fillId="4" borderId="0" xfId="0" applyFont="1" applyFill="1" applyAlignment="1">
      <alignment horizontal="center" vertical="center"/>
    </xf>
    <xf numFmtId="0" fontId="3" fillId="4" borderId="35" xfId="0" applyFont="1" applyFill="1" applyBorder="1" applyAlignment="1">
      <alignment horizontal="center" vertical="center"/>
    </xf>
    <xf numFmtId="0" fontId="3" fillId="4" borderId="26" xfId="0" applyFont="1" applyFill="1" applyBorder="1" applyAlignment="1">
      <alignment horizontal="center" vertical="center"/>
    </xf>
    <xf numFmtId="0" fontId="3" fillId="4" borderId="16" xfId="0" applyFont="1" applyFill="1" applyBorder="1" applyAlignment="1">
      <alignment horizontal="center" vertical="center"/>
    </xf>
    <xf numFmtId="0" fontId="3" fillId="4" borderId="36" xfId="0" applyFont="1" applyFill="1" applyBorder="1" applyAlignment="1">
      <alignment horizontal="center" vertical="center"/>
    </xf>
    <xf numFmtId="0" fontId="26" fillId="0" borderId="0" xfId="0" applyFont="1" applyAlignment="1">
      <alignment horizontal="center"/>
    </xf>
    <xf numFmtId="0" fontId="13" fillId="5" borderId="16" xfId="0" applyFont="1" applyFill="1" applyBorder="1" applyAlignment="1">
      <alignment horizontal="center"/>
    </xf>
    <xf numFmtId="0" fontId="13" fillId="5" borderId="6" xfId="0" applyFont="1" applyFill="1" applyBorder="1" applyAlignment="1">
      <alignment horizontal="center"/>
    </xf>
    <xf numFmtId="0" fontId="0" fillId="5" borderId="5" xfId="0" applyFill="1" applyBorder="1" applyAlignment="1">
      <alignment horizontal="center"/>
    </xf>
    <xf numFmtId="0" fontId="0" fillId="5" borderId="4" xfId="0" applyFill="1" applyBorder="1" applyAlignment="1">
      <alignment horizontal="center"/>
    </xf>
    <xf numFmtId="0" fontId="27" fillId="0" borderId="0" xfId="3" applyFont="1" applyAlignment="1">
      <alignment horizontal="center"/>
    </xf>
    <xf numFmtId="0" fontId="1" fillId="0" borderId="6" xfId="0" applyFont="1" applyBorder="1" applyAlignment="1">
      <alignment horizontal="left"/>
    </xf>
    <xf numFmtId="0" fontId="1" fillId="0" borderId="5" xfId="0" applyFont="1" applyBorder="1" applyAlignment="1">
      <alignment horizontal="left"/>
    </xf>
    <xf numFmtId="0" fontId="1" fillId="0" borderId="4" xfId="0" applyFont="1" applyBorder="1" applyAlignment="1">
      <alignment horizontal="left"/>
    </xf>
    <xf numFmtId="0" fontId="24" fillId="9" borderId="0" xfId="3" quotePrefix="1" applyFont="1" applyFill="1" applyAlignment="1">
      <alignment horizontal="center"/>
    </xf>
    <xf numFmtId="0" fontId="25" fillId="10" borderId="0" xfId="3" quotePrefix="1" applyFont="1" applyFill="1" applyAlignment="1">
      <alignment horizontal="center"/>
    </xf>
    <xf numFmtId="0" fontId="1" fillId="0" borderId="6" xfId="0" applyFont="1" applyBorder="1" applyAlignment="1">
      <alignment horizontal="left" wrapText="1"/>
    </xf>
    <xf numFmtId="0" fontId="1" fillId="0" borderId="5" xfId="0" applyFont="1" applyBorder="1" applyAlignment="1">
      <alignment horizontal="left" wrapText="1"/>
    </xf>
    <xf numFmtId="0" fontId="1" fillId="0" borderId="4" xfId="0" applyFont="1" applyBorder="1" applyAlignment="1">
      <alignment horizontal="left" wrapText="1"/>
    </xf>
    <xf numFmtId="0" fontId="3" fillId="4" borderId="6" xfId="0" applyFont="1" applyFill="1" applyBorder="1" applyAlignment="1">
      <alignment horizontal="center"/>
    </xf>
    <xf numFmtId="0" fontId="3" fillId="4" borderId="5" xfId="0" applyFont="1" applyFill="1" applyBorder="1" applyAlignment="1">
      <alignment horizontal="center"/>
    </xf>
    <xf numFmtId="0" fontId="3" fillId="4" borderId="4" xfId="0" applyFont="1" applyFill="1" applyBorder="1" applyAlignment="1">
      <alignment horizontal="center"/>
    </xf>
    <xf numFmtId="0" fontId="7" fillId="0" borderId="6" xfId="0" applyFont="1" applyBorder="1" applyAlignment="1">
      <alignment horizontal="center"/>
    </xf>
    <xf numFmtId="0" fontId="8" fillId="0" borderId="5" xfId="0" applyFont="1" applyBorder="1" applyAlignment="1">
      <alignment horizontal="center"/>
    </xf>
    <xf numFmtId="0" fontId="8" fillId="0" borderId="4" xfId="0" applyFont="1" applyBorder="1" applyAlignment="1">
      <alignment horizontal="center"/>
    </xf>
    <xf numFmtId="0" fontId="19" fillId="5" borderId="16" xfId="0" applyFont="1" applyFill="1" applyBorder="1" applyAlignment="1">
      <alignment horizontal="center"/>
    </xf>
    <xf numFmtId="0" fontId="15" fillId="8" borderId="31" xfId="0" applyFont="1" applyFill="1" applyBorder="1" applyAlignment="1">
      <alignment horizontal="center"/>
    </xf>
    <xf numFmtId="0" fontId="15" fillId="8" borderId="32" xfId="0" applyFont="1" applyFill="1" applyBorder="1" applyAlignment="1">
      <alignment horizontal="center"/>
    </xf>
    <xf numFmtId="0" fontId="15" fillId="8" borderId="33" xfId="0" applyFont="1" applyFill="1" applyBorder="1" applyAlignment="1">
      <alignment horizontal="center"/>
    </xf>
    <xf numFmtId="0" fontId="15" fillId="8" borderId="26" xfId="0" applyFont="1" applyFill="1" applyBorder="1" applyAlignment="1">
      <alignment horizontal="center"/>
    </xf>
    <xf numFmtId="0" fontId="15" fillId="8" borderId="16" xfId="0" applyFont="1" applyFill="1" applyBorder="1" applyAlignment="1">
      <alignment horizontal="center"/>
    </xf>
    <xf numFmtId="0" fontId="15" fillId="8" borderId="36" xfId="0" applyFont="1" applyFill="1" applyBorder="1" applyAlignment="1">
      <alignment horizontal="center"/>
    </xf>
    <xf numFmtId="0" fontId="14" fillId="5" borderId="6" xfId="0" applyFont="1" applyFill="1" applyBorder="1" applyAlignment="1">
      <alignment horizontal="center"/>
    </xf>
    <xf numFmtId="0" fontId="31" fillId="5" borderId="5" xfId="0" applyFont="1" applyFill="1" applyBorder="1" applyAlignment="1">
      <alignment horizontal="center"/>
    </xf>
    <xf numFmtId="0" fontId="31" fillId="5" borderId="4" xfId="0" applyFont="1" applyFill="1" applyBorder="1" applyAlignment="1">
      <alignment horizontal="center"/>
    </xf>
    <xf numFmtId="0" fontId="0" fillId="0" borderId="8"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7" fillId="0" borderId="0" xfId="0" applyFont="1" applyAlignment="1">
      <alignment horizontal="center"/>
    </xf>
    <xf numFmtId="0" fontId="1" fillId="5" borderId="6" xfId="0" applyFont="1" applyFill="1" applyBorder="1" applyAlignment="1">
      <alignment horizontal="center"/>
    </xf>
    <xf numFmtId="0" fontId="1" fillId="5" borderId="5" xfId="0" applyFont="1" applyFill="1" applyBorder="1" applyAlignment="1">
      <alignment horizontal="center"/>
    </xf>
    <xf numFmtId="0" fontId="1" fillId="5" borderId="4" xfId="0" applyFont="1" applyFill="1" applyBorder="1" applyAlignment="1">
      <alignment horizontal="center"/>
    </xf>
    <xf numFmtId="0" fontId="0" fillId="5" borderId="16" xfId="0" applyFill="1" applyBorder="1" applyAlignment="1">
      <alignment horizontal="center"/>
    </xf>
    <xf numFmtId="0" fontId="17" fillId="5" borderId="16" xfId="0" applyFont="1" applyFill="1" applyBorder="1" applyAlignment="1">
      <alignment horizontal="center"/>
    </xf>
    <xf numFmtId="0" fontId="15" fillId="5" borderId="16" xfId="0" applyFont="1" applyFill="1" applyBorder="1" applyAlignment="1">
      <alignment horizontal="center"/>
    </xf>
    <xf numFmtId="0" fontId="18" fillId="5" borderId="16" xfId="0" applyFont="1" applyFill="1" applyBorder="1" applyAlignment="1">
      <alignment horizontal="center"/>
    </xf>
    <xf numFmtId="0" fontId="1" fillId="4" borderId="1" xfId="0" applyFont="1" applyFill="1" applyBorder="1" applyAlignment="1">
      <alignment horizontal="center"/>
    </xf>
    <xf numFmtId="0" fontId="0" fillId="4" borderId="1" xfId="0" applyFill="1" applyBorder="1" applyAlignment="1">
      <alignment horizontal="center"/>
    </xf>
    <xf numFmtId="0" fontId="1" fillId="5" borderId="16" xfId="0" applyFont="1" applyFill="1" applyBorder="1" applyAlignment="1">
      <alignment horizontal="center"/>
    </xf>
    <xf numFmtId="0" fontId="9" fillId="5" borderId="16" xfId="0" applyFont="1" applyFill="1" applyBorder="1" applyAlignment="1">
      <alignment horizontal="center"/>
    </xf>
    <xf numFmtId="0" fontId="6" fillId="0" borderId="6" xfId="0" applyFont="1" applyBorder="1" applyAlignment="1">
      <alignment horizontal="center" wrapText="1"/>
    </xf>
    <xf numFmtId="0" fontId="6" fillId="0" borderId="5" xfId="0" applyFont="1" applyBorder="1" applyAlignment="1">
      <alignment horizontal="center" wrapText="1"/>
    </xf>
    <xf numFmtId="0" fontId="6" fillId="0" borderId="4" xfId="0" applyFont="1" applyBorder="1" applyAlignment="1">
      <alignment horizontal="center" wrapText="1"/>
    </xf>
    <xf numFmtId="0" fontId="20" fillId="4" borderId="1" xfId="0" applyFont="1" applyFill="1" applyBorder="1" applyAlignment="1">
      <alignment horizontal="center"/>
    </xf>
    <xf numFmtId="0" fontId="0" fillId="5" borderId="6" xfId="0" applyFill="1" applyBorder="1" applyAlignment="1">
      <alignment horizontal="center"/>
    </xf>
    <xf numFmtId="0" fontId="13" fillId="5" borderId="5" xfId="0" applyFont="1" applyFill="1" applyBorder="1" applyAlignment="1">
      <alignment horizontal="center"/>
    </xf>
    <xf numFmtId="0" fontId="13" fillId="5" borderId="4" xfId="0" applyFont="1" applyFill="1" applyBorder="1" applyAlignment="1">
      <alignment horizontal="center"/>
    </xf>
    <xf numFmtId="0" fontId="1" fillId="0" borderId="6" xfId="0" applyFont="1" applyBorder="1" applyAlignment="1">
      <alignment horizontal="center"/>
    </xf>
    <xf numFmtId="0" fontId="1" fillId="0" borderId="5" xfId="0" applyFont="1" applyBorder="1" applyAlignment="1">
      <alignment horizontal="center"/>
    </xf>
    <xf numFmtId="0" fontId="1" fillId="0" borderId="4" xfId="0" applyFont="1" applyBorder="1" applyAlignment="1">
      <alignment horizontal="center"/>
    </xf>
    <xf numFmtId="0" fontId="7" fillId="0" borderId="1" xfId="0" applyFont="1" applyBorder="1" applyAlignment="1">
      <alignment horizontal="left"/>
    </xf>
    <xf numFmtId="0" fontId="0" fillId="0" borderId="1" xfId="0" applyBorder="1" applyAlignment="1">
      <alignment horizontal="center"/>
    </xf>
    <xf numFmtId="0" fontId="7" fillId="0" borderId="1" xfId="0" applyFont="1" applyBorder="1" applyAlignment="1">
      <alignment horizontal="center"/>
    </xf>
    <xf numFmtId="0" fontId="12" fillId="0" borderId="6" xfId="0" applyFont="1" applyBorder="1" applyAlignment="1">
      <alignment horizontal="center"/>
    </xf>
    <xf numFmtId="0" fontId="12" fillId="0" borderId="5" xfId="0" applyFont="1" applyBorder="1" applyAlignment="1">
      <alignment horizontal="center"/>
    </xf>
    <xf numFmtId="0" fontId="12" fillId="0" borderId="4" xfId="0" applyFont="1" applyBorder="1" applyAlignment="1">
      <alignment horizontal="center"/>
    </xf>
    <xf numFmtId="0" fontId="1" fillId="0" borderId="15" xfId="0" applyFont="1" applyBorder="1" applyAlignment="1">
      <alignment horizontal="left" vertical="center"/>
    </xf>
    <xf numFmtId="9" fontId="1" fillId="0" borderId="28" xfId="0" applyNumberFormat="1" applyFont="1" applyBorder="1" applyAlignment="1">
      <alignment horizontal="left" vertical="center"/>
    </xf>
    <xf numFmtId="14" fontId="1" fillId="0" borderId="51" xfId="0" applyNumberFormat="1" applyFont="1" applyBorder="1" applyAlignment="1">
      <alignment horizontal="left" vertical="center"/>
    </xf>
    <xf numFmtId="14" fontId="1" fillId="0" borderId="16" xfId="0" applyNumberFormat="1" applyFont="1" applyBorder="1" applyAlignment="1">
      <alignment horizontal="left" vertical="center"/>
    </xf>
    <xf numFmtId="14" fontId="1" fillId="0" borderId="44" xfId="0" applyNumberFormat="1" applyFont="1" applyBorder="1" applyAlignment="1">
      <alignment horizontal="left" vertical="center"/>
    </xf>
    <xf numFmtId="14" fontId="1" fillId="0" borderId="43" xfId="0" applyNumberFormat="1" applyFont="1" applyBorder="1" applyAlignment="1">
      <alignment horizontal="left" vertical="center"/>
    </xf>
    <xf numFmtId="14" fontId="1" fillId="0" borderId="38" xfId="0" applyNumberFormat="1" applyFont="1" applyBorder="1" applyAlignment="1">
      <alignment horizontal="left" vertical="center"/>
    </xf>
    <xf numFmtId="14" fontId="1" fillId="0" borderId="5" xfId="0" applyNumberFormat="1" applyFont="1" applyBorder="1" applyAlignment="1">
      <alignment horizontal="left" vertical="center"/>
    </xf>
    <xf numFmtId="14" fontId="1" fillId="0" borderId="40" xfId="0" applyNumberFormat="1" applyFont="1" applyBorder="1" applyAlignment="1">
      <alignment horizontal="left" vertical="center"/>
    </xf>
    <xf numFmtId="14" fontId="1" fillId="0" borderId="30" xfId="0" applyNumberFormat="1" applyFont="1" applyBorder="1" applyAlignment="1">
      <alignment horizontal="center" vertical="center"/>
    </xf>
    <xf numFmtId="14" fontId="1" fillId="0" borderId="29" xfId="0" applyNumberFormat="1" applyFont="1" applyBorder="1" applyAlignment="1">
      <alignment horizontal="center" vertical="center"/>
    </xf>
    <xf numFmtId="14" fontId="1" fillId="0" borderId="41" xfId="0" applyNumberFormat="1" applyFont="1" applyBorder="1" applyAlignment="1">
      <alignment horizontal="center" vertical="center"/>
    </xf>
    <xf numFmtId="167" fontId="1" fillId="0" borderId="10" xfId="0" applyNumberFormat="1" applyFont="1" applyBorder="1" applyAlignment="1">
      <alignment horizontal="left"/>
    </xf>
    <xf numFmtId="167" fontId="1" fillId="0" borderId="11" xfId="0" applyNumberFormat="1" applyFont="1" applyBorder="1" applyAlignment="1">
      <alignment horizontal="left"/>
    </xf>
    <xf numFmtId="14" fontId="1" fillId="0" borderId="0" xfId="0" applyNumberFormat="1" applyFont="1" applyAlignment="1">
      <alignment vertical="center"/>
    </xf>
    <xf numFmtId="14" fontId="1" fillId="0" borderId="53" xfId="0" applyNumberFormat="1" applyFont="1" applyBorder="1" applyAlignment="1">
      <alignment vertical="center"/>
    </xf>
    <xf numFmtId="1" fontId="1" fillId="0" borderId="13" xfId="0" applyNumberFormat="1" applyFont="1" applyBorder="1" applyAlignment="1">
      <alignment horizontal="left" vertical="center"/>
    </xf>
    <xf numFmtId="0" fontId="3" fillId="0" borderId="6" xfId="0" applyFont="1" applyBorder="1" applyAlignment="1">
      <alignment horizontal="left" vertical="center"/>
    </xf>
    <xf numFmtId="0" fontId="3" fillId="0" borderId="4" xfId="0" applyFont="1" applyBorder="1" applyAlignment="1">
      <alignment horizontal="left" vertical="center"/>
    </xf>
    <xf numFmtId="14" fontId="3" fillId="0" borderId="6" xfId="0" applyNumberFormat="1" applyFont="1" applyBorder="1" applyAlignment="1">
      <alignment horizontal="left" vertical="center"/>
    </xf>
    <xf numFmtId="14" fontId="3" fillId="0" borderId="5" xfId="0" applyNumberFormat="1" applyFont="1" applyBorder="1" applyAlignment="1">
      <alignment horizontal="left" vertical="center"/>
    </xf>
    <xf numFmtId="0" fontId="3" fillId="0" borderId="38" xfId="0" applyFont="1" applyBorder="1" applyAlignment="1">
      <alignment horizontal="center"/>
    </xf>
    <xf numFmtId="0" fontId="3" fillId="0" borderId="5" xfId="0" applyFont="1" applyBorder="1" applyAlignment="1">
      <alignment horizontal="center"/>
    </xf>
    <xf numFmtId="0" fontId="3" fillId="0" borderId="40" xfId="0" applyFont="1" applyBorder="1" applyAlignment="1">
      <alignment horizontal="center"/>
    </xf>
    <xf numFmtId="0" fontId="4" fillId="0" borderId="19" xfId="0" applyFont="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3" fillId="0" borderId="26" xfId="0" applyFont="1" applyBorder="1" applyAlignment="1">
      <alignment horizontal="left" vertical="center"/>
    </xf>
    <xf numFmtId="0" fontId="3" fillId="0" borderId="36" xfId="0" applyFont="1" applyBorder="1" applyAlignment="1">
      <alignment horizontal="left" vertical="center"/>
    </xf>
    <xf numFmtId="164" fontId="3" fillId="0" borderId="26" xfId="0" applyNumberFormat="1" applyFont="1" applyBorder="1" applyAlignment="1">
      <alignment horizontal="center" vertical="center"/>
    </xf>
    <xf numFmtId="164" fontId="3" fillId="0" borderId="16" xfId="0" applyNumberFormat="1" applyFont="1" applyBorder="1" applyAlignment="1">
      <alignment horizontal="center" vertical="center"/>
    </xf>
    <xf numFmtId="0" fontId="1" fillId="0" borderId="46" xfId="0" applyFont="1" applyBorder="1" applyAlignment="1">
      <alignment horizontal="center"/>
    </xf>
    <xf numFmtId="0" fontId="1" fillId="0" borderId="44" xfId="0" applyFont="1" applyBorder="1" applyAlignment="1">
      <alignment horizontal="center"/>
    </xf>
    <xf numFmtId="0" fontId="1" fillId="0" borderId="43" xfId="0" applyFont="1" applyBorder="1" applyAlignment="1">
      <alignment horizontal="center"/>
    </xf>
  </cellXfs>
  <cellStyles count="4">
    <cellStyle name="Hyperlink" xfId="3" builtinId="8"/>
    <cellStyle name="Neutral" xfId="2" builtinId="28"/>
    <cellStyle name="Normal" xfId="0" builtinId="0"/>
    <cellStyle name="Percent" xfId="1" builtinId="5"/>
  </cellStyles>
  <dxfs count="72">
    <dxf>
      <font>
        <color rgb="FF9C0006"/>
      </font>
      <fill>
        <patternFill>
          <bgColor rgb="FFFFC7CE"/>
        </patternFill>
      </fill>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theme="0"/>
      </font>
      <fill>
        <patternFill>
          <bgColor rgb="FFFF0000"/>
        </patternFill>
      </fill>
      <border>
        <vertical/>
        <horizontal/>
      </border>
    </dxf>
    <dxf>
      <font>
        <color theme="0"/>
      </font>
      <fill>
        <patternFill>
          <bgColor rgb="FF00B050"/>
        </patternFill>
      </fill>
      <border>
        <vertical/>
        <horizontal/>
      </border>
    </dxf>
    <dxf>
      <font>
        <color theme="0"/>
      </font>
      <fill>
        <patternFill>
          <bgColor rgb="FFFF0000"/>
        </patternFill>
      </fill>
      <border>
        <vertical/>
        <horizontal/>
      </border>
    </dxf>
    <dxf>
      <font>
        <color theme="0"/>
      </font>
      <fill>
        <patternFill>
          <bgColor rgb="FF00B050"/>
        </patternFill>
      </fill>
      <border>
        <vertical/>
        <horizontal/>
      </border>
    </dxf>
    <dxf>
      <font>
        <color rgb="FF00B050"/>
      </font>
    </dxf>
    <dxf>
      <font>
        <color rgb="FF9C0006"/>
      </font>
    </dxf>
    <dxf>
      <font>
        <color rgb="FF00B050"/>
      </font>
    </dxf>
    <dxf>
      <font>
        <color rgb="FF9C0006"/>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2C6EEAF-A2F2-41A4-B39C-D86DB0E86287}" name="Table27" displayName="Table27" ref="GD2:GD9" totalsRowShown="0" headerRowDxfId="71" dataDxfId="70">
  <autoFilter ref="GD2:GD9" xr:uid="{02C6EEAF-A2F2-41A4-B39C-D86DB0E86287}"/>
  <tableColumns count="1">
    <tableColumn id="1" xr3:uid="{2D635C99-66A0-4B2A-9035-8475335397B4}" name="Wall Thickness" dataDxfId="69"/>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BE78517-F0FE-46B2-9B41-8945E39F8F0A}" name="Table239" displayName="Table239" ref="GD22:GD29" totalsRowShown="0" headerRowDxfId="68" dataDxfId="67">
  <autoFilter ref="GD22:GD29" xr:uid="{9BE78517-F0FE-46B2-9B41-8945E39F8F0A}"/>
  <tableColumns count="1">
    <tableColumn id="1" xr3:uid="{864CBA5E-F1C6-4056-9B87-5CB9D62F689D}" name="Wall Thickness" dataDxfId="66"/>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5C849A5-80B6-479E-B687-73A38B182D2E}" name="Table2410" displayName="Table2410" ref="GD45:GD52" totalsRowShown="0" headerRowDxfId="65" dataDxfId="64">
  <autoFilter ref="GD45:GD52" xr:uid="{55C849A5-80B6-479E-B687-73A38B182D2E}"/>
  <tableColumns count="1">
    <tableColumn id="1" xr3:uid="{AFD81198-3E4C-4FB9-A7E9-9B5CFF9CDCC2}" name="Wall Thickness" dataDxfId="63"/>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DFE5847-54FA-4DDD-ACAE-0CDA48545B60}" name="Table2511" displayName="Table2511" ref="GD66:GD73" totalsRowShown="0" headerRowDxfId="62" dataDxfId="61">
  <autoFilter ref="GD66:GD73" xr:uid="{3DFE5847-54FA-4DDD-ACAE-0CDA48545B60}"/>
  <tableColumns count="1">
    <tableColumn id="1" xr3:uid="{454EC714-E55B-47B0-93E6-41E1D3BD610B}" name="Wall Thickness" dataDxfId="60"/>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29C1D1C-CF31-483F-AD96-A383B4AF03F1}" name="Table2612" displayName="Table2612" ref="GD90:GD97" totalsRowShown="0" headerRowDxfId="59" dataDxfId="58">
  <autoFilter ref="GD90:GD97" xr:uid="{B29C1D1C-CF31-483F-AD96-A383B4AF03F1}"/>
  <tableColumns count="1">
    <tableColumn id="1" xr3:uid="{DA14B9BE-5779-490E-88DD-C34593B205C3}" name="Wall Thickness" dataDxfId="57"/>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483362-DF3A-484F-B4F2-4A8A5B219059}" name="Table7813" displayName="Table7813" ref="GL65:GL68" totalsRowShown="0" headerRowDxfId="56" dataDxfId="55">
  <autoFilter ref="GL65:GL68" xr:uid="{C9483362-DF3A-484F-B4F2-4A8A5B219059}"/>
  <tableColumns count="1">
    <tableColumn id="1" xr3:uid="{34CE6B0B-3B92-4BBE-9FAD-5821D563FA6E}" name="Ring Thickness" dataDxfId="54"/>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Q93"/>
  <sheetViews>
    <sheetView showGridLines="0" tabSelected="1" showWhiteSpace="0" zoomScale="85" zoomScaleNormal="85" workbookViewId="0">
      <pane ySplit="12" topLeftCell="A52" activePane="bottomLeft" state="frozen"/>
      <selection pane="bottomLeft" activeCell="F64" sqref="F64"/>
    </sheetView>
  </sheetViews>
  <sheetFormatPr defaultRowHeight="15" x14ac:dyDescent="0.25"/>
  <cols>
    <col min="1" max="1" width="20.42578125" style="1" bestFit="1" customWidth="1"/>
    <col min="2" max="2" width="5.7109375" style="1" bestFit="1" customWidth="1"/>
    <col min="3" max="3" width="44.28515625" bestFit="1" customWidth="1"/>
    <col min="4" max="4" width="20.28515625" bestFit="1" customWidth="1"/>
    <col min="5" max="5" width="16" bestFit="1" customWidth="1"/>
    <col min="6" max="6" width="11.42578125" bestFit="1" customWidth="1"/>
    <col min="8" max="8" width="11.5703125" bestFit="1" customWidth="1"/>
    <col min="10" max="10" width="10.42578125" bestFit="1" customWidth="1"/>
    <col min="16" max="17" width="11.42578125" bestFit="1" customWidth="1"/>
  </cols>
  <sheetData>
    <row r="1" spans="1:17" ht="15.75" thickBot="1" x14ac:dyDescent="0.3">
      <c r="A1" s="440" t="s">
        <v>818</v>
      </c>
      <c r="B1" s="441"/>
      <c r="C1" s="441"/>
      <c r="D1" s="441"/>
      <c r="E1" s="441"/>
      <c r="F1" s="442"/>
      <c r="H1" s="436"/>
      <c r="I1" s="436"/>
      <c r="J1" s="436"/>
      <c r="K1" s="436"/>
      <c r="L1" s="436"/>
      <c r="O1" s="63"/>
      <c r="P1" s="64" t="s">
        <v>1092</v>
      </c>
      <c r="Q1" s="65" t="s">
        <v>1093</v>
      </c>
    </row>
    <row r="2" spans="1:17" ht="15.75" x14ac:dyDescent="0.25">
      <c r="A2" s="448" t="s">
        <v>817</v>
      </c>
      <c r="B2" s="448"/>
      <c r="C2" s="335" t="s">
        <v>836</v>
      </c>
      <c r="D2" s="335" t="s">
        <v>1012</v>
      </c>
      <c r="E2" s="448" t="s">
        <v>960</v>
      </c>
      <c r="F2" s="448"/>
      <c r="H2" s="356" t="s">
        <v>1159</v>
      </c>
      <c r="I2" s="360"/>
      <c r="O2" s="66" t="s">
        <v>209</v>
      </c>
      <c r="P2" s="13" t="s">
        <v>210</v>
      </c>
      <c r="Q2" s="67" t="s">
        <v>210</v>
      </c>
    </row>
    <row r="3" spans="1:17" ht="15.75" x14ac:dyDescent="0.25">
      <c r="A3" s="439" t="s">
        <v>800</v>
      </c>
      <c r="B3" s="439"/>
      <c r="C3" s="336" t="s">
        <v>847</v>
      </c>
      <c r="D3" s="336" t="s">
        <v>368</v>
      </c>
      <c r="E3" s="439" t="s">
        <v>1060</v>
      </c>
      <c r="F3" s="439"/>
      <c r="H3" s="5" t="s">
        <v>1160</v>
      </c>
      <c r="I3" s="361"/>
      <c r="J3" s="363"/>
      <c r="K3" s="363"/>
      <c r="L3" s="363"/>
      <c r="O3" s="68" t="s">
        <v>151</v>
      </c>
      <c r="P3" s="23">
        <v>8.58</v>
      </c>
      <c r="Q3" s="69">
        <v>7.66</v>
      </c>
    </row>
    <row r="4" spans="1:17" ht="16.5" thickBot="1" x14ac:dyDescent="0.3">
      <c r="A4" s="448" t="s">
        <v>890</v>
      </c>
      <c r="B4" s="448"/>
      <c r="C4" s="335" t="s">
        <v>1071</v>
      </c>
      <c r="D4" s="335" t="s">
        <v>1008</v>
      </c>
      <c r="E4" s="437" t="s">
        <v>1061</v>
      </c>
      <c r="F4" s="438"/>
      <c r="H4" s="358" t="s">
        <v>1161</v>
      </c>
      <c r="I4" s="362"/>
      <c r="J4" s="363"/>
      <c r="K4" s="363"/>
      <c r="L4" s="363"/>
      <c r="O4" s="68" t="s">
        <v>154</v>
      </c>
      <c r="P4" s="23">
        <v>11.16</v>
      </c>
      <c r="Q4" s="69">
        <v>10.210000000000001</v>
      </c>
    </row>
    <row r="5" spans="1:17" ht="15.75" thickBot="1" x14ac:dyDescent="0.3">
      <c r="A5" s="439" t="s">
        <v>932</v>
      </c>
      <c r="B5" s="439"/>
      <c r="C5" s="407" t="s">
        <v>1235</v>
      </c>
      <c r="D5" s="407" t="s">
        <v>1186</v>
      </c>
      <c r="E5" s="439" t="s">
        <v>101</v>
      </c>
      <c r="F5" s="439"/>
      <c r="I5" s="363"/>
      <c r="J5" s="363"/>
      <c r="K5" s="363"/>
      <c r="L5" s="363"/>
      <c r="O5" s="68" t="s">
        <v>155</v>
      </c>
      <c r="P5" s="23">
        <v>13.75</v>
      </c>
      <c r="Q5" s="69">
        <v>12.76</v>
      </c>
    </row>
    <row r="6" spans="1:17" x14ac:dyDescent="0.25">
      <c r="A6" s="445" t="s">
        <v>732</v>
      </c>
      <c r="B6" s="445"/>
      <c r="C6" s="337" t="s">
        <v>727</v>
      </c>
      <c r="D6" s="337" t="s">
        <v>730</v>
      </c>
      <c r="E6" s="446"/>
      <c r="F6" s="447"/>
      <c r="H6" s="433" t="s">
        <v>1163</v>
      </c>
      <c r="I6" s="434"/>
      <c r="J6" s="434"/>
      <c r="K6" s="435"/>
      <c r="L6" s="363"/>
      <c r="O6" s="68" t="s">
        <v>156</v>
      </c>
      <c r="P6" s="23">
        <v>16.5</v>
      </c>
      <c r="Q6" s="69">
        <v>15.32</v>
      </c>
    </row>
    <row r="7" spans="1:17" x14ac:dyDescent="0.25">
      <c r="A7" s="443" t="s">
        <v>584</v>
      </c>
      <c r="B7" s="444"/>
      <c r="C7" s="338">
        <v>304</v>
      </c>
      <c r="D7" s="338">
        <v>316</v>
      </c>
      <c r="E7" s="443" t="s">
        <v>731</v>
      </c>
      <c r="F7" s="444"/>
      <c r="H7" s="366" t="s">
        <v>458</v>
      </c>
      <c r="I7" s="364" t="s">
        <v>460</v>
      </c>
      <c r="J7" s="364" t="s">
        <v>1</v>
      </c>
      <c r="K7" s="365" t="s">
        <v>1164</v>
      </c>
      <c r="L7" s="363"/>
      <c r="O7" s="68" t="s">
        <v>157</v>
      </c>
      <c r="P7" s="23">
        <v>21.66</v>
      </c>
      <c r="Q7" s="69">
        <v>20.420000000000002</v>
      </c>
    </row>
    <row r="8" spans="1:17" x14ac:dyDescent="0.25">
      <c r="A8" s="451" t="s">
        <v>585</v>
      </c>
      <c r="B8" s="452"/>
      <c r="C8" s="339" t="s">
        <v>624</v>
      </c>
      <c r="D8" s="339" t="s">
        <v>624</v>
      </c>
      <c r="E8" s="451" t="s">
        <v>624</v>
      </c>
      <c r="F8" s="452"/>
      <c r="H8" s="368"/>
      <c r="I8" s="369"/>
      <c r="J8" s="369"/>
      <c r="K8" s="126">
        <f t="shared" ref="K8:K11" si="0">J8*I8*H8</f>
        <v>0</v>
      </c>
      <c r="L8" s="363"/>
      <c r="O8" s="68" t="s">
        <v>211</v>
      </c>
      <c r="P8" s="23">
        <v>26.83</v>
      </c>
      <c r="Q8" s="69">
        <v>25.53</v>
      </c>
    </row>
    <row r="9" spans="1:17" x14ac:dyDescent="0.25">
      <c r="A9" s="453" t="s">
        <v>586</v>
      </c>
      <c r="B9" s="454"/>
      <c r="C9" s="340" t="s">
        <v>693</v>
      </c>
      <c r="D9" s="340" t="s">
        <v>693</v>
      </c>
      <c r="E9" s="453" t="s">
        <v>693</v>
      </c>
      <c r="F9" s="454"/>
      <c r="H9" s="368"/>
      <c r="I9" s="369"/>
      <c r="J9" s="369"/>
      <c r="K9" s="126">
        <f t="shared" si="0"/>
        <v>0</v>
      </c>
      <c r="L9" s="363"/>
      <c r="O9" s="68" t="s">
        <v>212</v>
      </c>
      <c r="P9" s="23">
        <v>32.119999999999997</v>
      </c>
      <c r="Q9" s="69">
        <v>30.63</v>
      </c>
    </row>
    <row r="10" spans="1:17" x14ac:dyDescent="0.25">
      <c r="A10" s="451" t="s">
        <v>587</v>
      </c>
      <c r="B10" s="452"/>
      <c r="C10" s="339" t="s">
        <v>697</v>
      </c>
      <c r="D10" s="339" t="s">
        <v>697</v>
      </c>
      <c r="E10" s="451" t="s">
        <v>697</v>
      </c>
      <c r="F10" s="452"/>
      <c r="H10" s="368"/>
      <c r="I10" s="369"/>
      <c r="J10" s="369"/>
      <c r="K10" s="126">
        <f t="shared" si="0"/>
        <v>0</v>
      </c>
      <c r="L10" s="363"/>
      <c r="O10" s="68" t="s">
        <v>213</v>
      </c>
      <c r="P10" s="23">
        <v>37.29</v>
      </c>
      <c r="Q10" s="69">
        <v>35.74</v>
      </c>
    </row>
    <row r="11" spans="1:17" ht="15.75" thickBot="1" x14ac:dyDescent="0.3">
      <c r="A11" s="453" t="s">
        <v>588</v>
      </c>
      <c r="B11" s="454"/>
      <c r="C11" s="340" t="s">
        <v>698</v>
      </c>
      <c r="D11" s="340" t="s">
        <v>698</v>
      </c>
      <c r="E11" s="453" t="s">
        <v>698</v>
      </c>
      <c r="F11" s="454"/>
      <c r="H11" s="370"/>
      <c r="I11" s="371"/>
      <c r="J11" s="371"/>
      <c r="K11" s="135">
        <f t="shared" si="0"/>
        <v>0</v>
      </c>
      <c r="L11" s="363"/>
      <c r="O11" s="70" t="s">
        <v>214</v>
      </c>
      <c r="P11" s="71">
        <v>42.67</v>
      </c>
      <c r="Q11" s="72">
        <v>40.840000000000003</v>
      </c>
    </row>
    <row r="12" spans="1:17" ht="15.75" thickBot="1" x14ac:dyDescent="0.3">
      <c r="A12" s="449" t="s">
        <v>589</v>
      </c>
      <c r="B12" s="450"/>
      <c r="C12" s="341" t="s">
        <v>721</v>
      </c>
      <c r="D12" s="341" t="s">
        <v>699</v>
      </c>
      <c r="E12" s="449" t="s">
        <v>699</v>
      </c>
      <c r="F12" s="450"/>
    </row>
    <row r="13" spans="1:17" ht="25.5" customHeight="1" thickBot="1" x14ac:dyDescent="0.3">
      <c r="A13" s="455" t="s">
        <v>4</v>
      </c>
      <c r="B13" s="456"/>
      <c r="C13" s="456"/>
      <c r="D13" s="456"/>
      <c r="E13" s="456"/>
      <c r="F13" s="457"/>
    </row>
    <row r="14" spans="1:17" s="2" customFormat="1" ht="15.75" customHeight="1" x14ac:dyDescent="0.25">
      <c r="A14" s="356" t="s">
        <v>5</v>
      </c>
      <c r="B14" s="458"/>
      <c r="C14" s="458"/>
      <c r="D14" s="357" t="s">
        <v>8</v>
      </c>
      <c r="E14" s="462">
        <f ca="1">TODAY()</f>
        <v>45826</v>
      </c>
      <c r="F14" s="463"/>
      <c r="G14"/>
      <c r="H14" t="s">
        <v>1162</v>
      </c>
      <c r="I14" s="372">
        <f>(I2*3.1416)*I4</f>
        <v>0</v>
      </c>
    </row>
    <row r="15" spans="1:17" s="2" customFormat="1" ht="16.5" customHeight="1" thickBot="1" x14ac:dyDescent="0.3">
      <c r="A15" s="358" t="s">
        <v>3</v>
      </c>
      <c r="B15" s="459"/>
      <c r="C15" s="459"/>
      <c r="D15" s="359" t="s">
        <v>6</v>
      </c>
      <c r="E15" s="460" t="str">
        <f>CONCATENATE(I2,""""," ",I3," X ",I4,"""")</f>
        <v>"  X "</v>
      </c>
      <c r="F15" s="461"/>
      <c r="H15" t="s">
        <v>1165</v>
      </c>
      <c r="I15" s="367">
        <f>SUM(K8:K11)</f>
        <v>0</v>
      </c>
    </row>
    <row r="16" spans="1:17" ht="15.75" x14ac:dyDescent="0.25">
      <c r="A16" s="431" t="s">
        <v>0</v>
      </c>
      <c r="B16" s="116" t="s">
        <v>1</v>
      </c>
      <c r="C16" s="116" t="s">
        <v>2</v>
      </c>
      <c r="D16" s="116" t="s">
        <v>7</v>
      </c>
      <c r="E16" s="116" t="s">
        <v>357</v>
      </c>
      <c r="F16" s="432" t="s">
        <v>9</v>
      </c>
      <c r="G16" s="2"/>
      <c r="H16" s="2"/>
    </row>
    <row r="17" spans="1:6" ht="15.75" customHeight="1" x14ac:dyDescent="0.25">
      <c r="A17" s="39"/>
      <c r="B17" s="12"/>
      <c r="C17" s="14"/>
      <c r="D17" s="194"/>
      <c r="E17" s="195"/>
      <c r="F17" s="122"/>
    </row>
    <row r="18" spans="1:6" ht="15.75" customHeight="1" x14ac:dyDescent="0.25">
      <c r="A18" s="39"/>
      <c r="B18" s="12"/>
      <c r="C18" s="14"/>
      <c r="D18" s="194"/>
      <c r="E18" s="195"/>
      <c r="F18" s="122"/>
    </row>
    <row r="19" spans="1:6" ht="15.75" customHeight="1" x14ac:dyDescent="0.25">
      <c r="A19" s="39"/>
      <c r="B19" s="12"/>
      <c r="C19" s="14"/>
      <c r="D19" s="194"/>
      <c r="E19" s="195"/>
      <c r="F19" s="122"/>
    </row>
    <row r="20" spans="1:6" ht="15.75" customHeight="1" x14ac:dyDescent="0.25">
      <c r="A20" s="39"/>
      <c r="B20" s="12"/>
      <c r="C20" s="14"/>
      <c r="D20" s="194"/>
      <c r="E20" s="195"/>
      <c r="F20" s="122"/>
    </row>
    <row r="21" spans="1:6" ht="15.75" customHeight="1" x14ac:dyDescent="0.25">
      <c r="A21" s="39"/>
      <c r="B21" s="12"/>
      <c r="C21" s="14"/>
      <c r="D21" s="194"/>
      <c r="E21" s="195"/>
      <c r="F21" s="122"/>
    </row>
    <row r="22" spans="1:6" ht="15.75" customHeight="1" x14ac:dyDescent="0.25">
      <c r="A22" s="39"/>
      <c r="B22" s="12"/>
      <c r="C22" s="14"/>
      <c r="D22" s="194"/>
      <c r="E22" s="195"/>
      <c r="F22" s="122"/>
    </row>
    <row r="23" spans="1:6" ht="15.75" customHeight="1" x14ac:dyDescent="0.25">
      <c r="A23" s="39"/>
      <c r="B23" s="12"/>
      <c r="C23" s="14"/>
      <c r="D23" s="194"/>
      <c r="E23" s="195"/>
      <c r="F23" s="122"/>
    </row>
    <row r="24" spans="1:6" ht="15.75" customHeight="1" x14ac:dyDescent="0.25">
      <c r="A24" s="39"/>
      <c r="B24" s="12"/>
      <c r="C24" s="14"/>
      <c r="D24" s="194"/>
      <c r="E24" s="195"/>
      <c r="F24" s="122"/>
    </row>
    <row r="25" spans="1:6" ht="15.75" customHeight="1" x14ac:dyDescent="0.25">
      <c r="A25" s="39"/>
      <c r="B25" s="12"/>
      <c r="C25" s="14"/>
      <c r="D25" s="194"/>
      <c r="E25" s="195"/>
      <c r="F25" s="122"/>
    </row>
    <row r="26" spans="1:6" ht="15.75" customHeight="1" x14ac:dyDescent="0.25">
      <c r="A26" s="39"/>
      <c r="B26" s="12"/>
      <c r="C26" s="14"/>
      <c r="D26" s="194"/>
      <c r="E26" s="195"/>
      <c r="F26" s="122"/>
    </row>
    <row r="27" spans="1:6" ht="15.75" customHeight="1" x14ac:dyDescent="0.25">
      <c r="A27" s="39"/>
      <c r="B27" s="12"/>
      <c r="C27" s="14"/>
      <c r="D27" s="194"/>
      <c r="E27" s="195"/>
      <c r="F27" s="122"/>
    </row>
    <row r="28" spans="1:6" ht="15.75" customHeight="1" x14ac:dyDescent="0.25">
      <c r="A28" s="39"/>
      <c r="B28" s="12"/>
      <c r="C28" s="14"/>
      <c r="D28" s="194"/>
      <c r="E28" s="195"/>
      <c r="F28" s="122"/>
    </row>
    <row r="29" spans="1:6" ht="15.75" customHeight="1" x14ac:dyDescent="0.25">
      <c r="A29" s="39"/>
      <c r="B29" s="12"/>
      <c r="C29" s="14"/>
      <c r="D29" s="194"/>
      <c r="E29" s="195"/>
      <c r="F29" s="122"/>
    </row>
    <row r="30" spans="1:6" ht="15.75" customHeight="1" x14ac:dyDescent="0.25">
      <c r="A30" s="39"/>
      <c r="B30" s="12"/>
      <c r="C30" s="14"/>
      <c r="D30" s="194"/>
      <c r="E30" s="195"/>
      <c r="F30" s="122"/>
    </row>
    <row r="31" spans="1:6" ht="15.75" customHeight="1" x14ac:dyDescent="0.25">
      <c r="A31" s="39"/>
      <c r="B31" s="12"/>
      <c r="C31" s="14"/>
      <c r="D31" s="194"/>
      <c r="E31" s="195"/>
      <c r="F31" s="122"/>
    </row>
    <row r="32" spans="1:6" ht="15.75" customHeight="1" x14ac:dyDescent="0.25">
      <c r="A32" s="39"/>
      <c r="B32" s="12"/>
      <c r="C32" s="14"/>
      <c r="D32" s="194"/>
      <c r="E32" s="195"/>
      <c r="F32" s="122"/>
    </row>
    <row r="33" spans="1:6" ht="15.75" customHeight="1" x14ac:dyDescent="0.25">
      <c r="A33" s="39"/>
      <c r="B33" s="12"/>
      <c r="C33" s="14"/>
      <c r="D33" s="194"/>
      <c r="E33" s="195"/>
      <c r="F33" s="122"/>
    </row>
    <row r="34" spans="1:6" ht="15.75" customHeight="1" x14ac:dyDescent="0.25">
      <c r="A34" s="39"/>
      <c r="B34" s="12"/>
      <c r="C34" s="14"/>
      <c r="D34" s="194"/>
      <c r="E34" s="195"/>
      <c r="F34" s="122"/>
    </row>
    <row r="35" spans="1:6" ht="15.75" customHeight="1" x14ac:dyDescent="0.25">
      <c r="A35" s="39"/>
      <c r="B35" s="12"/>
      <c r="C35" s="14"/>
      <c r="D35" s="194"/>
      <c r="E35" s="195"/>
      <c r="F35" s="122"/>
    </row>
    <row r="36" spans="1:6" ht="15.75" customHeight="1" x14ac:dyDescent="0.25">
      <c r="A36" s="39"/>
      <c r="B36" s="12"/>
      <c r="C36" s="14"/>
      <c r="D36" s="194"/>
      <c r="E36" s="195"/>
      <c r="F36" s="122"/>
    </row>
    <row r="37" spans="1:6" ht="15.75" customHeight="1" x14ac:dyDescent="0.25">
      <c r="A37" s="39"/>
      <c r="B37" s="12"/>
      <c r="C37" s="86"/>
      <c r="D37" s="12"/>
      <c r="E37" s="24"/>
      <c r="F37" s="67"/>
    </row>
    <row r="38" spans="1:6" ht="15.75" customHeight="1" x14ac:dyDescent="0.25">
      <c r="A38" s="39"/>
      <c r="B38" s="12"/>
      <c r="C38" s="86"/>
      <c r="D38" s="12"/>
      <c r="E38" s="24"/>
      <c r="F38" s="67"/>
    </row>
    <row r="39" spans="1:6" ht="15.75" customHeight="1" x14ac:dyDescent="0.25">
      <c r="A39" s="39"/>
      <c r="B39" s="12"/>
      <c r="C39" s="86"/>
      <c r="D39" s="12"/>
      <c r="E39" s="24"/>
      <c r="F39" s="67"/>
    </row>
    <row r="40" spans="1:6" ht="15.75" customHeight="1" x14ac:dyDescent="0.25">
      <c r="A40" s="39"/>
      <c r="B40" s="12"/>
      <c r="C40" s="86"/>
      <c r="D40" s="12"/>
      <c r="E40" s="24"/>
      <c r="F40" s="67"/>
    </row>
    <row r="41" spans="1:6" ht="15.75" customHeight="1" x14ac:dyDescent="0.25">
      <c r="A41" s="39"/>
      <c r="B41" s="12"/>
      <c r="C41" s="86"/>
      <c r="D41" s="12"/>
      <c r="E41" s="24"/>
      <c r="F41" s="67"/>
    </row>
    <row r="42" spans="1:6" ht="15.75" customHeight="1" x14ac:dyDescent="0.25">
      <c r="A42" s="39"/>
      <c r="B42" s="12"/>
      <c r="C42" s="86"/>
      <c r="D42" s="12"/>
      <c r="E42" s="24"/>
      <c r="F42" s="67"/>
    </row>
    <row r="43" spans="1:6" ht="15.75" customHeight="1" x14ac:dyDescent="0.25">
      <c r="A43" s="39"/>
      <c r="B43" s="12"/>
      <c r="C43" s="86"/>
      <c r="D43" s="12"/>
      <c r="E43" s="24"/>
      <c r="F43" s="183"/>
    </row>
    <row r="44" spans="1:6" ht="15.75" customHeight="1" x14ac:dyDescent="0.25">
      <c r="A44" s="39"/>
      <c r="B44" s="12"/>
      <c r="C44" s="86"/>
      <c r="D44" s="12"/>
      <c r="E44" s="24"/>
      <c r="F44" s="183"/>
    </row>
    <row r="45" spans="1:6" ht="15.75" customHeight="1" x14ac:dyDescent="0.25">
      <c r="A45" s="39"/>
      <c r="B45" s="12"/>
      <c r="C45" s="86"/>
      <c r="D45" s="12"/>
      <c r="E45" s="24"/>
      <c r="F45" s="122"/>
    </row>
    <row r="46" spans="1:6" ht="15.75" customHeight="1" x14ac:dyDescent="0.25">
      <c r="A46" s="39"/>
      <c r="B46" s="12"/>
      <c r="C46" s="86"/>
      <c r="D46" s="12"/>
      <c r="E46" s="24"/>
      <c r="F46" s="122"/>
    </row>
    <row r="47" spans="1:6" ht="15.75" customHeight="1" x14ac:dyDescent="0.25">
      <c r="A47" s="39"/>
      <c r="B47" s="12"/>
      <c r="C47" s="86"/>
      <c r="D47" s="12"/>
      <c r="E47" s="24"/>
      <c r="F47" s="122"/>
    </row>
    <row r="48" spans="1:6" ht="15.75" customHeight="1" x14ac:dyDescent="0.25">
      <c r="A48" s="39"/>
      <c r="B48" s="12"/>
      <c r="C48" s="86"/>
      <c r="D48" s="12"/>
      <c r="E48" s="24"/>
      <c r="F48" s="122"/>
    </row>
    <row r="49" spans="1:6" ht="15.75" customHeight="1" x14ac:dyDescent="0.25">
      <c r="A49" s="39"/>
      <c r="B49" s="12"/>
      <c r="C49" s="143"/>
      <c r="D49" s="12"/>
      <c r="E49" s="373"/>
      <c r="F49" s="418"/>
    </row>
    <row r="50" spans="1:6" ht="15.75" customHeight="1" x14ac:dyDescent="0.25">
      <c r="A50" s="39"/>
      <c r="B50" s="12"/>
      <c r="C50" s="143"/>
      <c r="D50" s="12"/>
      <c r="E50" s="373"/>
      <c r="F50" s="418"/>
    </row>
    <row r="51" spans="1:6" ht="15.75" customHeight="1" x14ac:dyDescent="0.25">
      <c r="A51" s="39"/>
      <c r="B51" s="12"/>
      <c r="C51" s="143"/>
      <c r="D51" s="12"/>
      <c r="E51" s="373"/>
      <c r="F51" s="418"/>
    </row>
    <row r="52" spans="1:6" ht="15.75" customHeight="1" x14ac:dyDescent="0.25">
      <c r="A52" s="39"/>
      <c r="B52" s="12"/>
      <c r="C52" s="143"/>
      <c r="D52" s="12"/>
      <c r="E52" s="373"/>
      <c r="F52" s="418"/>
    </row>
    <row r="53" spans="1:6" ht="15.75" customHeight="1" x14ac:dyDescent="0.25">
      <c r="A53" s="39"/>
      <c r="B53" s="12"/>
      <c r="C53" s="143"/>
      <c r="D53" s="12"/>
      <c r="E53" s="373"/>
      <c r="F53" s="418"/>
    </row>
    <row r="54" spans="1:6" ht="15.75" customHeight="1" x14ac:dyDescent="0.25">
      <c r="A54" s="39"/>
      <c r="B54" s="12"/>
      <c r="C54" s="143"/>
      <c r="D54" s="12"/>
      <c r="E54" s="373"/>
      <c r="F54" s="418"/>
    </row>
    <row r="55" spans="1:6" ht="15.75" customHeight="1" x14ac:dyDescent="0.25">
      <c r="A55" s="39"/>
      <c r="B55" s="12"/>
      <c r="C55" s="143"/>
      <c r="D55" s="12"/>
      <c r="E55" s="373"/>
      <c r="F55" s="418"/>
    </row>
    <row r="56" spans="1:6" ht="15.75" customHeight="1" x14ac:dyDescent="0.25">
      <c r="A56" s="354"/>
      <c r="B56" s="42"/>
      <c r="C56" s="16" t="s">
        <v>330</v>
      </c>
      <c r="D56" s="12"/>
      <c r="E56" s="21"/>
      <c r="F56" s="67" t="s">
        <v>1116</v>
      </c>
    </row>
    <row r="57" spans="1:6" ht="15.75" customHeight="1" x14ac:dyDescent="0.25">
      <c r="A57" s="355"/>
      <c r="B57" s="42"/>
      <c r="C57" s="16" t="s">
        <v>424</v>
      </c>
      <c r="D57" s="12"/>
      <c r="E57" s="21"/>
      <c r="F57" s="67"/>
    </row>
    <row r="58" spans="1:6" ht="15.75" customHeight="1" x14ac:dyDescent="0.25">
      <c r="A58" s="39"/>
      <c r="B58" s="12"/>
      <c r="C58" s="16" t="s">
        <v>352</v>
      </c>
      <c r="D58" s="12"/>
      <c r="E58" s="21">
        <v>750</v>
      </c>
      <c r="F58" s="67">
        <v>4</v>
      </c>
    </row>
    <row r="59" spans="1:6" x14ac:dyDescent="0.25">
      <c r="A59" s="113"/>
      <c r="B59" s="11"/>
      <c r="C59" s="16" t="s">
        <v>425</v>
      </c>
      <c r="D59" s="11"/>
      <c r="E59" s="21"/>
      <c r="F59" s="67"/>
    </row>
    <row r="60" spans="1:6" x14ac:dyDescent="0.25">
      <c r="A60" s="39"/>
      <c r="B60" s="12"/>
      <c r="C60" s="16" t="s">
        <v>11</v>
      </c>
      <c r="D60" s="11"/>
      <c r="E60" s="15" t="s">
        <v>1116</v>
      </c>
      <c r="F60" s="67"/>
    </row>
    <row r="61" spans="1:6" x14ac:dyDescent="0.25">
      <c r="A61" s="39"/>
      <c r="B61" s="12"/>
      <c r="C61" s="16" t="s">
        <v>426</v>
      </c>
      <c r="D61" s="11"/>
      <c r="E61" s="15" t="s">
        <v>1116</v>
      </c>
      <c r="F61" s="67"/>
    </row>
    <row r="62" spans="1:6" x14ac:dyDescent="0.25">
      <c r="A62" s="39"/>
      <c r="B62" s="12"/>
      <c r="C62" s="16" t="s">
        <v>12</v>
      </c>
      <c r="D62" s="11"/>
      <c r="E62" s="15" t="s">
        <v>1116</v>
      </c>
      <c r="F62" s="67"/>
    </row>
    <row r="63" spans="1:6" x14ac:dyDescent="0.25">
      <c r="A63" s="39"/>
      <c r="B63" s="12"/>
      <c r="C63" s="16" t="s">
        <v>13</v>
      </c>
      <c r="D63" s="11"/>
      <c r="E63" s="15" t="s">
        <v>1116</v>
      </c>
      <c r="F63" s="122">
        <f>SUM(F18:F62)</f>
        <v>4</v>
      </c>
    </row>
    <row r="64" spans="1:6" x14ac:dyDescent="0.25">
      <c r="A64" s="39"/>
      <c r="B64" s="12"/>
      <c r="C64" s="16" t="s">
        <v>14</v>
      </c>
      <c r="D64" s="11"/>
      <c r="E64" s="15" t="s">
        <v>1116</v>
      </c>
      <c r="F64" s="122">
        <f>F63*1.05</f>
        <v>4.2</v>
      </c>
    </row>
    <row r="65" spans="1:6" x14ac:dyDescent="0.25">
      <c r="A65" s="39"/>
      <c r="B65" s="12"/>
      <c r="C65" s="196"/>
      <c r="D65" s="196" t="s">
        <v>15</v>
      </c>
      <c r="E65" s="17">
        <f>SUM(E17:E64)</f>
        <v>750</v>
      </c>
      <c r="F65" s="122"/>
    </row>
    <row r="66" spans="1:6" x14ac:dyDescent="0.25">
      <c r="A66" s="39"/>
      <c r="B66" s="12"/>
      <c r="C66" s="197"/>
      <c r="D66" s="197" t="s">
        <v>16</v>
      </c>
      <c r="E66" s="17">
        <f>E65/0.9</f>
        <v>833.33333333333326</v>
      </c>
      <c r="F66" s="122"/>
    </row>
    <row r="67" spans="1:6" x14ac:dyDescent="0.25">
      <c r="A67" s="39"/>
      <c r="B67" s="12"/>
      <c r="C67" s="13" t="s">
        <v>393</v>
      </c>
      <c r="D67" s="100">
        <f>F64</f>
        <v>4.2</v>
      </c>
      <c r="E67" s="101">
        <f>D67*80</f>
        <v>336</v>
      </c>
      <c r="F67" s="112"/>
    </row>
    <row r="68" spans="1:6" x14ac:dyDescent="0.25">
      <c r="A68" s="39"/>
      <c r="B68" s="12"/>
      <c r="C68" s="23"/>
      <c r="D68" s="13" t="s">
        <v>329</v>
      </c>
      <c r="E68" s="17">
        <f>E67/0.8</f>
        <v>420</v>
      </c>
      <c r="F68" s="112"/>
    </row>
    <row r="69" spans="1:6" x14ac:dyDescent="0.25">
      <c r="A69" s="39"/>
      <c r="B69" s="12"/>
      <c r="C69" s="23"/>
      <c r="D69" s="13" t="s">
        <v>17</v>
      </c>
      <c r="E69" s="17">
        <f>E66+E68</f>
        <v>1253.3333333333333</v>
      </c>
      <c r="F69" s="112"/>
    </row>
    <row r="70" spans="1:6" x14ac:dyDescent="0.25">
      <c r="A70" s="39"/>
      <c r="B70" s="12"/>
      <c r="C70" s="23"/>
      <c r="D70" s="103" t="s">
        <v>18</v>
      </c>
      <c r="E70" s="17">
        <f>(E65+E67)*0.0333</f>
        <v>36.163800000000002</v>
      </c>
      <c r="F70" s="112"/>
    </row>
    <row r="71" spans="1:6" x14ac:dyDescent="0.25">
      <c r="A71" s="39" t="s">
        <v>556</v>
      </c>
      <c r="B71" s="464"/>
      <c r="C71" s="464"/>
      <c r="D71" s="103" t="s">
        <v>19</v>
      </c>
      <c r="E71" s="17">
        <f>E69+E70</f>
        <v>1289.4971333333333</v>
      </c>
      <c r="F71" s="112"/>
    </row>
    <row r="72" spans="1:6" x14ac:dyDescent="0.25">
      <c r="A72" s="343"/>
      <c r="B72" s="465"/>
      <c r="C72" s="465"/>
      <c r="D72" s="206"/>
      <c r="E72" s="206"/>
      <c r="F72" s="342"/>
    </row>
    <row r="73" spans="1:6" x14ac:dyDescent="0.25">
      <c r="A73" s="39" t="s">
        <v>557</v>
      </c>
      <c r="B73" s="466">
        <f>B71-E65</f>
        <v>-750</v>
      </c>
      <c r="C73" s="466"/>
      <c r="D73" s="103" t="s">
        <v>20</v>
      </c>
      <c r="E73" s="17">
        <f>E71-E65</f>
        <v>539.4971333333333</v>
      </c>
      <c r="F73" s="112"/>
    </row>
    <row r="74" spans="1:6" x14ac:dyDescent="0.25">
      <c r="A74" s="39" t="s">
        <v>558</v>
      </c>
      <c r="B74" s="467">
        <f>B73/F64</f>
        <v>-178.57142857142856</v>
      </c>
      <c r="C74" s="467"/>
      <c r="D74" s="103" t="s">
        <v>21</v>
      </c>
      <c r="E74" s="105">
        <f>E73/F64</f>
        <v>128.45169841269839</v>
      </c>
      <c r="F74" s="112"/>
    </row>
    <row r="75" spans="1:6" x14ac:dyDescent="0.25">
      <c r="A75" s="39" t="s">
        <v>559</v>
      </c>
      <c r="B75" s="466">
        <f>B71-E65-E67-E70</f>
        <v>-1122.1638</v>
      </c>
      <c r="C75" s="466"/>
      <c r="D75" s="103" t="s">
        <v>22</v>
      </c>
      <c r="E75" s="17">
        <f>E71-E65-E67-E70</f>
        <v>167.33333333333329</v>
      </c>
      <c r="F75" s="112"/>
    </row>
    <row r="76" spans="1:6" x14ac:dyDescent="0.25">
      <c r="A76" s="39" t="s">
        <v>560</v>
      </c>
      <c r="B76" s="468" t="e">
        <f>B75/B71</f>
        <v>#DIV/0!</v>
      </c>
      <c r="C76" s="468"/>
      <c r="D76" s="103" t="s">
        <v>23</v>
      </c>
      <c r="E76" s="198">
        <f>E75/E71</f>
        <v>0.12976634767754683</v>
      </c>
      <c r="F76" s="112"/>
    </row>
    <row r="77" spans="1:6" x14ac:dyDescent="0.25">
      <c r="A77" s="469" t="s">
        <v>10</v>
      </c>
      <c r="B77" s="470"/>
      <c r="C77" s="470"/>
      <c r="D77" s="470"/>
      <c r="E77" s="470"/>
      <c r="F77" s="471"/>
    </row>
    <row r="78" spans="1:6" x14ac:dyDescent="0.25">
      <c r="A78" s="469"/>
      <c r="B78" s="470"/>
      <c r="C78" s="470"/>
      <c r="D78" s="470"/>
      <c r="E78" s="470"/>
      <c r="F78" s="471"/>
    </row>
    <row r="79" spans="1:6" ht="15.75" thickBot="1" x14ac:dyDescent="0.3">
      <c r="A79" s="472"/>
      <c r="B79" s="473"/>
      <c r="C79" s="473"/>
      <c r="D79" s="473"/>
      <c r="E79" s="473"/>
      <c r="F79" s="474"/>
    </row>
    <row r="83" spans="1:5" ht="15.75" thickBot="1" x14ac:dyDescent="0.3"/>
    <row r="84" spans="1:5" ht="15.75" x14ac:dyDescent="0.25">
      <c r="A84" s="356" t="s">
        <v>1159</v>
      </c>
      <c r="B84" s="360">
        <f>I2</f>
        <v>0</v>
      </c>
      <c r="D84" t="s">
        <v>1162</v>
      </c>
      <c r="E84" s="372">
        <f>I14</f>
        <v>0</v>
      </c>
    </row>
    <row r="85" spans="1:5" ht="15.75" x14ac:dyDescent="0.25">
      <c r="A85" s="5" t="s">
        <v>1160</v>
      </c>
      <c r="B85" s="361">
        <f>I3</f>
        <v>0</v>
      </c>
      <c r="C85" s="363"/>
      <c r="D85" t="s">
        <v>1165</v>
      </c>
      <c r="E85" s="367">
        <f>I15</f>
        <v>0</v>
      </c>
    </row>
    <row r="86" spans="1:5" ht="16.5" thickBot="1" x14ac:dyDescent="0.3">
      <c r="A86" s="358" t="s">
        <v>1161</v>
      </c>
      <c r="B86" s="362">
        <f>I4</f>
        <v>0</v>
      </c>
      <c r="C86" s="363"/>
      <c r="D86" s="363"/>
    </row>
    <row r="87" spans="1:5" ht="15.75" thickBot="1" x14ac:dyDescent="0.3">
      <c r="A87"/>
      <c r="B87" s="363"/>
      <c r="C87" s="363"/>
      <c r="D87" s="363"/>
    </row>
    <row r="88" spans="1:5" x14ac:dyDescent="0.25">
      <c r="A88" s="433" t="s">
        <v>1163</v>
      </c>
      <c r="B88" s="434"/>
      <c r="C88" s="434"/>
      <c r="D88" s="435"/>
    </row>
    <row r="89" spans="1:5" x14ac:dyDescent="0.25">
      <c r="A89" s="366" t="s">
        <v>458</v>
      </c>
      <c r="B89" s="364" t="s">
        <v>460</v>
      </c>
      <c r="C89" s="364" t="s">
        <v>1</v>
      </c>
      <c r="D89" s="365" t="s">
        <v>1164</v>
      </c>
    </row>
    <row r="90" spans="1:5" x14ac:dyDescent="0.25">
      <c r="A90" s="368">
        <f>H8</f>
        <v>0</v>
      </c>
      <c r="B90" s="368">
        <f t="shared" ref="B90:D90" si="1">I8</f>
        <v>0</v>
      </c>
      <c r="C90" s="368">
        <f t="shared" si="1"/>
        <v>0</v>
      </c>
      <c r="D90" s="368">
        <f t="shared" si="1"/>
        <v>0</v>
      </c>
    </row>
    <row r="91" spans="1:5" x14ac:dyDescent="0.25">
      <c r="A91" s="368">
        <f t="shared" ref="A91:A93" si="2">H9</f>
        <v>0</v>
      </c>
      <c r="B91" s="368">
        <f t="shared" ref="B91:B93" si="3">I9</f>
        <v>0</v>
      </c>
      <c r="C91" s="368">
        <f t="shared" ref="C91:C93" si="4">J9</f>
        <v>0</v>
      </c>
      <c r="D91" s="368">
        <f t="shared" ref="D91:D93" si="5">K9</f>
        <v>0</v>
      </c>
    </row>
    <row r="92" spans="1:5" x14ac:dyDescent="0.25">
      <c r="A92" s="368">
        <f t="shared" si="2"/>
        <v>0</v>
      </c>
      <c r="B92" s="368">
        <f t="shared" si="3"/>
        <v>0</v>
      </c>
      <c r="C92" s="368">
        <f t="shared" si="4"/>
        <v>0</v>
      </c>
      <c r="D92" s="368">
        <f t="shared" si="5"/>
        <v>0</v>
      </c>
    </row>
    <row r="93" spans="1:5" x14ac:dyDescent="0.25">
      <c r="A93" s="368">
        <f t="shared" si="2"/>
        <v>0</v>
      </c>
      <c r="B93" s="368">
        <f t="shared" si="3"/>
        <v>0</v>
      </c>
      <c r="C93" s="368">
        <f t="shared" si="4"/>
        <v>0</v>
      </c>
      <c r="D93" s="368">
        <f t="shared" si="5"/>
        <v>0</v>
      </c>
    </row>
  </sheetData>
  <mergeCells count="41">
    <mergeCell ref="A88:D88"/>
    <mergeCell ref="B76:C76"/>
    <mergeCell ref="A77:F77"/>
    <mergeCell ref="A78:F78"/>
    <mergeCell ref="A79:F79"/>
    <mergeCell ref="B71:C71"/>
    <mergeCell ref="B72:C72"/>
    <mergeCell ref="B73:C73"/>
    <mergeCell ref="B74:C74"/>
    <mergeCell ref="B75:C75"/>
    <mergeCell ref="A13:F13"/>
    <mergeCell ref="B14:C14"/>
    <mergeCell ref="B15:C15"/>
    <mergeCell ref="E15:F15"/>
    <mergeCell ref="E14:F14"/>
    <mergeCell ref="E12:F12"/>
    <mergeCell ref="A8:B8"/>
    <mergeCell ref="A9:B9"/>
    <mergeCell ref="A10:B10"/>
    <mergeCell ref="A11:B11"/>
    <mergeCell ref="A12:B12"/>
    <mergeCell ref="E8:F8"/>
    <mergeCell ref="E9:F9"/>
    <mergeCell ref="E10:F10"/>
    <mergeCell ref="E11:F11"/>
    <mergeCell ref="E7:F7"/>
    <mergeCell ref="A7:B7"/>
    <mergeCell ref="A6:B6"/>
    <mergeCell ref="E6:F6"/>
    <mergeCell ref="A2:B2"/>
    <mergeCell ref="A3:B3"/>
    <mergeCell ref="A4:B4"/>
    <mergeCell ref="A5:B5"/>
    <mergeCell ref="E2:F2"/>
    <mergeCell ref="E3:F3"/>
    <mergeCell ref="H6:K6"/>
    <mergeCell ref="H1:J1"/>
    <mergeCell ref="K1:L1"/>
    <mergeCell ref="E4:F4"/>
    <mergeCell ref="E5:F5"/>
    <mergeCell ref="A1:F1"/>
  </mergeCells>
  <conditionalFormatting sqref="B74:C74">
    <cfRule type="cellIs" dxfId="53" priority="7" operator="lessThan">
      <formula>120</formula>
    </cfRule>
    <cfRule type="cellIs" dxfId="52" priority="8" operator="greaterThan">
      <formula>119</formula>
    </cfRule>
  </conditionalFormatting>
  <conditionalFormatting sqref="B76:C76">
    <cfRule type="cellIs" dxfId="51" priority="5" operator="lessThan">
      <formula>0.17</formula>
    </cfRule>
    <cfRule type="cellIs" dxfId="50" priority="6" operator="greaterThan">
      <formula>0.1699</formula>
    </cfRule>
  </conditionalFormatting>
  <conditionalFormatting sqref="E85">
    <cfRule type="cellIs" dxfId="49" priority="1" operator="greaterThan">
      <formula>$I$14</formula>
    </cfRule>
    <cfRule type="cellIs" dxfId="48" priority="2" operator="lessThan">
      <formula>$I$14</formula>
    </cfRule>
  </conditionalFormatting>
  <conditionalFormatting sqref="I15">
    <cfRule type="cellIs" dxfId="47" priority="3" operator="greaterThan">
      <formula>$I$14</formula>
    </cfRule>
    <cfRule type="cellIs" dxfId="46" priority="4" operator="lessThan">
      <formula>$I$14</formula>
    </cfRule>
  </conditionalFormatting>
  <dataValidations count="2">
    <dataValidation type="list" allowBlank="1" showInputMessage="1" showErrorMessage="1" sqref="K1:L1" xr:uid="{941C6BB6-EA95-489F-922D-0429F1B88663}">
      <formula1>"SA36, SA516, 304/L, 316/L"</formula1>
    </dataValidation>
    <dataValidation type="list" allowBlank="1" showInputMessage="1" showErrorMessage="1" sqref="I3" xr:uid="{7855B5E3-6CAE-4913-A6CD-B565E0439427}">
      <formula1>"OD, ID"</formula1>
    </dataValidation>
  </dataValidations>
  <hyperlinks>
    <hyperlink ref="A8" location="MASTER!A1" display="API" xr:uid="{031F819C-97F6-4A69-9CB5-3D80A1BD01A4}"/>
    <hyperlink ref="A9" location="MASTER!A46:T87" display="ASME" xr:uid="{1A4221E3-2796-40E4-A619-5A5AAF658C1B}"/>
    <hyperlink ref="A10" location="MASTER!A96:T134" display="FLAT TOP / CONE BOTTOM" xr:uid="{9E4B37B8-DBC9-422F-AD77-223C84E1327D}"/>
    <hyperlink ref="A11" location="MASTER!A191:T232" display="HORIZONTAL" xr:uid="{B904F7F0-BA4C-400F-B173-7711912A45AD}"/>
    <hyperlink ref="A12" location="MASTER!A140:T181" display="FIELD KIT" xr:uid="{C04BF020-58B1-4D2D-BDD7-B6446F5B71CA}"/>
    <hyperlink ref="C8" location="MASTER!AX1:BU41" display="150# FLANGES" xr:uid="{4ABC0BF3-ED37-4DD4-A8C4-D488AB7A60EC}"/>
    <hyperlink ref="C9" location="MASTER!AX45:BU84" display="300# FLANGES" xr:uid="{0FCC4AD1-384D-40A2-9FC0-8834D77CE155}"/>
    <hyperlink ref="C10" location="MASTER!AX90:BU129" display="WELDED PIPE" xr:uid="{52040CEE-F11D-4652-B705-E948F2772BF8}"/>
    <hyperlink ref="C11" location="MASTER!AX135:BU174" display="SEAMLESS PIPE" xr:uid="{3A211BDD-DC4D-498A-936C-A0039581C55D}"/>
    <hyperlink ref="C12" location="MASTER!AX180:BU219" display="MISCELLANEOUS/PAD FLANGE" xr:uid="{9582F157-E69F-4360-8C7B-4C1738E039A1}"/>
    <hyperlink ref="D8" location="MASTER!BX1:DA41" display="150# FLANGES" xr:uid="{D4D37D7C-50EB-4AC3-9417-32B64F966B01}"/>
    <hyperlink ref="D9" location="MASTER!BX45:DA84" display="300# FLANGES" xr:uid="{E6A118B7-0345-4055-96B9-3C91AA8B2ABD}"/>
    <hyperlink ref="D10" location="MASTER!BX90:DA129" display="WELDED PIPE" xr:uid="{B1A28E76-2EB2-4E5B-A242-57C0CE2C980C}"/>
    <hyperlink ref="D11" location="MASTER!BX135:DA174" display="SEAMLESS PIPE" xr:uid="{110D4F6C-67D8-4CD2-A0A2-2F9878FC7319}"/>
    <hyperlink ref="D12" location="MASTER!BX180:DA219" display="MISCELLANEOUS" xr:uid="{D1CDD4B6-96AC-49AD-B905-F29059F602F2}"/>
    <hyperlink ref="E9" location="MASTER!X45:BA84" display="300# FLANGES" xr:uid="{758DD849-A9C5-4FCE-8DDB-50618AF682C5}"/>
    <hyperlink ref="E10" location="MASTER!X90:BA129" display="WELDED PIPE" xr:uid="{6B4F60B9-97AA-45C5-9F79-370DD7DD7525}"/>
    <hyperlink ref="E11" location="MASTER!X135:BA174" display="SEAMLESS PIPE" xr:uid="{99E5124F-92F3-4922-89E3-E0752B368B28}"/>
    <hyperlink ref="E12" location="MASTER!X180:BA219" display="MISCELLANEOUS" xr:uid="{DF722089-1949-4883-8206-5BE70BBD372E}"/>
    <hyperlink ref="A6:B6" location="MASTER!A303:V344" display="SHEET CALCULATOR" xr:uid="{3D63DDFD-E2E5-4B82-8EC0-8CB1CDF56E3F}"/>
    <hyperlink ref="C6" location="MASTER!A237:V262" display="ADD-ONS" xr:uid="{9AF84587-D762-4FFB-B44C-D91C997D90E9}"/>
    <hyperlink ref="D6" location="MASTER!A262:V303" display="NOTES" xr:uid="{8027C88F-B049-470F-A612-D14706B1B050}"/>
    <hyperlink ref="A3:B3" location="MASTER!CW1:DZ40" display="CST SHELL ROLLING" xr:uid="{970BFAE7-C658-4DC4-81E8-8058456276DE}"/>
    <hyperlink ref="A2:B2" location="MASTER!CW44:DZ80" display="SS SHELL ROLLING" xr:uid="{1FFC8FAD-4263-4B48-9527-57956C0D5625}"/>
    <hyperlink ref="A4:B4" location="MASTER!CW161:DZ194" display="LEGS" xr:uid="{0B48FFA8-75B8-40B5-AF43-5D364295588B}"/>
    <hyperlink ref="A5:B5" location="MASTER!EA1:FF38" display="SADDLES/SKIRT/LUGS" xr:uid="{928C7B03-9607-41F2-8A30-FFFCEE13D685}"/>
    <hyperlink ref="E2:F2" location="MASTER!FF1:GG34" display="NOZZLES" xr:uid="{7B3D22B8-921C-48F4-AA58-2A85663E90B3}"/>
    <hyperlink ref="D2" location="MASTER!GG46:HA80" display="RINGS" xr:uid="{89B59B65-566C-4AAB-9C70-93C6EDFA9EF7}"/>
    <hyperlink ref="D3" location="MASTER!HA1:IA36" display="BAFFLES" xr:uid="{5D66C58C-CCBD-47E5-BFB8-358E0130DF29}"/>
    <hyperlink ref="E3:F3" location="MASTER!IB1:JA33" display="HALF PIPE JACKET" xr:uid="{054A05F0-189E-4960-9F73-32EBA0FF6CBD}"/>
    <hyperlink ref="E5:F5" location="MASTER!JZ1:KX32" display="INTERNAL COIL" xr:uid="{0DBE180E-AC8A-4851-95A5-D5FF7EBC28DE}"/>
    <hyperlink ref="E4:F4" location="MASTER!JB1:JX32" display="DIMPLE JACKET" xr:uid="{7FEFA558-2E58-461D-B383-854E6A8199C5}"/>
    <hyperlink ref="D4" location="MASTER!GG1:HA38" display="POLISHING" xr:uid="{FF0D543A-D43D-437B-9D05-F093DEB0DBE3}"/>
    <hyperlink ref="C4" location="MASTER!KZ1:LX32" display="LADDER, HANDRAIL, PLATFORM" xr:uid="{B05F78D8-8203-47CC-9BE2-7ADAEBF12D7A}"/>
    <hyperlink ref="C2" location="MASTER!CW88:DZ124" display="API TOP, BOTTOM, RIM ANGLE" xr:uid="{0F27190D-883A-4301-9A17-37B7B9338CA1}"/>
    <hyperlink ref="C3" location="MASTER!CW127:DZ165" display="HEADS/SHELL SEAMS" xr:uid="{A9DC2667-4C82-4390-B564-CA8CD9EE4566}"/>
    <hyperlink ref="E8:F8" location="MASTER!X1:AV30" display="150# FLANGES" xr:uid="{BBE672CF-FE0E-47C3-885C-29BCBF5172FE}"/>
    <hyperlink ref="D5" location="FINISHING!A1" display="Finishing" xr:uid="{F3633457-210E-41FA-BD17-FFCF2E72B63E}"/>
    <hyperlink ref="C5" location="MASTER!JA62" display="CONVENTIONAL JACKETS" xr:uid="{19A02052-C93D-4A6D-AD0C-A7D45D6D3A45}"/>
  </hyperlinks>
  <printOptions horizontalCentered="1"/>
  <pageMargins left="0.25" right="0.25" top="0.75" bottom="0.75" header="0.3" footer="0.3"/>
  <pageSetup scale="86" fitToHeight="0" orientation="portrait" r:id="rId1"/>
  <headerFooter>
    <oddFooter>&amp;Z&amp;F&amp;RPage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6B325-4AAA-42EB-9525-122058D50B44}">
  <sheetPr>
    <tabColor theme="0"/>
  </sheetPr>
  <dimension ref="A1:LL347"/>
  <sheetViews>
    <sheetView topLeftCell="A234" zoomScaleNormal="100" workbookViewId="0">
      <selection activeCell="C243" sqref="C243"/>
    </sheetView>
  </sheetViews>
  <sheetFormatPr defaultRowHeight="15" x14ac:dyDescent="0.25"/>
  <cols>
    <col min="1" max="1" width="19.28515625" bestFit="1" customWidth="1"/>
    <col min="2" max="2" width="4.5703125" bestFit="1" customWidth="1"/>
    <col min="3" max="3" width="37.7109375" bestFit="1" customWidth="1"/>
    <col min="4" max="4" width="9" bestFit="1" customWidth="1"/>
    <col min="5" max="5" width="5.42578125" bestFit="1" customWidth="1"/>
    <col min="6" max="6" width="6.85546875" bestFit="1" customWidth="1"/>
    <col min="8" max="8" width="19.28515625" bestFit="1" customWidth="1"/>
    <col min="9" max="9" width="4.5703125" bestFit="1" customWidth="1"/>
    <col min="10" max="10" width="37.7109375" bestFit="1" customWidth="1"/>
    <col min="11" max="11" width="14.85546875" bestFit="1" customWidth="1"/>
    <col min="12" max="12" width="5.42578125" bestFit="1" customWidth="1"/>
    <col min="13" max="13" width="6.85546875" bestFit="1" customWidth="1"/>
    <col min="15" max="15" width="19.28515625" bestFit="1" customWidth="1"/>
    <col min="16" max="16" width="4.5703125" bestFit="1" customWidth="1"/>
    <col min="17" max="17" width="37.7109375" bestFit="1" customWidth="1"/>
    <col min="18" max="18" width="14.85546875" bestFit="1" customWidth="1"/>
    <col min="19" max="19" width="5.42578125" bestFit="1" customWidth="1"/>
    <col min="20" max="20" width="6.85546875" bestFit="1" customWidth="1"/>
    <col min="25" max="25" width="18.7109375" bestFit="1" customWidth="1"/>
    <col min="26" max="26" width="4.85546875" bestFit="1" customWidth="1"/>
    <col min="27" max="27" width="33.28515625" bestFit="1" customWidth="1"/>
    <col min="28" max="28" width="17.140625" bestFit="1" customWidth="1"/>
    <col min="29" max="29" width="5.7109375" bestFit="1" customWidth="1"/>
    <col min="30" max="30" width="7.5703125" bestFit="1" customWidth="1"/>
    <col min="31" max="31" width="9.7109375" bestFit="1" customWidth="1"/>
    <col min="32" max="32" width="11.140625" bestFit="1" customWidth="1"/>
    <col min="34" max="34" width="16.7109375" bestFit="1" customWidth="1"/>
    <col min="35" max="35" width="4.85546875" bestFit="1" customWidth="1"/>
    <col min="36" max="36" width="32.42578125" bestFit="1" customWidth="1"/>
    <col min="37" max="37" width="13.42578125" bestFit="1" customWidth="1"/>
    <col min="38" max="38" width="5.7109375" bestFit="1" customWidth="1"/>
    <col min="39" max="39" width="7.5703125" bestFit="1" customWidth="1"/>
    <col min="40" max="40" width="9.7109375" bestFit="1" customWidth="1"/>
    <col min="41" max="41" width="11.140625" bestFit="1" customWidth="1"/>
    <col min="50" max="50" width="18.7109375" bestFit="1" customWidth="1"/>
    <col min="51" max="51" width="4.85546875" bestFit="1" customWidth="1"/>
    <col min="52" max="52" width="33.28515625" bestFit="1" customWidth="1"/>
    <col min="53" max="53" width="21.5703125" bestFit="1" customWidth="1"/>
    <col min="54" max="54" width="5.7109375" bestFit="1" customWidth="1"/>
    <col min="55" max="55" width="7.5703125" bestFit="1" customWidth="1"/>
    <col min="56" max="56" width="9.7109375" bestFit="1" customWidth="1"/>
    <col min="57" max="57" width="11.140625" bestFit="1" customWidth="1"/>
    <col min="58" max="58" width="12" bestFit="1" customWidth="1"/>
    <col min="59" max="59" width="16.7109375" bestFit="1" customWidth="1"/>
    <col min="60" max="60" width="4.85546875" bestFit="1" customWidth="1"/>
    <col min="61" max="61" width="32.42578125" bestFit="1" customWidth="1"/>
    <col min="62" max="62" width="21.5703125" bestFit="1" customWidth="1"/>
    <col min="63" max="63" width="5.7109375" bestFit="1" customWidth="1"/>
    <col min="64" max="64" width="7.5703125" bestFit="1" customWidth="1"/>
    <col min="65" max="65" width="9.7109375" bestFit="1" customWidth="1"/>
    <col min="66" max="66" width="11.140625" bestFit="1" customWidth="1"/>
    <col min="67" max="67" width="12" bestFit="1" customWidth="1"/>
    <col min="68" max="68" width="5.7109375" bestFit="1" customWidth="1"/>
    <col min="69" max="69" width="7.5703125" bestFit="1" customWidth="1"/>
    <col min="70" max="70" width="9.7109375" bestFit="1" customWidth="1"/>
    <col min="71" max="71" width="11.140625" bestFit="1" customWidth="1"/>
    <col min="76" max="76" width="18.7109375" bestFit="1" customWidth="1"/>
    <col min="77" max="77" width="4.85546875" bestFit="1" customWidth="1"/>
    <col min="78" max="78" width="33.28515625" bestFit="1" customWidth="1"/>
    <col min="79" max="79" width="21.5703125" bestFit="1" customWidth="1"/>
    <col min="80" max="80" width="5.7109375" bestFit="1" customWidth="1"/>
    <col min="81" max="81" width="7.5703125" bestFit="1" customWidth="1"/>
    <col min="82" max="82" width="9.7109375" bestFit="1" customWidth="1"/>
    <col min="83" max="83" width="11.140625" bestFit="1" customWidth="1"/>
    <col min="84" max="84" width="12" bestFit="1" customWidth="1"/>
    <col min="85" max="85" width="16.7109375" bestFit="1" customWidth="1"/>
    <col min="86" max="86" width="4.85546875" bestFit="1" customWidth="1"/>
    <col min="87" max="87" width="32.42578125" bestFit="1" customWidth="1"/>
    <col min="88" max="88" width="21.5703125" bestFit="1" customWidth="1"/>
    <col min="89" max="89" width="5.7109375" bestFit="1" customWidth="1"/>
    <col min="90" max="90" width="7.5703125" bestFit="1" customWidth="1"/>
    <col min="91" max="91" width="9.7109375" bestFit="1" customWidth="1"/>
    <col min="92" max="92" width="11.140625" bestFit="1" customWidth="1"/>
    <col min="93" max="93" width="12" bestFit="1" customWidth="1"/>
    <col min="94" max="94" width="5.7109375" bestFit="1" customWidth="1"/>
    <col min="95" max="95" width="7.5703125" bestFit="1" customWidth="1"/>
    <col min="96" max="96" width="9.7109375" bestFit="1" customWidth="1"/>
    <col min="97" max="97" width="11.140625" bestFit="1" customWidth="1"/>
    <col min="102" max="102" width="21" bestFit="1" customWidth="1"/>
    <col min="103" max="103" width="19.7109375" bestFit="1" customWidth="1"/>
    <col min="112" max="112" width="9" bestFit="1" customWidth="1"/>
    <col min="113" max="113" width="9.7109375" customWidth="1"/>
    <col min="116" max="116" width="8.5703125" bestFit="1" customWidth="1"/>
    <col min="149" max="149" width="10.5703125" bestFit="1" customWidth="1"/>
    <col min="153" max="153" width="11.140625" bestFit="1" customWidth="1"/>
    <col min="154" max="154" width="11.7109375" bestFit="1" customWidth="1"/>
    <col min="155" max="155" width="10.5703125" customWidth="1"/>
    <col min="156" max="156" width="10.85546875" customWidth="1"/>
    <col min="157" max="157" width="10.7109375" customWidth="1"/>
    <col min="158" max="158" width="2" customWidth="1"/>
    <col min="160" max="160" width="11.42578125" customWidth="1"/>
    <col min="162" max="162" width="16.140625" customWidth="1"/>
    <col min="163" max="163" width="11" bestFit="1" customWidth="1"/>
    <col min="164" max="164" width="11.5703125" bestFit="1" customWidth="1"/>
    <col min="165" max="165" width="5.42578125" customWidth="1"/>
    <col min="166" max="166" width="7.5703125" bestFit="1" customWidth="1"/>
    <col min="167" max="167" width="9" bestFit="1" customWidth="1"/>
    <col min="168" max="168" width="11.28515625" bestFit="1" customWidth="1"/>
    <col min="169" max="169" width="6.5703125" bestFit="1" customWidth="1"/>
    <col min="170" max="170" width="12.5703125" bestFit="1" customWidth="1"/>
    <col min="171" max="171" width="20.42578125" bestFit="1" customWidth="1"/>
    <col min="172" max="172" width="9.85546875" customWidth="1"/>
    <col min="173" max="173" width="14.5703125" bestFit="1" customWidth="1"/>
    <col min="174" max="174" width="6.5703125" bestFit="1" customWidth="1"/>
    <col min="175" max="175" width="7.85546875" bestFit="1" customWidth="1"/>
    <col min="176" max="176" width="5.7109375" bestFit="1" customWidth="1"/>
    <col min="177" max="177" width="11.5703125" bestFit="1" customWidth="1"/>
    <col min="178" max="178" width="12.140625" bestFit="1" customWidth="1"/>
    <col min="186" max="186" width="14.28515625" bestFit="1" customWidth="1"/>
    <col min="190" max="190" width="24.42578125" bestFit="1" customWidth="1"/>
    <col min="191" max="191" width="18.140625" bestFit="1" customWidth="1"/>
    <col min="192" max="192" width="15.5703125" bestFit="1" customWidth="1"/>
    <col min="193" max="193" width="15.140625" bestFit="1" customWidth="1"/>
    <col min="194" max="195" width="16.5703125" bestFit="1" customWidth="1"/>
    <col min="196" max="196" width="10.85546875" bestFit="1" customWidth="1"/>
    <col min="197" max="197" width="26.5703125" bestFit="1" customWidth="1"/>
    <col min="199" max="199" width="15.140625" bestFit="1" customWidth="1"/>
    <col min="200" max="200" width="14.85546875" bestFit="1" customWidth="1"/>
    <col min="201" max="201" width="17.5703125" bestFit="1" customWidth="1"/>
    <col min="202" max="202" width="16.5703125" bestFit="1" customWidth="1"/>
    <col min="203" max="203" width="9" customWidth="1"/>
    <col min="204" max="205" width="14" bestFit="1" customWidth="1"/>
    <col min="206" max="206" width="30.28515625" bestFit="1" customWidth="1"/>
    <col min="208" max="208" width="14" bestFit="1" customWidth="1"/>
    <col min="210" max="210" width="12.7109375" bestFit="1" customWidth="1"/>
    <col min="211" max="211" width="10.85546875" bestFit="1" customWidth="1"/>
    <col min="212" max="212" width="19.7109375" bestFit="1" customWidth="1"/>
    <col min="214" max="214" width="18.28515625" bestFit="1" customWidth="1"/>
    <col min="215" max="215" width="14.7109375" bestFit="1" customWidth="1"/>
    <col min="216" max="216" width="17.140625" bestFit="1" customWidth="1"/>
    <col min="217" max="217" width="14.140625" bestFit="1" customWidth="1"/>
    <col min="237" max="237" width="21.42578125" bestFit="1" customWidth="1"/>
    <col min="238" max="238" width="12.42578125" bestFit="1" customWidth="1"/>
    <col min="239" max="239" width="9.5703125" bestFit="1" customWidth="1"/>
    <col min="240" max="240" width="35.7109375" bestFit="1" customWidth="1"/>
    <col min="242" max="244" width="14" bestFit="1" customWidth="1"/>
    <col min="245" max="246" width="11.140625" bestFit="1" customWidth="1"/>
    <col min="248" max="248" width="11.140625" bestFit="1" customWidth="1"/>
    <col min="262" max="262" width="37" bestFit="1" customWidth="1"/>
    <col min="263" max="263" width="14.42578125" bestFit="1" customWidth="1"/>
    <col min="264" max="264" width="35.28515625" bestFit="1" customWidth="1"/>
    <col min="265" max="265" width="18.140625" bestFit="1" customWidth="1"/>
    <col min="266" max="266" width="17" bestFit="1" customWidth="1"/>
    <col min="267" max="267" width="12.5703125" bestFit="1" customWidth="1"/>
    <col min="268" max="268" width="11" bestFit="1" customWidth="1"/>
    <col min="269" max="269" width="11.140625" bestFit="1" customWidth="1"/>
    <col min="286" max="286" width="13.28515625" bestFit="1" customWidth="1"/>
    <col min="287" max="287" width="9.5703125" bestFit="1" customWidth="1"/>
    <col min="288" max="288" width="16.5703125" bestFit="1" customWidth="1"/>
    <col min="289" max="289" width="9.85546875" bestFit="1" customWidth="1"/>
    <col min="290" max="290" width="21.140625" bestFit="1" customWidth="1"/>
    <col min="291" max="291" width="29.140625" bestFit="1" customWidth="1"/>
    <col min="293" max="293" width="13.85546875" bestFit="1" customWidth="1"/>
    <col min="294" max="294" width="10.28515625" bestFit="1" customWidth="1"/>
    <col min="295" max="295" width="18.140625" bestFit="1" customWidth="1"/>
    <col min="296" max="296" width="17.42578125" bestFit="1" customWidth="1"/>
    <col min="312" max="312" width="19.28515625" bestFit="1" customWidth="1"/>
    <col min="313" max="313" width="8.85546875" customWidth="1"/>
    <col min="314" max="314" width="13.140625" bestFit="1" customWidth="1"/>
    <col min="315" max="315" width="19.7109375" bestFit="1" customWidth="1"/>
    <col min="317" max="317" width="6.42578125" bestFit="1" customWidth="1"/>
    <col min="320" max="320" width="19.7109375" bestFit="1" customWidth="1"/>
    <col min="321" max="321" width="16.42578125" bestFit="1" customWidth="1"/>
    <col min="322" max="322" width="22" bestFit="1" customWidth="1"/>
    <col min="323" max="323" width="12.140625" customWidth="1"/>
    <col min="324" max="324" width="14.5703125" bestFit="1" customWidth="1"/>
  </cols>
  <sheetData>
    <row r="1" spans="1:324" ht="49.5" x14ac:dyDescent="0.55000000000000004">
      <c r="A1" s="567" t="s">
        <v>249</v>
      </c>
      <c r="B1" s="567"/>
      <c r="C1" s="567"/>
      <c r="D1" s="567"/>
      <c r="E1" s="567"/>
      <c r="F1" s="567"/>
      <c r="G1" s="75"/>
      <c r="H1" s="567" t="s">
        <v>249</v>
      </c>
      <c r="I1" s="567"/>
      <c r="J1" s="567"/>
      <c r="K1" s="567"/>
      <c r="L1" s="567"/>
      <c r="M1" s="567"/>
      <c r="N1" s="75"/>
      <c r="O1" s="567" t="s">
        <v>249</v>
      </c>
      <c r="P1" s="567"/>
      <c r="Q1" s="567"/>
      <c r="R1" s="567"/>
      <c r="S1" s="567"/>
      <c r="T1" s="567"/>
      <c r="Y1" s="577" t="s">
        <v>607</v>
      </c>
      <c r="Z1" s="436"/>
      <c r="AA1" s="436"/>
      <c r="AB1" s="436"/>
      <c r="AC1" s="436"/>
      <c r="AD1" s="436"/>
      <c r="AE1" s="436"/>
      <c r="AF1" s="436"/>
      <c r="AG1" s="436"/>
      <c r="AH1" s="436"/>
      <c r="AI1" s="436"/>
      <c r="AJ1" s="436"/>
      <c r="AK1" s="436"/>
      <c r="AL1" s="436"/>
      <c r="AM1" s="436"/>
      <c r="AN1" s="436"/>
      <c r="AO1" s="436"/>
      <c r="AX1" s="577" t="s">
        <v>700</v>
      </c>
      <c r="AY1" s="436"/>
      <c r="AZ1" s="436"/>
      <c r="BA1" s="436"/>
      <c r="BB1" s="436"/>
      <c r="BC1" s="436"/>
      <c r="BD1" s="436"/>
      <c r="BE1" s="436"/>
      <c r="BF1" s="436"/>
      <c r="BG1" s="436"/>
      <c r="BH1" s="436"/>
      <c r="BI1" s="436"/>
      <c r="BJ1" s="436"/>
      <c r="BK1" s="436"/>
      <c r="BL1" s="436"/>
      <c r="BM1" s="436"/>
      <c r="BN1" s="436"/>
      <c r="BX1" s="577" t="s">
        <v>722</v>
      </c>
      <c r="BY1" s="436"/>
      <c r="BZ1" s="436"/>
      <c r="CA1" s="436"/>
      <c r="CB1" s="436"/>
      <c r="CC1" s="436"/>
      <c r="CD1" s="436"/>
      <c r="CE1" s="436"/>
      <c r="CF1" s="436"/>
      <c r="CG1" s="436"/>
      <c r="CH1" s="436"/>
      <c r="CI1" s="436"/>
      <c r="CJ1" s="436"/>
      <c r="CK1" s="436"/>
      <c r="CL1" s="436"/>
      <c r="CM1" s="436"/>
      <c r="CN1" s="436"/>
      <c r="EB1" s="378" t="s">
        <v>891</v>
      </c>
      <c r="EC1" s="1"/>
      <c r="ED1" s="1"/>
      <c r="EE1" s="1"/>
      <c r="EF1" s="1"/>
      <c r="EG1" s="1"/>
      <c r="EH1" s="1"/>
      <c r="EI1" s="1"/>
      <c r="EJ1" s="1"/>
      <c r="EK1" s="1"/>
      <c r="EL1" s="1"/>
      <c r="EM1" s="1"/>
      <c r="EN1" s="1"/>
      <c r="EO1" s="1"/>
      <c r="EP1" s="302"/>
      <c r="ES1" s="401" t="s">
        <v>848</v>
      </c>
      <c r="ET1" s="402" t="s">
        <v>920</v>
      </c>
      <c r="EU1" s="402" t="s">
        <v>921</v>
      </c>
      <c r="EV1" s="402"/>
      <c r="EW1" s="403" t="s">
        <v>1220</v>
      </c>
      <c r="EX1" s="403" t="s">
        <v>922</v>
      </c>
      <c r="EY1" s="403" t="s">
        <v>923</v>
      </c>
      <c r="EZ1" s="404" t="s">
        <v>924</v>
      </c>
      <c r="FG1" s="531" t="s">
        <v>958</v>
      </c>
      <c r="FH1" s="531"/>
      <c r="FI1" s="531"/>
      <c r="FJ1" s="531"/>
      <c r="FK1" s="531"/>
      <c r="FL1" s="531"/>
      <c r="FM1" s="531"/>
      <c r="FN1" s="531"/>
      <c r="FO1" s="531"/>
      <c r="FP1" s="531"/>
      <c r="FQ1" s="531"/>
      <c r="FR1" s="531"/>
      <c r="FS1" s="531"/>
      <c r="FT1" s="531"/>
      <c r="FU1" s="531"/>
      <c r="FV1" s="531"/>
      <c r="FW1" s="531"/>
      <c r="FX1" s="531"/>
      <c r="FY1" s="531"/>
      <c r="FZ1" s="531"/>
      <c r="GA1" s="531"/>
      <c r="GB1" s="531"/>
      <c r="GC1" s="531"/>
      <c r="GD1" s="531"/>
      <c r="HB1" s="405" t="s">
        <v>1015</v>
      </c>
      <c r="HC1" s="159" t="s">
        <v>1000</v>
      </c>
      <c r="HD1" s="159" t="s">
        <v>1016</v>
      </c>
      <c r="HE1" s="159"/>
      <c r="HF1" s="302" t="s">
        <v>1017</v>
      </c>
      <c r="HG1" s="302" t="s">
        <v>1018</v>
      </c>
      <c r="HH1" s="302" t="s">
        <v>1019</v>
      </c>
      <c r="HI1" s="302" t="s">
        <v>1020</v>
      </c>
      <c r="IC1" s="433" t="s">
        <v>1037</v>
      </c>
      <c r="ID1" s="434"/>
      <c r="IE1" s="434"/>
      <c r="IF1" s="434"/>
      <c r="IG1" s="434"/>
      <c r="IH1" s="434"/>
      <c r="II1" s="434"/>
      <c r="IJ1" s="434"/>
      <c r="IK1" s="435"/>
      <c r="JB1" s="158" t="s">
        <v>1182</v>
      </c>
      <c r="JC1" s="1"/>
      <c r="JD1" s="1"/>
      <c r="JE1" s="1"/>
      <c r="JF1" s="1"/>
      <c r="JG1" s="1"/>
      <c r="JH1" s="1"/>
      <c r="JZ1" s="405" t="s">
        <v>1062</v>
      </c>
      <c r="KA1" s="159" t="s">
        <v>1041</v>
      </c>
      <c r="KB1" s="159" t="s">
        <v>1063</v>
      </c>
      <c r="KC1" s="159" t="s">
        <v>1064</v>
      </c>
      <c r="KD1" s="159" t="s">
        <v>1065</v>
      </c>
      <c r="KE1" s="159" t="s">
        <v>1066</v>
      </c>
      <c r="KF1" s="159"/>
      <c r="KG1" s="302" t="s">
        <v>1067</v>
      </c>
      <c r="KH1" s="302" t="s">
        <v>1068</v>
      </c>
      <c r="KI1" s="302" t="s">
        <v>1069</v>
      </c>
      <c r="KJ1" s="302" t="s">
        <v>1070</v>
      </c>
      <c r="KZ1" s="506" t="s">
        <v>128</v>
      </c>
      <c r="LA1" s="507"/>
      <c r="LB1" s="507"/>
      <c r="LC1" s="507"/>
      <c r="LD1" s="507"/>
      <c r="LE1" s="508"/>
      <c r="LH1" s="506" t="s">
        <v>1081</v>
      </c>
      <c r="LI1" s="507"/>
      <c r="LJ1" s="507"/>
      <c r="LK1" s="507"/>
      <c r="LL1" s="508"/>
    </row>
    <row r="2" spans="1:324" ht="32.25" thickBot="1" x14ac:dyDescent="0.4">
      <c r="A2" s="189" t="s">
        <v>0</v>
      </c>
      <c r="B2" s="12" t="s">
        <v>1</v>
      </c>
      <c r="C2" s="143" t="s">
        <v>2</v>
      </c>
      <c r="D2" s="12" t="s">
        <v>24</v>
      </c>
      <c r="E2" s="24" t="s">
        <v>7</v>
      </c>
      <c r="F2" s="190" t="s">
        <v>9</v>
      </c>
      <c r="G2" s="75"/>
      <c r="H2" s="189" t="s">
        <v>0</v>
      </c>
      <c r="I2" s="12" t="s">
        <v>1</v>
      </c>
      <c r="J2" s="143" t="s">
        <v>2</v>
      </c>
      <c r="K2" s="12" t="s">
        <v>24</v>
      </c>
      <c r="L2" s="24" t="s">
        <v>7</v>
      </c>
      <c r="M2" s="190" t="s">
        <v>9</v>
      </c>
      <c r="N2" s="75"/>
      <c r="O2" s="189" t="s">
        <v>0</v>
      </c>
      <c r="P2" s="12" t="s">
        <v>1</v>
      </c>
      <c r="Q2" s="143" t="s">
        <v>2</v>
      </c>
      <c r="R2" s="12" t="s">
        <v>24</v>
      </c>
      <c r="S2" s="24" t="s">
        <v>7</v>
      </c>
      <c r="T2" s="190" t="s">
        <v>9</v>
      </c>
      <c r="Y2" s="578" t="s">
        <v>244</v>
      </c>
      <c r="Z2" s="578"/>
      <c r="AA2" s="578"/>
      <c r="AB2" s="578"/>
      <c r="AC2" s="578"/>
      <c r="AD2" s="578"/>
      <c r="AE2" s="578"/>
      <c r="AF2" s="578"/>
      <c r="AG2" s="78"/>
      <c r="AH2" s="578" t="s">
        <v>245</v>
      </c>
      <c r="AI2" s="578"/>
      <c r="AJ2" s="578"/>
      <c r="AK2" s="578"/>
      <c r="AL2" s="578"/>
      <c r="AM2" s="578"/>
      <c r="AN2" s="578"/>
      <c r="AO2" s="578"/>
      <c r="AX2" s="578" t="s">
        <v>244</v>
      </c>
      <c r="AY2" s="578"/>
      <c r="AZ2" s="578"/>
      <c r="BA2" s="578"/>
      <c r="BB2" s="578"/>
      <c r="BC2" s="578"/>
      <c r="BD2" s="578"/>
      <c r="BE2" s="578"/>
      <c r="BF2" s="78"/>
      <c r="BG2" s="578" t="s">
        <v>245</v>
      </c>
      <c r="BH2" s="578"/>
      <c r="BI2" s="578"/>
      <c r="BJ2" s="578"/>
      <c r="BK2" s="578"/>
      <c r="BL2" s="578"/>
      <c r="BM2" s="578"/>
      <c r="BN2" s="578"/>
      <c r="BX2" s="578" t="s">
        <v>244</v>
      </c>
      <c r="BY2" s="578"/>
      <c r="BZ2" s="578"/>
      <c r="CA2" s="578"/>
      <c r="CB2" s="578"/>
      <c r="CC2" s="578"/>
      <c r="CD2" s="578"/>
      <c r="CE2" s="578"/>
      <c r="CF2" s="78"/>
      <c r="CG2" s="578" t="s">
        <v>245</v>
      </c>
      <c r="CH2" s="578"/>
      <c r="CI2" s="578"/>
      <c r="CJ2" s="578"/>
      <c r="CK2" s="578"/>
      <c r="CL2" s="578"/>
      <c r="CM2" s="578"/>
      <c r="CN2" s="578"/>
      <c r="CX2" s="547" t="s">
        <v>733</v>
      </c>
      <c r="CY2" s="547"/>
      <c r="CZ2" s="547"/>
      <c r="DA2" s="547"/>
      <c r="DB2" s="547"/>
      <c r="DC2" s="547"/>
      <c r="DD2" s="547"/>
      <c r="DE2" s="547"/>
      <c r="DF2" s="547"/>
      <c r="DG2" s="547"/>
      <c r="DH2" s="547"/>
      <c r="DI2" s="547"/>
      <c r="DJ2" s="547"/>
      <c r="DK2" s="547"/>
      <c r="DL2" s="547"/>
      <c r="DM2" s="547"/>
      <c r="DN2" s="547"/>
      <c r="DO2" s="547"/>
      <c r="DP2" s="547"/>
      <c r="DQ2" s="547"/>
      <c r="DR2" s="547"/>
      <c r="DS2" s="547"/>
      <c r="DT2" s="547"/>
      <c r="DU2" s="547"/>
      <c r="DV2" s="547"/>
      <c r="DW2" s="547"/>
      <c r="EB2" s="1"/>
      <c r="EC2" s="1"/>
      <c r="ED2" s="1"/>
      <c r="EE2" s="1"/>
      <c r="EF2" s="1"/>
      <c r="EG2" s="1"/>
      <c r="EH2" s="1"/>
      <c r="EI2" s="1"/>
      <c r="EJ2" s="1"/>
      <c r="EK2" s="1"/>
      <c r="EL2" s="1"/>
      <c r="EM2" s="1"/>
      <c r="EN2" s="1"/>
      <c r="EO2" s="1"/>
      <c r="EP2" s="302"/>
      <c r="ES2" s="279" t="s">
        <v>905</v>
      </c>
      <c r="ET2" s="160"/>
      <c r="EU2" s="160">
        <f>ET2*EZ2</f>
        <v>0</v>
      </c>
      <c r="EV2" s="160"/>
      <c r="EW2" s="306">
        <v>2</v>
      </c>
      <c r="EX2" s="306">
        <v>4</v>
      </c>
      <c r="EY2" s="306">
        <v>1</v>
      </c>
      <c r="EZ2" s="309">
        <f>EW2+EX2+EY2</f>
        <v>7</v>
      </c>
      <c r="FG2" s="299" t="s">
        <v>933</v>
      </c>
      <c r="FH2" s="299" t="s">
        <v>934</v>
      </c>
      <c r="FI2" s="299" t="s">
        <v>935</v>
      </c>
      <c r="FJ2" s="299" t="s">
        <v>936</v>
      </c>
      <c r="FK2" s="299" t="s">
        <v>937</v>
      </c>
      <c r="FL2" s="299" t="s">
        <v>938</v>
      </c>
      <c r="FM2" s="299" t="s">
        <v>939</v>
      </c>
      <c r="FN2" s="299" t="s">
        <v>940</v>
      </c>
      <c r="FO2" s="299" t="s">
        <v>941</v>
      </c>
      <c r="FP2" s="299"/>
      <c r="FQ2" s="300" t="s">
        <v>942</v>
      </c>
      <c r="FR2" s="300" t="s">
        <v>943</v>
      </c>
      <c r="FS2" s="300" t="s">
        <v>858</v>
      </c>
      <c r="FT2" s="300" t="s">
        <v>944</v>
      </c>
      <c r="FU2" s="300" t="s">
        <v>945</v>
      </c>
      <c r="FV2" s="322" t="s">
        <v>946</v>
      </c>
      <c r="FW2" s="299" t="s">
        <v>933</v>
      </c>
      <c r="FX2" s="299"/>
      <c r="FY2" s="421" t="s">
        <v>555</v>
      </c>
      <c r="GA2" s="422" t="s">
        <v>1226</v>
      </c>
      <c r="GB2" s="299"/>
      <c r="GD2" s="319" t="s">
        <v>942</v>
      </c>
      <c r="GH2" s="158" t="s">
        <v>1224</v>
      </c>
      <c r="GI2" s="1"/>
      <c r="GJ2" s="1"/>
      <c r="GK2" s="1"/>
      <c r="GL2" s="1"/>
      <c r="GM2" s="1"/>
      <c r="GN2" s="1"/>
      <c r="GO2" s="1"/>
      <c r="GP2" s="1"/>
      <c r="GQ2" s="1"/>
      <c r="GR2" s="1"/>
      <c r="GS2" s="1"/>
      <c r="GT2" s="1"/>
      <c r="GU2" s="1"/>
      <c r="HB2" s="1" t="s">
        <v>1021</v>
      </c>
      <c r="HC2" s="1">
        <v>1</v>
      </c>
      <c r="HD2" s="1">
        <f>HC2*HI2</f>
        <v>4.5</v>
      </c>
      <c r="HE2" s="1"/>
      <c r="HF2" s="302">
        <v>1</v>
      </c>
      <c r="HG2" s="302">
        <v>0.5</v>
      </c>
      <c r="HH2" s="302">
        <v>3</v>
      </c>
      <c r="HI2" s="302">
        <f>HF2+HG2+HH2</f>
        <v>4.5</v>
      </c>
      <c r="IC2" s="39" t="s">
        <v>1038</v>
      </c>
      <c r="ID2" s="160"/>
      <c r="IE2" s="160"/>
      <c r="IF2" s="160"/>
      <c r="IG2" s="160"/>
      <c r="IH2" s="160"/>
      <c r="II2" s="160"/>
      <c r="IJ2" s="160"/>
      <c r="IK2" s="112"/>
      <c r="JB2" s="299" t="s">
        <v>1052</v>
      </c>
      <c r="JC2" s="299" t="s">
        <v>1053</v>
      </c>
      <c r="JD2" s="299" t="s">
        <v>1179</v>
      </c>
      <c r="JE2" s="299"/>
      <c r="JF2" s="300" t="s">
        <v>1043</v>
      </c>
      <c r="JG2" s="300" t="s">
        <v>1054</v>
      </c>
      <c r="JH2" s="300" t="s">
        <v>1055</v>
      </c>
      <c r="JI2" s="300" t="s">
        <v>1046</v>
      </c>
      <c r="JZ2" s="1" t="s">
        <v>859</v>
      </c>
      <c r="KA2" s="1"/>
      <c r="KB2" s="301">
        <f t="shared" ref="KB2:KB14" si="0">KG2*KA2</f>
        <v>0</v>
      </c>
      <c r="KC2" s="301">
        <f>KB2/18</f>
        <v>0</v>
      </c>
      <c r="KD2" s="1"/>
      <c r="KE2" s="301">
        <f t="shared" ref="KE2:KE14" si="1">(KA2*KH2)+(KC2*KI2)+(KD2*KJ2)</f>
        <v>0</v>
      </c>
      <c r="KF2" s="1"/>
      <c r="KG2" s="302">
        <v>6.3</v>
      </c>
      <c r="KH2" s="302">
        <v>4</v>
      </c>
      <c r="KI2" s="302">
        <v>3</v>
      </c>
      <c r="KJ2" s="302">
        <v>3</v>
      </c>
      <c r="KZ2" s="406" t="s">
        <v>1072</v>
      </c>
      <c r="LA2" s="313" t="s">
        <v>1073</v>
      </c>
      <c r="LB2" s="313" t="s">
        <v>1074</v>
      </c>
      <c r="LC2" s="313" t="s">
        <v>1075</v>
      </c>
      <c r="LD2" s="313"/>
      <c r="LE2" s="326" t="s">
        <v>1076</v>
      </c>
      <c r="LH2" s="406" t="s">
        <v>994</v>
      </c>
      <c r="LI2" s="313" t="s">
        <v>1077</v>
      </c>
      <c r="LJ2" s="313" t="s">
        <v>1078</v>
      </c>
      <c r="LK2" s="313"/>
      <c r="LL2" s="326" t="s">
        <v>1079</v>
      </c>
    </row>
    <row r="3" spans="1:324" ht="16.5" thickBot="1" x14ac:dyDescent="0.3">
      <c r="A3" s="189"/>
      <c r="B3" s="12"/>
      <c r="C3" s="143"/>
      <c r="D3" s="12"/>
      <c r="E3" s="24"/>
      <c r="F3" s="190"/>
      <c r="G3" s="75"/>
      <c r="H3" s="189"/>
      <c r="I3" s="12"/>
      <c r="J3" s="143"/>
      <c r="K3" s="12"/>
      <c r="L3" s="24"/>
      <c r="M3" s="190"/>
      <c r="N3" s="75"/>
      <c r="O3" s="189"/>
      <c r="P3" s="12"/>
      <c r="Q3" s="143"/>
      <c r="R3" s="12"/>
      <c r="S3" s="24"/>
      <c r="T3" s="190"/>
      <c r="Y3" s="6" t="s">
        <v>0</v>
      </c>
      <c r="Z3" s="7" t="s">
        <v>1</v>
      </c>
      <c r="AA3" s="7" t="s">
        <v>2</v>
      </c>
      <c r="AB3" s="7" t="s">
        <v>24</v>
      </c>
      <c r="AC3" s="154" t="s">
        <v>7</v>
      </c>
      <c r="AD3" s="81" t="s">
        <v>9</v>
      </c>
      <c r="AE3" s="7" t="s">
        <v>133</v>
      </c>
      <c r="AF3" s="46" t="s">
        <v>134</v>
      </c>
      <c r="AG3" s="75"/>
      <c r="AH3" s="27" t="s">
        <v>0</v>
      </c>
      <c r="AI3" s="28" t="s">
        <v>1</v>
      </c>
      <c r="AJ3" s="28" t="s">
        <v>2</v>
      </c>
      <c r="AK3" s="28" t="s">
        <v>24</v>
      </c>
      <c r="AL3" s="155" t="s">
        <v>7</v>
      </c>
      <c r="AM3" s="45" t="s">
        <v>9</v>
      </c>
      <c r="AN3" s="7" t="s">
        <v>133</v>
      </c>
      <c r="AO3" s="46" t="s">
        <v>134</v>
      </c>
      <c r="AQ3" s="582" t="s">
        <v>590</v>
      </c>
      <c r="AR3" s="582"/>
      <c r="AS3" s="582"/>
      <c r="AT3" s="582"/>
      <c r="AU3" s="582"/>
      <c r="AX3" s="6" t="s">
        <v>0</v>
      </c>
      <c r="AY3" s="7" t="s">
        <v>1</v>
      </c>
      <c r="AZ3" s="7" t="s">
        <v>2</v>
      </c>
      <c r="BA3" s="7" t="s">
        <v>24</v>
      </c>
      <c r="BB3" s="154" t="s">
        <v>7</v>
      </c>
      <c r="BC3" s="81" t="s">
        <v>9</v>
      </c>
      <c r="BD3" s="7" t="s">
        <v>133</v>
      </c>
      <c r="BE3" s="46" t="s">
        <v>134</v>
      </c>
      <c r="BF3" s="75"/>
      <c r="BG3" s="27" t="s">
        <v>0</v>
      </c>
      <c r="BH3" s="28" t="s">
        <v>1</v>
      </c>
      <c r="BI3" s="28" t="s">
        <v>2</v>
      </c>
      <c r="BJ3" s="28" t="s">
        <v>24</v>
      </c>
      <c r="BK3" s="155" t="s">
        <v>7</v>
      </c>
      <c r="BL3" s="45" t="s">
        <v>9</v>
      </c>
      <c r="BM3" s="7" t="s">
        <v>133</v>
      </c>
      <c r="BN3" s="46" t="s">
        <v>134</v>
      </c>
      <c r="BP3" s="582" t="s">
        <v>590</v>
      </c>
      <c r="BQ3" s="582"/>
      <c r="BR3" s="582"/>
      <c r="BS3" s="582"/>
      <c r="BT3" s="582"/>
      <c r="BX3" s="6" t="s">
        <v>0</v>
      </c>
      <c r="BY3" s="7" t="s">
        <v>1</v>
      </c>
      <c r="BZ3" s="7" t="s">
        <v>2</v>
      </c>
      <c r="CA3" s="7" t="s">
        <v>24</v>
      </c>
      <c r="CB3" s="154" t="s">
        <v>7</v>
      </c>
      <c r="CC3" s="81" t="s">
        <v>9</v>
      </c>
      <c r="CD3" s="7" t="s">
        <v>133</v>
      </c>
      <c r="CE3" s="46" t="s">
        <v>134</v>
      </c>
      <c r="CF3" s="75"/>
      <c r="CG3" s="27" t="s">
        <v>0</v>
      </c>
      <c r="CH3" s="28" t="s">
        <v>1</v>
      </c>
      <c r="CI3" s="28" t="s">
        <v>2</v>
      </c>
      <c r="CJ3" s="28" t="s">
        <v>24</v>
      </c>
      <c r="CK3" s="155" t="s">
        <v>7</v>
      </c>
      <c r="CL3" s="45" t="s">
        <v>9</v>
      </c>
      <c r="CM3" s="89" t="s">
        <v>133</v>
      </c>
      <c r="CN3" s="46" t="s">
        <v>134</v>
      </c>
      <c r="CP3" s="582" t="s">
        <v>590</v>
      </c>
      <c r="CQ3" s="582"/>
      <c r="CR3" s="582"/>
      <c r="CS3" s="582"/>
      <c r="CT3" s="582"/>
      <c r="CX3" s="548" t="s">
        <v>734</v>
      </c>
      <c r="CY3" s="550" t="s">
        <v>735</v>
      </c>
      <c r="CZ3" s="552" t="s">
        <v>1</v>
      </c>
      <c r="DA3" s="554" t="s">
        <v>736</v>
      </c>
      <c r="DB3" s="556" t="s">
        <v>737</v>
      </c>
      <c r="DC3" s="556"/>
      <c r="DD3" s="556"/>
      <c r="DE3" s="556"/>
      <c r="DF3" s="557"/>
      <c r="DG3" s="557"/>
      <c r="DH3" s="558" t="s">
        <v>738</v>
      </c>
      <c r="DI3" s="556"/>
      <c r="DJ3" s="556"/>
      <c r="DK3" s="556"/>
      <c r="DL3" s="556"/>
      <c r="DM3" s="216"/>
      <c r="DN3" s="558" t="s">
        <v>739</v>
      </c>
      <c r="DO3" s="556"/>
      <c r="DP3" s="556"/>
      <c r="DQ3" s="556"/>
      <c r="DR3" s="556"/>
      <c r="DS3" s="558" t="s">
        <v>740</v>
      </c>
      <c r="DT3" s="556"/>
      <c r="DU3" s="556"/>
      <c r="DV3" s="556"/>
      <c r="DW3" s="559"/>
      <c r="EB3" s="315" t="s">
        <v>1171</v>
      </c>
      <c r="EC3" s="1"/>
      <c r="ED3" s="1"/>
      <c r="EE3" s="1"/>
      <c r="EF3" s="1"/>
      <c r="EG3" s="1"/>
      <c r="EH3" s="1"/>
      <c r="EI3" s="1"/>
      <c r="EJ3" s="1"/>
      <c r="EK3" s="1"/>
      <c r="EL3" s="1"/>
      <c r="EM3" s="1"/>
      <c r="EN3" s="1"/>
      <c r="EO3" s="1"/>
      <c r="EP3" s="302"/>
      <c r="ES3" s="279" t="s">
        <v>906</v>
      </c>
      <c r="ET3" s="160"/>
      <c r="EU3" s="160">
        <f t="shared" ref="EU3:EU15" si="2">ET3*EZ3</f>
        <v>0</v>
      </c>
      <c r="EV3" s="160"/>
      <c r="EW3" s="306">
        <v>2</v>
      </c>
      <c r="EX3" s="306">
        <v>4</v>
      </c>
      <c r="EY3" s="306">
        <v>2</v>
      </c>
      <c r="EZ3" s="309">
        <f t="shared" ref="EZ3:EZ15" si="3">EW3+EX3+EY3</f>
        <v>8</v>
      </c>
      <c r="FG3" s="1" t="s">
        <v>214</v>
      </c>
      <c r="FH3" s="1">
        <v>1</v>
      </c>
      <c r="FI3" s="166" t="s">
        <v>463</v>
      </c>
      <c r="FJ3" s="166" t="s">
        <v>889</v>
      </c>
      <c r="FK3" s="166" t="s">
        <v>889</v>
      </c>
      <c r="FL3" s="166"/>
      <c r="FM3" s="1" t="s">
        <v>889</v>
      </c>
      <c r="FN3" s="1" t="s">
        <v>889</v>
      </c>
      <c r="FO3" s="301">
        <f t="shared" ref="FO3:FO16" si="4">(FH3*FV3)+FR3+FS3+FT3+FU3</f>
        <v>15</v>
      </c>
      <c r="FP3" s="1"/>
      <c r="FQ3" s="302" t="str">
        <f>IF(FI3=0,"0",IF(FI3="5/16","3",IF(FI3="3/8","3.3",IF(FI3="1/2","4",IF(FI3="5/8","5",IF(FI3="3/4","5.5","3"))))))</f>
        <v>3</v>
      </c>
      <c r="FR3" s="302" t="str">
        <f t="shared" ref="FR3:FS9" si="5">IF(FJ3="Yes","3","0")</f>
        <v>3</v>
      </c>
      <c r="FS3" s="302" t="str">
        <f t="shared" si="5"/>
        <v>3</v>
      </c>
      <c r="FT3" s="302" t="str">
        <f t="shared" ref="FT3:FT16" si="6">IF(FM3="Yes","2","0")</f>
        <v>2</v>
      </c>
      <c r="FU3" s="302" t="str">
        <f>IF(FN3="Yes","4","0")</f>
        <v>4</v>
      </c>
      <c r="FV3" s="324" t="str">
        <f>IF(FL3="Yes",FQ3*2,FQ3)</f>
        <v>3</v>
      </c>
      <c r="FW3" s="323" t="s">
        <v>214</v>
      </c>
      <c r="FX3" s="1"/>
      <c r="FY3" s="1" t="s">
        <v>959</v>
      </c>
      <c r="FZ3" s="1"/>
      <c r="GA3" s="1">
        <f>FV3*1.1</f>
        <v>3.3000000000000003</v>
      </c>
      <c r="GB3" s="1"/>
      <c r="GD3" s="166" t="s">
        <v>466</v>
      </c>
      <c r="GH3" s="299" t="s">
        <v>994</v>
      </c>
      <c r="GI3" s="299" t="s">
        <v>995</v>
      </c>
      <c r="GJ3" s="299" t="s">
        <v>996</v>
      </c>
      <c r="GK3" s="299" t="s">
        <v>997</v>
      </c>
      <c r="GL3" s="299" t="s">
        <v>998</v>
      </c>
      <c r="GM3" s="299" t="s">
        <v>999</v>
      </c>
      <c r="GN3" s="299" t="s">
        <v>1000</v>
      </c>
      <c r="GO3" s="299" t="s">
        <v>1001</v>
      </c>
      <c r="GP3" s="299"/>
      <c r="GQ3" s="300" t="s">
        <v>1002</v>
      </c>
      <c r="GR3" s="300" t="s">
        <v>1003</v>
      </c>
      <c r="GS3" s="300" t="s">
        <v>1004</v>
      </c>
      <c r="GT3" s="300" t="s">
        <v>1005</v>
      </c>
      <c r="GU3" s="300" t="s">
        <v>1006</v>
      </c>
      <c r="HB3" s="1" t="s">
        <v>1022</v>
      </c>
      <c r="HC3" s="1">
        <v>1</v>
      </c>
      <c r="HD3" s="1">
        <f t="shared" ref="HD3:HD17" si="7">HC3*HI3</f>
        <v>5</v>
      </c>
      <c r="HE3" s="1"/>
      <c r="HF3" s="302">
        <v>1</v>
      </c>
      <c r="HG3" s="302">
        <v>1</v>
      </c>
      <c r="HH3" s="302">
        <v>3</v>
      </c>
      <c r="HI3" s="302">
        <f t="shared" ref="HI3:HI17" si="8">HF3+HG3+HH3</f>
        <v>5</v>
      </c>
      <c r="IC3" s="314" t="s">
        <v>1039</v>
      </c>
      <c r="ID3" s="313" t="s">
        <v>1040</v>
      </c>
      <c r="IE3" s="313" t="s">
        <v>1041</v>
      </c>
      <c r="IF3" s="313" t="s">
        <v>1042</v>
      </c>
      <c r="IG3" s="313"/>
      <c r="IH3" s="325" t="s">
        <v>1043</v>
      </c>
      <c r="II3" s="325" t="s">
        <v>1044</v>
      </c>
      <c r="IJ3" s="325" t="s">
        <v>1045</v>
      </c>
      <c r="IK3" s="326" t="s">
        <v>1046</v>
      </c>
      <c r="JB3" s="1">
        <v>2</v>
      </c>
      <c r="JC3" s="1">
        <v>832</v>
      </c>
      <c r="JD3" s="301">
        <f>JF3+JG3+JH3+JI3</f>
        <v>27.244444444444444</v>
      </c>
      <c r="JE3" s="1"/>
      <c r="JF3" s="320">
        <f>JB3*6</f>
        <v>12</v>
      </c>
      <c r="JG3" s="320">
        <f>JC3/90</f>
        <v>9.2444444444444436</v>
      </c>
      <c r="JH3" s="320">
        <f>JB3*1</f>
        <v>2</v>
      </c>
      <c r="JI3" s="302">
        <f>JB3*2</f>
        <v>4</v>
      </c>
      <c r="JZ3" s="1" t="s">
        <v>861</v>
      </c>
      <c r="KA3" s="1"/>
      <c r="KB3" s="301">
        <f t="shared" si="0"/>
        <v>0</v>
      </c>
      <c r="KC3" s="301">
        <f t="shared" ref="KC3:KC14" si="9">KB3/18</f>
        <v>0</v>
      </c>
      <c r="KD3" s="1"/>
      <c r="KE3" s="301">
        <f t="shared" si="1"/>
        <v>0</v>
      </c>
      <c r="KF3" s="1"/>
      <c r="KG3" s="302">
        <v>9.4</v>
      </c>
      <c r="KH3" s="302">
        <v>4</v>
      </c>
      <c r="KI3" s="302">
        <v>3</v>
      </c>
      <c r="KJ3" s="302">
        <v>3</v>
      </c>
      <c r="KZ3" s="283"/>
      <c r="LA3" s="284"/>
      <c r="LB3" s="284">
        <f>(KZ3/10)*4</f>
        <v>0</v>
      </c>
      <c r="LC3" s="310">
        <f>(KZ3*LE3)+LB3</f>
        <v>0</v>
      </c>
      <c r="LD3" s="284"/>
      <c r="LE3" s="312" t="str">
        <f>IF(LA3="Yes","1",".5")</f>
        <v>.5</v>
      </c>
      <c r="LH3" s="283">
        <v>13</v>
      </c>
      <c r="LI3" s="284" t="s">
        <v>1080</v>
      </c>
      <c r="LJ3" s="310">
        <f>(LH3*3.14*LL3)+LH3</f>
        <v>43.615000000000002</v>
      </c>
      <c r="LK3" s="284"/>
      <c r="LL3" s="312" t="str">
        <f>IF(LI3="Round",".75",".6")</f>
        <v>.75</v>
      </c>
    </row>
    <row r="4" spans="1:324" ht="15.75" thickBot="1" x14ac:dyDescent="0.3">
      <c r="A4" s="189" t="s">
        <v>87</v>
      </c>
      <c r="B4" s="12">
        <v>1</v>
      </c>
      <c r="C4" s="86" t="s">
        <v>90</v>
      </c>
      <c r="D4" s="12" t="s">
        <v>91</v>
      </c>
      <c r="E4" s="24"/>
      <c r="F4" s="190"/>
      <c r="G4" s="75"/>
      <c r="H4" s="189" t="s">
        <v>87</v>
      </c>
      <c r="I4" s="12">
        <v>1</v>
      </c>
      <c r="J4" s="86" t="s">
        <v>90</v>
      </c>
      <c r="K4" s="12" t="s">
        <v>84</v>
      </c>
      <c r="L4" s="24"/>
      <c r="M4" s="190"/>
      <c r="N4" s="75"/>
      <c r="O4" s="189" t="s">
        <v>87</v>
      </c>
      <c r="P4" s="12">
        <v>1</v>
      </c>
      <c r="Q4" s="86" t="s">
        <v>90</v>
      </c>
      <c r="R4" s="12" t="s">
        <v>80</v>
      </c>
      <c r="S4" s="24"/>
      <c r="T4" s="190"/>
      <c r="Y4" s="10" t="s">
        <v>25</v>
      </c>
      <c r="Z4" s="11">
        <v>1</v>
      </c>
      <c r="AA4" s="10" t="s">
        <v>33</v>
      </c>
      <c r="AB4" s="11" t="s">
        <v>77</v>
      </c>
      <c r="AC4" s="151">
        <f>Z4*50</f>
        <v>50</v>
      </c>
      <c r="AD4" s="152"/>
      <c r="AE4" s="95">
        <v>45761</v>
      </c>
      <c r="AF4" s="32" t="s">
        <v>554</v>
      </c>
      <c r="AG4" s="75"/>
      <c r="AH4" s="23" t="s">
        <v>181</v>
      </c>
      <c r="AI4" s="12">
        <v>1</v>
      </c>
      <c r="AJ4" s="23" t="s">
        <v>184</v>
      </c>
      <c r="AK4" s="12" t="s">
        <v>77</v>
      </c>
      <c r="AL4" s="145">
        <f>AI4*13</f>
        <v>13</v>
      </c>
      <c r="AM4" s="50"/>
      <c r="AN4" s="95">
        <v>45475</v>
      </c>
      <c r="AO4" s="32" t="s">
        <v>554</v>
      </c>
      <c r="AQ4" s="582"/>
      <c r="AR4" s="582"/>
      <c r="AS4" s="582"/>
      <c r="AT4" s="582"/>
      <c r="AU4" s="582"/>
      <c r="AX4" s="10" t="s">
        <v>25</v>
      </c>
      <c r="AY4" s="11">
        <v>1</v>
      </c>
      <c r="AZ4" s="10" t="s">
        <v>33</v>
      </c>
      <c r="BA4" s="12" t="s">
        <v>27</v>
      </c>
      <c r="BB4" s="153">
        <f>AY4*20.25</f>
        <v>20.25</v>
      </c>
      <c r="BC4" s="16"/>
      <c r="BD4" s="95">
        <v>45776</v>
      </c>
      <c r="BE4" s="23" t="s">
        <v>336</v>
      </c>
      <c r="BF4" s="75"/>
      <c r="BG4" s="23" t="s">
        <v>181</v>
      </c>
      <c r="BH4" s="12">
        <v>1</v>
      </c>
      <c r="BI4" s="23" t="s">
        <v>184</v>
      </c>
      <c r="BJ4" s="88" t="s">
        <v>27</v>
      </c>
      <c r="BK4" s="145">
        <f>BH4*27</f>
        <v>27</v>
      </c>
      <c r="BL4" s="93"/>
      <c r="BM4" s="95">
        <v>45715</v>
      </c>
      <c r="BN4" s="106" t="s">
        <v>336</v>
      </c>
      <c r="BP4" s="582"/>
      <c r="BQ4" s="582"/>
      <c r="BR4" s="582"/>
      <c r="BS4" s="582"/>
      <c r="BT4" s="582"/>
      <c r="BX4" s="10" t="s">
        <v>25</v>
      </c>
      <c r="BY4" s="11">
        <v>1</v>
      </c>
      <c r="BZ4" s="10" t="s">
        <v>33</v>
      </c>
      <c r="CA4" s="88" t="s">
        <v>74</v>
      </c>
      <c r="CB4" s="151">
        <f>BY4*30.15</f>
        <v>30.15</v>
      </c>
      <c r="CC4" s="152"/>
      <c r="CD4" s="95">
        <v>45782</v>
      </c>
      <c r="CE4" s="32" t="s">
        <v>284</v>
      </c>
      <c r="CF4" s="75"/>
      <c r="CG4" s="23" t="s">
        <v>181</v>
      </c>
      <c r="CH4" s="12">
        <v>1</v>
      </c>
      <c r="CI4" s="23" t="s">
        <v>184</v>
      </c>
      <c r="CJ4" s="12" t="s">
        <v>74</v>
      </c>
      <c r="CK4" s="145">
        <f>CH4*39</f>
        <v>39</v>
      </c>
      <c r="CL4" s="93"/>
      <c r="CM4" s="95">
        <v>45715</v>
      </c>
      <c r="CN4" s="32" t="s">
        <v>284</v>
      </c>
      <c r="CP4" s="582"/>
      <c r="CQ4" s="582"/>
      <c r="CR4" s="582"/>
      <c r="CS4" s="582"/>
      <c r="CT4" s="582"/>
      <c r="CX4" s="549"/>
      <c r="CY4" s="551"/>
      <c r="CZ4" s="553"/>
      <c r="DA4" s="555"/>
      <c r="DB4" s="217" t="s">
        <v>741</v>
      </c>
      <c r="DC4" s="218" t="s">
        <v>742</v>
      </c>
      <c r="DD4" s="218" t="s">
        <v>743</v>
      </c>
      <c r="DE4" s="219" t="s">
        <v>744</v>
      </c>
      <c r="DF4" s="379"/>
      <c r="DG4" s="379"/>
      <c r="DH4" s="219" t="s">
        <v>746</v>
      </c>
      <c r="DI4" s="219" t="s">
        <v>742</v>
      </c>
      <c r="DJ4" s="219" t="s">
        <v>743</v>
      </c>
      <c r="DK4" s="219" t="s">
        <v>744</v>
      </c>
      <c r="DL4" s="220" t="s">
        <v>745</v>
      </c>
      <c r="DM4" s="221"/>
      <c r="DN4" s="217" t="s">
        <v>746</v>
      </c>
      <c r="DO4" s="218" t="s">
        <v>742</v>
      </c>
      <c r="DP4" s="219" t="s">
        <v>743</v>
      </c>
      <c r="DQ4" s="219" t="s">
        <v>744</v>
      </c>
      <c r="DR4" s="220" t="s">
        <v>745</v>
      </c>
      <c r="DS4" s="219" t="s">
        <v>747</v>
      </c>
      <c r="DT4" s="219" t="s">
        <v>742</v>
      </c>
      <c r="DU4" s="219" t="s">
        <v>743</v>
      </c>
      <c r="DV4" s="219" t="s">
        <v>744</v>
      </c>
      <c r="DW4" s="220" t="s">
        <v>745</v>
      </c>
      <c r="EB4" s="315" t="s">
        <v>892</v>
      </c>
      <c r="EC4" s="166"/>
      <c r="ED4" s="1"/>
      <c r="EE4" s="1"/>
      <c r="EF4" s="1"/>
      <c r="EG4" s="1"/>
      <c r="EH4" s="1"/>
      <c r="EI4" s="1"/>
      <c r="EJ4" s="1"/>
      <c r="EK4" s="1"/>
      <c r="EL4" s="1"/>
      <c r="EM4" s="1"/>
      <c r="EN4" s="1"/>
      <c r="EO4" s="1"/>
      <c r="EP4" s="302"/>
      <c r="ES4" s="279" t="s">
        <v>861</v>
      </c>
      <c r="ET4" s="160"/>
      <c r="EU4" s="160">
        <f>ET4*EZ4</f>
        <v>0</v>
      </c>
      <c r="EV4" s="160"/>
      <c r="EW4" s="306">
        <v>3</v>
      </c>
      <c r="EX4" s="306">
        <v>4</v>
      </c>
      <c r="EY4" s="306">
        <v>4</v>
      </c>
      <c r="EZ4" s="309">
        <f t="shared" si="3"/>
        <v>11</v>
      </c>
      <c r="FG4" s="1" t="s">
        <v>218</v>
      </c>
      <c r="FH4" s="1">
        <v>1</v>
      </c>
      <c r="FI4" s="166" t="s">
        <v>463</v>
      </c>
      <c r="FJ4" s="166" t="s">
        <v>889</v>
      </c>
      <c r="FK4" s="166" t="s">
        <v>889</v>
      </c>
      <c r="FL4" s="166"/>
      <c r="FM4" s="1" t="s">
        <v>889</v>
      </c>
      <c r="FN4" s="1" t="s">
        <v>889</v>
      </c>
      <c r="FO4" s="301">
        <f t="shared" si="4"/>
        <v>15</v>
      </c>
      <c r="FP4" s="1"/>
      <c r="FQ4" s="302" t="str">
        <f>IF(FI4=0,"0",IF(FI4="5/16","3",IF(FI4="3/8","3.3",IF(FI4="1/2","4",IF(FI4="5/8","5",IF(FI4="3/4","5.5","3"))))))</f>
        <v>3</v>
      </c>
      <c r="FR4" s="302" t="str">
        <f t="shared" si="5"/>
        <v>3</v>
      </c>
      <c r="FS4" s="302" t="str">
        <f t="shared" si="5"/>
        <v>3</v>
      </c>
      <c r="FT4" s="302" t="str">
        <f t="shared" si="6"/>
        <v>2</v>
      </c>
      <c r="FU4" s="302" t="str">
        <f t="shared" ref="FU4:FU16" si="10">IF(FN4="Yes","4","0")</f>
        <v>4</v>
      </c>
      <c r="FV4" s="324" t="str">
        <f t="shared" ref="FV4:FV16" si="11">IF(FL4="Yes",FQ4*2,FQ4)</f>
        <v>3</v>
      </c>
      <c r="FW4" s="323" t="s">
        <v>218</v>
      </c>
      <c r="FX4" s="1"/>
      <c r="FY4" s="1" t="s">
        <v>959</v>
      </c>
      <c r="FZ4" s="1"/>
      <c r="GA4" s="1">
        <f t="shared" ref="GA4:GA16" si="12">FV4*1.1</f>
        <v>3.3000000000000003</v>
      </c>
      <c r="GB4" s="1"/>
      <c r="GD4" s="166" t="s">
        <v>463</v>
      </c>
      <c r="GH4" s="1"/>
      <c r="GI4" s="1"/>
      <c r="GJ4" s="1"/>
      <c r="GK4" s="1"/>
      <c r="GL4" s="1"/>
      <c r="GM4" s="1"/>
      <c r="GN4" s="1"/>
      <c r="GO4" s="301">
        <f>GQ4+GR4+GS4+GT4+GU4</f>
        <v>0</v>
      </c>
      <c r="GP4" s="1"/>
      <c r="GQ4" s="320">
        <f>(GH4*3.14*GJ4)/5</f>
        <v>0</v>
      </c>
      <c r="GR4" s="320">
        <f>(GI4*GK4)/5</f>
        <v>0</v>
      </c>
      <c r="GS4" s="320">
        <f>GL4*0.5</f>
        <v>0</v>
      </c>
      <c r="GT4" s="320">
        <f>GM4*1</f>
        <v>0</v>
      </c>
      <c r="GU4" s="320">
        <f>GN4*2</f>
        <v>0</v>
      </c>
      <c r="HB4" s="1" t="s">
        <v>1023</v>
      </c>
      <c r="HC4" s="1">
        <v>1</v>
      </c>
      <c r="HD4" s="1">
        <f t="shared" si="7"/>
        <v>9.5</v>
      </c>
      <c r="HE4" s="1"/>
      <c r="HF4" s="302">
        <v>2</v>
      </c>
      <c r="HG4" s="302">
        <v>1.5</v>
      </c>
      <c r="HH4" s="302">
        <v>6</v>
      </c>
      <c r="HI4" s="302">
        <f t="shared" si="8"/>
        <v>9.5</v>
      </c>
      <c r="IC4" s="279"/>
      <c r="ID4" s="160"/>
      <c r="IE4" s="160"/>
      <c r="IF4" s="305">
        <f>IH4+II4+IK4</f>
        <v>0</v>
      </c>
      <c r="IG4" s="160"/>
      <c r="IH4" s="327">
        <f>ID4/10</f>
        <v>0</v>
      </c>
      <c r="II4" s="327">
        <f>ID4/15</f>
        <v>0</v>
      </c>
      <c r="IJ4" s="327" t="str">
        <f>IF(IC4&lt;=9,"1","1.5")</f>
        <v>1</v>
      </c>
      <c r="IK4" s="309">
        <f>IJ4*IE4</f>
        <v>0</v>
      </c>
      <c r="JB4" s="1"/>
      <c r="JC4" s="1"/>
      <c r="JD4" s="1"/>
      <c r="JE4" s="1"/>
      <c r="JF4" s="1"/>
      <c r="JG4" s="1"/>
      <c r="JH4" s="1"/>
      <c r="JZ4" s="1" t="s">
        <v>907</v>
      </c>
      <c r="KA4" s="1"/>
      <c r="KB4" s="301">
        <f t="shared" si="0"/>
        <v>0</v>
      </c>
      <c r="KC4" s="301">
        <f t="shared" si="9"/>
        <v>0</v>
      </c>
      <c r="KD4" s="1"/>
      <c r="KE4" s="301">
        <f t="shared" si="1"/>
        <v>0</v>
      </c>
      <c r="KF4" s="1"/>
      <c r="KG4" s="302">
        <v>12.6</v>
      </c>
      <c r="KH4" s="302">
        <v>4</v>
      </c>
      <c r="KI4" s="302">
        <v>3</v>
      </c>
      <c r="KJ4" s="302">
        <v>3</v>
      </c>
    </row>
    <row r="5" spans="1:324" ht="16.5" thickBot="1" x14ac:dyDescent="0.3">
      <c r="A5" s="189" t="s">
        <v>81</v>
      </c>
      <c r="B5" s="12">
        <v>1</v>
      </c>
      <c r="C5" s="86" t="s">
        <v>228</v>
      </c>
      <c r="D5" s="12" t="s">
        <v>91</v>
      </c>
      <c r="E5" s="24"/>
      <c r="F5" s="190"/>
      <c r="G5" s="75"/>
      <c r="H5" s="189" t="s">
        <v>81</v>
      </c>
      <c r="I5" s="12">
        <v>1</v>
      </c>
      <c r="J5" s="86" t="s">
        <v>228</v>
      </c>
      <c r="K5" s="12" t="s">
        <v>84</v>
      </c>
      <c r="L5" s="24"/>
      <c r="M5" s="190"/>
      <c r="N5" s="75"/>
      <c r="O5" s="189" t="s">
        <v>81</v>
      </c>
      <c r="P5" s="12">
        <v>1</v>
      </c>
      <c r="Q5" s="86" t="s">
        <v>228</v>
      </c>
      <c r="R5" s="12" t="s">
        <v>80</v>
      </c>
      <c r="S5" s="24"/>
      <c r="T5" s="190"/>
      <c r="Y5" s="14" t="s">
        <v>25</v>
      </c>
      <c r="Z5" s="12">
        <v>1</v>
      </c>
      <c r="AA5" s="14" t="s">
        <v>26</v>
      </c>
      <c r="AB5" s="12" t="s">
        <v>77</v>
      </c>
      <c r="AC5" s="153">
        <f>Z5*20</f>
        <v>20</v>
      </c>
      <c r="AD5" s="96"/>
      <c r="AE5" s="95">
        <v>45495</v>
      </c>
      <c r="AF5" s="32" t="s">
        <v>554</v>
      </c>
      <c r="AG5" s="75"/>
      <c r="AH5" s="23" t="s">
        <v>181</v>
      </c>
      <c r="AI5" s="12">
        <v>1</v>
      </c>
      <c r="AJ5" s="23" t="s">
        <v>185</v>
      </c>
      <c r="AK5" s="12" t="s">
        <v>77</v>
      </c>
      <c r="AL5" s="145">
        <f>AI5*14</f>
        <v>14</v>
      </c>
      <c r="AM5" s="50"/>
      <c r="AN5" s="95">
        <v>45475</v>
      </c>
      <c r="AO5" s="32" t="s">
        <v>554</v>
      </c>
      <c r="AQ5" s="582"/>
      <c r="AR5" s="582"/>
      <c r="AS5" s="582"/>
      <c r="AT5" s="582"/>
      <c r="AU5" s="582"/>
      <c r="AX5" s="14" t="s">
        <v>25</v>
      </c>
      <c r="AY5" s="12">
        <v>1</v>
      </c>
      <c r="AZ5" s="14" t="s">
        <v>26</v>
      </c>
      <c r="BA5" s="12" t="s">
        <v>27</v>
      </c>
      <c r="BB5" s="153">
        <f>AY5*28</f>
        <v>28</v>
      </c>
      <c r="BC5" s="96"/>
      <c r="BD5" s="95">
        <v>45715</v>
      </c>
      <c r="BE5" s="23" t="s">
        <v>336</v>
      </c>
      <c r="BF5" s="75"/>
      <c r="BG5" s="23" t="s">
        <v>181</v>
      </c>
      <c r="BH5" s="12">
        <v>1</v>
      </c>
      <c r="BI5" s="23" t="s">
        <v>185</v>
      </c>
      <c r="BJ5" s="88" t="s">
        <v>27</v>
      </c>
      <c r="BK5" s="145">
        <f>BH5*31</f>
        <v>31</v>
      </c>
      <c r="BL5" s="93"/>
      <c r="BM5" s="95">
        <v>45715</v>
      </c>
      <c r="BN5" s="106" t="s">
        <v>336</v>
      </c>
      <c r="BP5" s="582"/>
      <c r="BQ5" s="582"/>
      <c r="BR5" s="582"/>
      <c r="BS5" s="582"/>
      <c r="BT5" s="582"/>
      <c r="BX5" s="14" t="s">
        <v>25</v>
      </c>
      <c r="BY5" s="12">
        <v>1</v>
      </c>
      <c r="BZ5" s="14" t="s">
        <v>26</v>
      </c>
      <c r="CA5" s="88" t="s">
        <v>74</v>
      </c>
      <c r="CB5" s="153">
        <f>BY5*39</f>
        <v>39</v>
      </c>
      <c r="CC5" s="96"/>
      <c r="CD5" s="95">
        <v>45782</v>
      </c>
      <c r="CE5" s="32" t="s">
        <v>284</v>
      </c>
      <c r="CF5" s="75"/>
      <c r="CG5" s="23" t="s">
        <v>181</v>
      </c>
      <c r="CH5" s="12">
        <v>1</v>
      </c>
      <c r="CI5" s="23" t="s">
        <v>185</v>
      </c>
      <c r="CJ5" s="12" t="s">
        <v>74</v>
      </c>
      <c r="CK5" s="145">
        <f>CH5*39</f>
        <v>39</v>
      </c>
      <c r="CL5" s="26"/>
      <c r="CM5" s="95">
        <v>45715</v>
      </c>
      <c r="CN5" s="32" t="s">
        <v>284</v>
      </c>
      <c r="CP5" s="582"/>
      <c r="CQ5" s="582"/>
      <c r="CR5" s="582"/>
      <c r="CS5" s="582"/>
      <c r="CT5" s="582"/>
      <c r="CX5" s="222" t="s">
        <v>748</v>
      </c>
      <c r="CY5" s="223" t="s">
        <v>749</v>
      </c>
      <c r="CZ5" s="224">
        <v>1</v>
      </c>
      <c r="DA5" s="225" t="s">
        <v>750</v>
      </c>
      <c r="DB5" s="226">
        <f>CZ5*2</f>
        <v>2</v>
      </c>
      <c r="DC5" s="227">
        <v>0</v>
      </c>
      <c r="DD5" s="227">
        <v>1.75</v>
      </c>
      <c r="DE5" s="228">
        <v>1</v>
      </c>
      <c r="DF5" s="380"/>
      <c r="DG5" s="380"/>
      <c r="DH5" s="229">
        <f t="shared" ref="DH5:DH28" si="13">DB5+(1*CZ5)</f>
        <v>3</v>
      </c>
      <c r="DI5" s="227">
        <v>0</v>
      </c>
      <c r="DJ5" s="227">
        <v>1.75</v>
      </c>
      <c r="DK5" s="230">
        <v>1</v>
      </c>
      <c r="DL5" s="231">
        <f t="shared" ref="DL5:DL27" si="14">SUM(DH5:DK5)</f>
        <v>5.75</v>
      </c>
      <c r="DM5" s="232"/>
      <c r="DN5" s="229">
        <f t="shared" ref="DN5:DN27" si="15">DB5+(1.5*CZ5)</f>
        <v>3.5</v>
      </c>
      <c r="DO5" s="233">
        <v>0</v>
      </c>
      <c r="DP5" s="227">
        <v>1.75</v>
      </c>
      <c r="DQ5" s="230">
        <v>1.5</v>
      </c>
      <c r="DR5" s="231">
        <f t="shared" ref="DR5:DR27" si="16">SUM(DN5:DQ5)</f>
        <v>6.75</v>
      </c>
      <c r="DS5" s="229">
        <f>DB5+(2*CZ5)</f>
        <v>4</v>
      </c>
      <c r="DT5" s="233">
        <v>0</v>
      </c>
      <c r="DU5" s="227">
        <v>1.75</v>
      </c>
      <c r="DV5" s="230">
        <v>2</v>
      </c>
      <c r="DW5" s="231">
        <f t="shared" ref="DW5:DW26" si="17">SUM(DS5:DV5)</f>
        <v>7.75</v>
      </c>
      <c r="EB5" s="315" t="s">
        <v>893</v>
      </c>
      <c r="EC5" s="166"/>
      <c r="ED5" s="1"/>
      <c r="EE5" s="1"/>
      <c r="EF5" s="1"/>
      <c r="EG5" s="1"/>
      <c r="EH5" s="1"/>
      <c r="EI5" s="1"/>
      <c r="EJ5" s="1"/>
      <c r="EK5" s="1"/>
      <c r="EL5" s="1"/>
      <c r="EM5" s="1"/>
      <c r="EN5" s="1"/>
      <c r="EO5" s="1"/>
      <c r="EP5" s="302"/>
      <c r="ES5" s="279" t="s">
        <v>907</v>
      </c>
      <c r="ET5" s="160"/>
      <c r="EU5" s="160">
        <f t="shared" si="2"/>
        <v>0</v>
      </c>
      <c r="EV5" s="160"/>
      <c r="EW5" s="306">
        <v>3</v>
      </c>
      <c r="EX5" s="306">
        <v>5</v>
      </c>
      <c r="EY5" s="306">
        <v>5</v>
      </c>
      <c r="EZ5" s="309">
        <f t="shared" si="3"/>
        <v>13</v>
      </c>
      <c r="FG5" s="1" t="s">
        <v>220</v>
      </c>
      <c r="FH5" s="1">
        <v>1</v>
      </c>
      <c r="FI5" s="166" t="s">
        <v>463</v>
      </c>
      <c r="FJ5" s="166" t="s">
        <v>889</v>
      </c>
      <c r="FK5" s="166" t="s">
        <v>889</v>
      </c>
      <c r="FL5" s="166"/>
      <c r="FM5" s="1" t="s">
        <v>889</v>
      </c>
      <c r="FN5" s="1" t="s">
        <v>889</v>
      </c>
      <c r="FO5" s="301">
        <f t="shared" si="4"/>
        <v>15</v>
      </c>
      <c r="FP5" s="1"/>
      <c r="FQ5" s="302" t="str">
        <f>IF(FI5=0,"0",IF(FI5="5/16","3",IF(FI5="3/8","3.3",IF(FI5="1/2","4",IF(FI5="5/8","5",IF(FI5="3/4","5.5","3"))))))</f>
        <v>3</v>
      </c>
      <c r="FR5" s="302" t="str">
        <f t="shared" si="5"/>
        <v>3</v>
      </c>
      <c r="FS5" s="302" t="str">
        <f t="shared" si="5"/>
        <v>3</v>
      </c>
      <c r="FT5" s="302" t="str">
        <f t="shared" si="6"/>
        <v>2</v>
      </c>
      <c r="FU5" s="302" t="str">
        <f t="shared" si="10"/>
        <v>4</v>
      </c>
      <c r="FV5" s="324" t="str">
        <f t="shared" si="11"/>
        <v>3</v>
      </c>
      <c r="FW5" s="323" t="s">
        <v>220</v>
      </c>
      <c r="FX5" s="1"/>
      <c r="FY5" s="1" t="s">
        <v>959</v>
      </c>
      <c r="FZ5" s="1"/>
      <c r="GA5" s="1">
        <f t="shared" si="12"/>
        <v>3.3000000000000003</v>
      </c>
      <c r="GB5" s="1"/>
      <c r="GD5" s="166" t="s">
        <v>464</v>
      </c>
      <c r="GH5" s="1"/>
      <c r="GI5" s="1"/>
      <c r="GJ5" s="1"/>
      <c r="GK5" s="1"/>
      <c r="GL5" s="1"/>
      <c r="GM5" s="1"/>
      <c r="GN5" s="1"/>
      <c r="GO5" s="1"/>
      <c r="GP5" s="1"/>
      <c r="GQ5" s="1"/>
      <c r="GR5" s="1"/>
      <c r="GS5" s="1"/>
      <c r="GT5" s="1"/>
      <c r="GU5" s="1"/>
      <c r="HB5" s="1" t="s">
        <v>1024</v>
      </c>
      <c r="HC5" s="1">
        <v>1</v>
      </c>
      <c r="HD5" s="1">
        <f t="shared" si="7"/>
        <v>10</v>
      </c>
      <c r="HE5" s="1"/>
      <c r="HF5" s="302">
        <v>2</v>
      </c>
      <c r="HG5" s="302">
        <v>2</v>
      </c>
      <c r="HH5" s="302">
        <v>6</v>
      </c>
      <c r="HI5" s="302">
        <f t="shared" si="8"/>
        <v>10</v>
      </c>
      <c r="IC5" s="279"/>
      <c r="ID5" s="160"/>
      <c r="IE5" s="160"/>
      <c r="IF5" s="160"/>
      <c r="IG5" s="160"/>
      <c r="IH5" s="160"/>
      <c r="II5" s="160"/>
      <c r="IJ5" s="160"/>
      <c r="IK5" s="112"/>
      <c r="JB5" s="1"/>
      <c r="JC5" s="1"/>
      <c r="JD5" s="1"/>
      <c r="JE5" s="1"/>
      <c r="JF5" s="1"/>
      <c r="JG5" s="1"/>
      <c r="JH5" s="1"/>
      <c r="JZ5" s="1" t="s">
        <v>908</v>
      </c>
      <c r="KA5" s="1"/>
      <c r="KB5" s="301">
        <f t="shared" si="0"/>
        <v>0</v>
      </c>
      <c r="KC5" s="301">
        <f t="shared" si="9"/>
        <v>0</v>
      </c>
      <c r="KD5" s="1"/>
      <c r="KE5" s="301">
        <f t="shared" si="1"/>
        <v>0</v>
      </c>
      <c r="KF5" s="1"/>
      <c r="KG5" s="302">
        <v>15.7</v>
      </c>
      <c r="KH5" s="302">
        <v>4</v>
      </c>
      <c r="KI5" s="302">
        <v>3</v>
      </c>
      <c r="KJ5" s="302">
        <v>3</v>
      </c>
    </row>
    <row r="6" spans="1:324" ht="16.5" thickBot="1" x14ac:dyDescent="0.3">
      <c r="A6" s="189" t="s">
        <v>82</v>
      </c>
      <c r="B6" s="12">
        <v>1</v>
      </c>
      <c r="C6" s="86" t="s">
        <v>90</v>
      </c>
      <c r="D6" s="12" t="s">
        <v>91</v>
      </c>
      <c r="E6" s="24"/>
      <c r="F6" s="190"/>
      <c r="G6" s="75"/>
      <c r="H6" s="189" t="s">
        <v>82</v>
      </c>
      <c r="I6" s="12">
        <v>1</v>
      </c>
      <c r="J6" s="86" t="s">
        <v>90</v>
      </c>
      <c r="K6" s="12" t="s">
        <v>84</v>
      </c>
      <c r="L6" s="24"/>
      <c r="M6" s="190"/>
      <c r="N6" s="75"/>
      <c r="O6" s="189" t="s">
        <v>82</v>
      </c>
      <c r="P6" s="12">
        <v>1</v>
      </c>
      <c r="Q6" s="86" t="s">
        <v>90</v>
      </c>
      <c r="R6" s="12" t="s">
        <v>80</v>
      </c>
      <c r="S6" s="24"/>
      <c r="T6" s="190"/>
      <c r="Y6" s="14" t="s">
        <v>25</v>
      </c>
      <c r="Z6" s="12">
        <v>1</v>
      </c>
      <c r="AA6" s="14" t="s">
        <v>30</v>
      </c>
      <c r="AB6" s="12" t="s">
        <v>77</v>
      </c>
      <c r="AC6" s="153">
        <f>Z6*26</f>
        <v>26</v>
      </c>
      <c r="AD6" s="352"/>
      <c r="AE6" s="95">
        <v>45763</v>
      </c>
      <c r="AF6" s="32" t="s">
        <v>554</v>
      </c>
      <c r="AG6" s="75"/>
      <c r="AH6" s="23" t="s">
        <v>181</v>
      </c>
      <c r="AI6" s="12">
        <v>1</v>
      </c>
      <c r="AJ6" s="23" t="s">
        <v>183</v>
      </c>
      <c r="AK6" s="12" t="s">
        <v>77</v>
      </c>
      <c r="AL6" s="145">
        <f>AI6*27</f>
        <v>27</v>
      </c>
      <c r="AM6" s="50"/>
      <c r="AN6" s="95">
        <v>45495</v>
      </c>
      <c r="AO6" s="32" t="s">
        <v>554</v>
      </c>
      <c r="AQ6" s="582"/>
      <c r="AR6" s="582"/>
      <c r="AS6" s="582"/>
      <c r="AT6" s="582"/>
      <c r="AU6" s="582"/>
      <c r="AX6" s="14" t="s">
        <v>25</v>
      </c>
      <c r="AY6" s="12">
        <v>1</v>
      </c>
      <c r="AZ6" s="14" t="s">
        <v>30</v>
      </c>
      <c r="BA6" s="12" t="s">
        <v>27</v>
      </c>
      <c r="BB6" s="153">
        <f>AY6*35.55</f>
        <v>35.549999999999997</v>
      </c>
      <c r="BC6" s="96"/>
      <c r="BD6" s="95">
        <v>45782</v>
      </c>
      <c r="BE6" s="23" t="s">
        <v>336</v>
      </c>
      <c r="BF6" s="75"/>
      <c r="BG6" s="23" t="s">
        <v>181</v>
      </c>
      <c r="BH6" s="12">
        <v>1</v>
      </c>
      <c r="BI6" s="23" t="s">
        <v>183</v>
      </c>
      <c r="BJ6" s="88" t="s">
        <v>27</v>
      </c>
      <c r="BK6" s="145">
        <f>BH6*38</f>
        <v>38</v>
      </c>
      <c r="BL6" s="93"/>
      <c r="BM6" s="95">
        <v>45715</v>
      </c>
      <c r="BN6" s="106" t="s">
        <v>336</v>
      </c>
      <c r="BP6" s="582"/>
      <c r="BQ6" s="582"/>
      <c r="BR6" s="582"/>
      <c r="BS6" s="582"/>
      <c r="BT6" s="582"/>
      <c r="BX6" s="14" t="s">
        <v>25</v>
      </c>
      <c r="BY6" s="12">
        <v>1</v>
      </c>
      <c r="BZ6" s="14" t="s">
        <v>30</v>
      </c>
      <c r="CA6" s="88" t="s">
        <v>74</v>
      </c>
      <c r="CB6" s="153">
        <f>BY6*48.15</f>
        <v>48.15</v>
      </c>
      <c r="CC6" s="96"/>
      <c r="CD6" s="95">
        <v>45782</v>
      </c>
      <c r="CE6" s="32" t="s">
        <v>284</v>
      </c>
      <c r="CF6" s="75"/>
      <c r="CG6" s="23" t="s">
        <v>181</v>
      </c>
      <c r="CH6" s="12">
        <v>1</v>
      </c>
      <c r="CI6" s="23" t="s">
        <v>183</v>
      </c>
      <c r="CJ6" s="12" t="s">
        <v>74</v>
      </c>
      <c r="CK6" s="145">
        <f>CH6*51</f>
        <v>51</v>
      </c>
      <c r="CL6" s="26"/>
      <c r="CM6" s="95">
        <v>45782</v>
      </c>
      <c r="CN6" s="32" t="s">
        <v>284</v>
      </c>
      <c r="CP6" s="582"/>
      <c r="CQ6" s="582"/>
      <c r="CR6" s="582"/>
      <c r="CS6" s="582"/>
      <c r="CT6" s="582"/>
      <c r="CX6" s="234" t="s">
        <v>751</v>
      </c>
      <c r="CY6" s="235" t="s">
        <v>752</v>
      </c>
      <c r="CZ6" s="236">
        <v>1</v>
      </c>
      <c r="DA6" s="237" t="s">
        <v>753</v>
      </c>
      <c r="DB6" s="226">
        <f t="shared" ref="DB6:DB8" si="18">CZ6*2</f>
        <v>2</v>
      </c>
      <c r="DC6" s="227">
        <v>0</v>
      </c>
      <c r="DD6" s="227">
        <v>1.75</v>
      </c>
      <c r="DE6" s="238">
        <v>1</v>
      </c>
      <c r="DF6" s="381"/>
      <c r="DG6" s="381"/>
      <c r="DH6" s="229">
        <f t="shared" si="13"/>
        <v>3</v>
      </c>
      <c r="DI6" s="227">
        <v>0</v>
      </c>
      <c r="DJ6" s="227">
        <v>1.75</v>
      </c>
      <c r="DK6" s="239">
        <v>1</v>
      </c>
      <c r="DL6" s="240">
        <f t="shared" si="14"/>
        <v>5.75</v>
      </c>
      <c r="DM6" s="240"/>
      <c r="DN6" s="229">
        <f t="shared" si="15"/>
        <v>3.5</v>
      </c>
      <c r="DO6" s="241">
        <v>0</v>
      </c>
      <c r="DP6" s="227">
        <v>1.75</v>
      </c>
      <c r="DQ6" s="230">
        <v>1.5</v>
      </c>
      <c r="DR6" s="240">
        <f t="shared" si="16"/>
        <v>6.75</v>
      </c>
      <c r="DS6" s="229">
        <f>DB6+(2*CZ6)</f>
        <v>4</v>
      </c>
      <c r="DT6" s="241">
        <v>0</v>
      </c>
      <c r="DU6" s="227">
        <v>1.75</v>
      </c>
      <c r="DV6" s="230">
        <v>2</v>
      </c>
      <c r="DW6" s="240">
        <f t="shared" si="17"/>
        <v>7.75</v>
      </c>
      <c r="EB6" s="315"/>
      <c r="EC6" s="166"/>
      <c r="ED6" s="1"/>
      <c r="EE6" s="1"/>
      <c r="EF6" s="1"/>
      <c r="EG6" s="1"/>
      <c r="EH6" s="1"/>
      <c r="EI6" s="1"/>
      <c r="EJ6" s="1"/>
      <c r="EK6" s="1"/>
      <c r="EL6" s="1"/>
      <c r="EM6" s="1"/>
      <c r="EN6" s="1"/>
      <c r="EO6" s="1"/>
      <c r="EP6" s="302"/>
      <c r="ES6" s="279" t="s">
        <v>908</v>
      </c>
      <c r="ET6" s="160"/>
      <c r="EU6" s="160">
        <f t="shared" si="2"/>
        <v>0</v>
      </c>
      <c r="EV6" s="160"/>
      <c r="EW6" s="306">
        <v>4</v>
      </c>
      <c r="EX6" s="306">
        <v>5</v>
      </c>
      <c r="EY6" s="306">
        <v>7</v>
      </c>
      <c r="EZ6" s="309">
        <f t="shared" si="3"/>
        <v>16</v>
      </c>
      <c r="FG6" s="1" t="s">
        <v>224</v>
      </c>
      <c r="FH6" s="1">
        <v>1</v>
      </c>
      <c r="FI6" s="166" t="s">
        <v>463</v>
      </c>
      <c r="FJ6" s="166" t="s">
        <v>889</v>
      </c>
      <c r="FK6" s="166" t="s">
        <v>889</v>
      </c>
      <c r="FL6" s="166"/>
      <c r="FM6" s="1" t="s">
        <v>889</v>
      </c>
      <c r="FN6" s="1" t="s">
        <v>889</v>
      </c>
      <c r="FO6" s="301">
        <f t="shared" si="4"/>
        <v>15.5</v>
      </c>
      <c r="FP6" s="1"/>
      <c r="FQ6" s="302" t="str">
        <f>IF(FI6=0,"0",IF(FI6="5/16","3.5",IF(FI6="3/8","4",IF(FI6="1/2","5.5",IF(FI6="5/8","6",IF(FI6="3/4","6.5","3.5"))))))</f>
        <v>3.5</v>
      </c>
      <c r="FR6" s="302" t="str">
        <f t="shared" si="5"/>
        <v>3</v>
      </c>
      <c r="FS6" s="302" t="str">
        <f t="shared" si="5"/>
        <v>3</v>
      </c>
      <c r="FT6" s="302" t="str">
        <f t="shared" si="6"/>
        <v>2</v>
      </c>
      <c r="FU6" s="302" t="str">
        <f t="shared" si="10"/>
        <v>4</v>
      </c>
      <c r="FV6" s="324" t="str">
        <f t="shared" si="11"/>
        <v>3.5</v>
      </c>
      <c r="FW6" s="323" t="s">
        <v>224</v>
      </c>
      <c r="FX6" s="1"/>
      <c r="FY6" s="1" t="s">
        <v>959</v>
      </c>
      <c r="FZ6" s="1"/>
      <c r="GA6" s="1">
        <f t="shared" si="12"/>
        <v>3.8500000000000005</v>
      </c>
      <c r="GB6" s="1"/>
      <c r="GD6" s="166" t="s">
        <v>467</v>
      </c>
      <c r="GH6" s="1"/>
      <c r="GI6" s="1"/>
      <c r="GJ6" s="1"/>
      <c r="GK6" s="1"/>
      <c r="GL6" s="1"/>
      <c r="GM6" s="1"/>
      <c r="GN6" s="1"/>
      <c r="GO6" s="1"/>
      <c r="GP6" s="1"/>
      <c r="GQ6" s="1"/>
      <c r="GR6" s="1"/>
      <c r="GS6" s="1"/>
      <c r="GT6" s="1"/>
      <c r="GU6" s="1"/>
      <c r="HB6" s="1" t="s">
        <v>1025</v>
      </c>
      <c r="HC6" s="1">
        <v>1</v>
      </c>
      <c r="HD6" s="1">
        <f t="shared" si="7"/>
        <v>14.5</v>
      </c>
      <c r="HE6" s="1"/>
      <c r="HF6" s="302">
        <v>3</v>
      </c>
      <c r="HG6" s="302">
        <v>2.5</v>
      </c>
      <c r="HH6" s="302">
        <v>9</v>
      </c>
      <c r="HI6" s="302">
        <f t="shared" si="8"/>
        <v>14.5</v>
      </c>
      <c r="IC6" s="279"/>
      <c r="ID6" s="160"/>
      <c r="IE6" s="160"/>
      <c r="IF6" s="160"/>
      <c r="IG6" s="160"/>
      <c r="IH6" s="160"/>
      <c r="II6" s="160"/>
      <c r="IJ6" s="160"/>
      <c r="IK6" s="112"/>
      <c r="JB6" s="1"/>
      <c r="JC6" s="1"/>
      <c r="JD6" s="1"/>
      <c r="JE6" s="1"/>
      <c r="JF6" s="1"/>
      <c r="JG6" s="1"/>
      <c r="JH6" s="1"/>
      <c r="JZ6" s="1" t="s">
        <v>909</v>
      </c>
      <c r="KA6" s="1"/>
      <c r="KB6" s="301">
        <f t="shared" si="0"/>
        <v>0</v>
      </c>
      <c r="KC6" s="301">
        <f t="shared" si="9"/>
        <v>0</v>
      </c>
      <c r="KD6" s="1"/>
      <c r="KE6" s="301">
        <f t="shared" si="1"/>
        <v>0</v>
      </c>
      <c r="KF6" s="1"/>
      <c r="KG6" s="302">
        <v>18.8</v>
      </c>
      <c r="KH6" s="302">
        <v>4</v>
      </c>
      <c r="KI6" s="302">
        <v>3</v>
      </c>
      <c r="KJ6" s="302">
        <v>3</v>
      </c>
      <c r="KZ6" s="506" t="s">
        <v>1090</v>
      </c>
      <c r="LA6" s="507"/>
      <c r="LB6" s="507"/>
      <c r="LC6" s="507"/>
      <c r="LD6" s="507"/>
      <c r="LE6" s="507"/>
      <c r="LF6" s="507"/>
      <c r="LG6" s="507"/>
      <c r="LH6" s="507"/>
      <c r="LI6" s="507"/>
      <c r="LJ6" s="507"/>
      <c r="LK6" s="508"/>
    </row>
    <row r="7" spans="1:324" ht="19.5" thickBot="1" x14ac:dyDescent="0.35">
      <c r="A7" s="189"/>
      <c r="B7" s="12">
        <v>1</v>
      </c>
      <c r="C7" s="86" t="s">
        <v>90</v>
      </c>
      <c r="D7" s="12" t="s">
        <v>91</v>
      </c>
      <c r="E7" s="24"/>
      <c r="F7" s="190"/>
      <c r="G7" s="75"/>
      <c r="H7" s="189"/>
      <c r="I7" s="12">
        <v>1</v>
      </c>
      <c r="J7" s="86" t="s">
        <v>90</v>
      </c>
      <c r="K7" s="12" t="s">
        <v>84</v>
      </c>
      <c r="L7" s="24"/>
      <c r="M7" s="190"/>
      <c r="N7" s="75"/>
      <c r="O7" s="189"/>
      <c r="P7" s="12">
        <v>1</v>
      </c>
      <c r="Q7" s="86" t="s">
        <v>90</v>
      </c>
      <c r="R7" s="12" t="s">
        <v>80</v>
      </c>
      <c r="S7" s="24"/>
      <c r="T7" s="190"/>
      <c r="Y7" s="14" t="s">
        <v>25</v>
      </c>
      <c r="Z7" s="12">
        <v>1</v>
      </c>
      <c r="AA7" s="14" t="s">
        <v>39</v>
      </c>
      <c r="AB7" s="12" t="s">
        <v>77</v>
      </c>
      <c r="AC7" s="153">
        <f>Z7*37</f>
        <v>37</v>
      </c>
      <c r="AD7" s="153"/>
      <c r="AE7" s="95">
        <v>45763</v>
      </c>
      <c r="AF7" s="32" t="s">
        <v>554</v>
      </c>
      <c r="AG7" s="75"/>
      <c r="AH7" s="23" t="s">
        <v>181</v>
      </c>
      <c r="AI7" s="12">
        <v>1</v>
      </c>
      <c r="AJ7" s="23" t="s">
        <v>182</v>
      </c>
      <c r="AK7" s="12" t="s">
        <v>77</v>
      </c>
      <c r="AL7" s="149">
        <f>AI7*20</f>
        <v>20</v>
      </c>
      <c r="AM7" s="53"/>
      <c r="AN7" s="95">
        <v>45475</v>
      </c>
      <c r="AO7" s="32" t="s">
        <v>554</v>
      </c>
      <c r="AQ7" s="582"/>
      <c r="AR7" s="582"/>
      <c r="AS7" s="582"/>
      <c r="AT7" s="582"/>
      <c r="AU7" s="582"/>
      <c r="AX7" s="14" t="s">
        <v>25</v>
      </c>
      <c r="AY7" s="12">
        <v>1</v>
      </c>
      <c r="AZ7" s="14" t="s">
        <v>39</v>
      </c>
      <c r="BA7" s="12" t="s">
        <v>27</v>
      </c>
      <c r="BB7" s="153">
        <f>AY7*53.55</f>
        <v>53.55</v>
      </c>
      <c r="BC7" s="153"/>
      <c r="BD7" s="95">
        <v>45776</v>
      </c>
      <c r="BE7" s="23" t="s">
        <v>336</v>
      </c>
      <c r="BF7" s="75"/>
      <c r="BG7" s="23" t="s">
        <v>181</v>
      </c>
      <c r="BH7" s="12">
        <v>1</v>
      </c>
      <c r="BI7" s="23" t="s">
        <v>182</v>
      </c>
      <c r="BJ7" s="88" t="s">
        <v>27</v>
      </c>
      <c r="BK7" s="145">
        <f>BH7*59</f>
        <v>59</v>
      </c>
      <c r="BL7" s="145"/>
      <c r="BM7" s="95">
        <v>45715</v>
      </c>
      <c r="BN7" s="106" t="s">
        <v>336</v>
      </c>
      <c r="BP7" s="582"/>
      <c r="BQ7" s="582"/>
      <c r="BR7" s="582"/>
      <c r="BS7" s="582"/>
      <c r="BT7" s="582"/>
      <c r="BX7" s="14" t="s">
        <v>25</v>
      </c>
      <c r="BY7" s="12">
        <v>1</v>
      </c>
      <c r="BZ7" s="14" t="s">
        <v>39</v>
      </c>
      <c r="CA7" s="88" t="s">
        <v>74</v>
      </c>
      <c r="CB7" s="153">
        <f>BY7*76.5</f>
        <v>76.5</v>
      </c>
      <c r="CC7" s="153"/>
      <c r="CD7" s="95">
        <v>45782</v>
      </c>
      <c r="CE7" s="32" t="s">
        <v>284</v>
      </c>
      <c r="CF7" s="75"/>
      <c r="CG7" s="23" t="s">
        <v>181</v>
      </c>
      <c r="CH7" s="12">
        <v>1</v>
      </c>
      <c r="CI7" s="23" t="s">
        <v>182</v>
      </c>
      <c r="CJ7" s="12" t="s">
        <v>74</v>
      </c>
      <c r="CK7" s="149">
        <f>CH7*82</f>
        <v>82</v>
      </c>
      <c r="CL7" s="22"/>
      <c r="CM7" s="95">
        <v>45779</v>
      </c>
      <c r="CN7" s="32" t="s">
        <v>284</v>
      </c>
      <c r="CP7" s="582"/>
      <c r="CQ7" s="582"/>
      <c r="CR7" s="582"/>
      <c r="CS7" s="582"/>
      <c r="CT7" s="582"/>
      <c r="CX7" s="234" t="s">
        <v>754</v>
      </c>
      <c r="CY7" s="235" t="s">
        <v>755</v>
      </c>
      <c r="CZ7" s="236">
        <v>1</v>
      </c>
      <c r="DA7" s="237" t="s">
        <v>756</v>
      </c>
      <c r="DB7" s="226">
        <f t="shared" si="18"/>
        <v>2</v>
      </c>
      <c r="DC7" s="227">
        <v>0</v>
      </c>
      <c r="DD7" s="227">
        <v>0.75</v>
      </c>
      <c r="DE7" s="238">
        <v>1</v>
      </c>
      <c r="DF7" s="381"/>
      <c r="DG7" s="381"/>
      <c r="DH7" s="229">
        <f t="shared" si="13"/>
        <v>3</v>
      </c>
      <c r="DI7" s="227">
        <v>0</v>
      </c>
      <c r="DJ7" s="227">
        <v>0.75</v>
      </c>
      <c r="DK7" s="239">
        <v>1</v>
      </c>
      <c r="DL7" s="240">
        <f t="shared" si="14"/>
        <v>4.75</v>
      </c>
      <c r="DM7" s="240"/>
      <c r="DN7" s="229">
        <f t="shared" si="15"/>
        <v>3.5</v>
      </c>
      <c r="DO7" s="241">
        <v>0</v>
      </c>
      <c r="DP7" s="227">
        <v>0.75</v>
      </c>
      <c r="DQ7" s="230">
        <v>1.5</v>
      </c>
      <c r="DR7" s="240">
        <f t="shared" si="16"/>
        <v>5.75</v>
      </c>
      <c r="DS7" s="229">
        <f>DB7+(2*CZ7)</f>
        <v>4</v>
      </c>
      <c r="DT7" s="241">
        <v>0</v>
      </c>
      <c r="DU7" s="227">
        <v>0.75</v>
      </c>
      <c r="DV7" s="230">
        <v>2</v>
      </c>
      <c r="DW7" s="240">
        <f t="shared" si="17"/>
        <v>6.75</v>
      </c>
      <c r="EB7" s="315" t="s">
        <v>894</v>
      </c>
      <c r="EC7" s="166"/>
      <c r="ED7" s="1"/>
      <c r="EE7" s="1"/>
      <c r="EF7" s="1"/>
      <c r="EG7" s="1"/>
      <c r="EH7" s="1"/>
      <c r="EI7" s="1"/>
      <c r="EJ7" s="1"/>
      <c r="EK7" s="1"/>
      <c r="EL7" s="1"/>
      <c r="EM7" s="1"/>
      <c r="EN7" s="1"/>
      <c r="EO7" s="1"/>
      <c r="EP7" s="302"/>
      <c r="ES7" s="279" t="s">
        <v>909</v>
      </c>
      <c r="ET7" s="160"/>
      <c r="EU7" s="160">
        <f t="shared" si="2"/>
        <v>0</v>
      </c>
      <c r="EV7" s="160"/>
      <c r="EW7" s="306">
        <v>4</v>
      </c>
      <c r="EX7" s="306">
        <v>5</v>
      </c>
      <c r="EY7" s="306">
        <v>8</v>
      </c>
      <c r="EZ7" s="309">
        <f t="shared" si="3"/>
        <v>17</v>
      </c>
      <c r="FG7" s="1" t="s">
        <v>947</v>
      </c>
      <c r="FH7" s="1">
        <v>1</v>
      </c>
      <c r="FI7" s="166" t="s">
        <v>463</v>
      </c>
      <c r="FJ7" s="166" t="s">
        <v>889</v>
      </c>
      <c r="FK7" s="166" t="s">
        <v>889</v>
      </c>
      <c r="FL7" s="166"/>
      <c r="FM7" s="1" t="s">
        <v>889</v>
      </c>
      <c r="FN7" s="1" t="s">
        <v>889</v>
      </c>
      <c r="FO7" s="301">
        <f t="shared" si="4"/>
        <v>17</v>
      </c>
      <c r="FP7" s="1"/>
      <c r="FQ7" s="302" t="str">
        <f>IF(FI7=0,"0",IF(FI7="5/16","5",IF(FI7="3/8","5.5",IF(FI7="1/2","7.5",IF(FI7="5/8","8.5",IF(FI7="3/4","9","5"))))))</f>
        <v>5</v>
      </c>
      <c r="FR7" s="302" t="str">
        <f t="shared" si="5"/>
        <v>3</v>
      </c>
      <c r="FS7" s="302" t="str">
        <f t="shared" si="5"/>
        <v>3</v>
      </c>
      <c r="FT7" s="302" t="str">
        <f t="shared" si="6"/>
        <v>2</v>
      </c>
      <c r="FU7" s="302" t="str">
        <f t="shared" si="10"/>
        <v>4</v>
      </c>
      <c r="FV7" s="324" t="str">
        <f t="shared" si="11"/>
        <v>5</v>
      </c>
      <c r="FW7" s="323" t="s">
        <v>947</v>
      </c>
      <c r="FX7" s="1"/>
      <c r="FY7" s="1" t="s">
        <v>961</v>
      </c>
      <c r="FZ7" s="1"/>
      <c r="GA7" s="1">
        <f t="shared" si="12"/>
        <v>5.5</v>
      </c>
      <c r="GB7" s="1"/>
      <c r="GD7" s="166" t="s">
        <v>468</v>
      </c>
      <c r="GH7" s="158" t="s">
        <v>1225</v>
      </c>
      <c r="GI7" s="1"/>
      <c r="GJ7" s="1"/>
      <c r="GK7" s="1"/>
      <c r="GL7" s="1"/>
      <c r="GM7" s="1"/>
      <c r="GN7" s="1"/>
      <c r="GO7" s="1"/>
      <c r="GP7" s="1"/>
      <c r="GQ7" s="1"/>
      <c r="GR7" s="1"/>
      <c r="GS7" s="1"/>
      <c r="GT7" s="1"/>
      <c r="GU7" s="1"/>
      <c r="HB7" s="1" t="s">
        <v>1026</v>
      </c>
      <c r="HC7" s="1">
        <v>1</v>
      </c>
      <c r="HD7" s="1">
        <f t="shared" si="7"/>
        <v>15</v>
      </c>
      <c r="HE7" s="1"/>
      <c r="HF7" s="302">
        <v>3</v>
      </c>
      <c r="HG7" s="302">
        <v>3</v>
      </c>
      <c r="HH7" s="302">
        <v>9</v>
      </c>
      <c r="HI7" s="302">
        <f t="shared" si="8"/>
        <v>15</v>
      </c>
      <c r="IC7" s="279"/>
      <c r="ID7" s="160"/>
      <c r="IE7" s="160"/>
      <c r="IF7" s="160"/>
      <c r="IG7" s="160"/>
      <c r="IH7" s="160"/>
      <c r="II7" s="160"/>
      <c r="IJ7" s="160"/>
      <c r="IK7" s="112"/>
      <c r="JB7" s="158" t="s">
        <v>1181</v>
      </c>
      <c r="JC7" s="1"/>
      <c r="JD7" s="1"/>
      <c r="JE7" s="1"/>
      <c r="JF7" s="1"/>
      <c r="JG7" s="1"/>
      <c r="JH7" s="1"/>
      <c r="JZ7" s="1" t="s">
        <v>910</v>
      </c>
      <c r="KA7" s="328"/>
      <c r="KB7" s="301">
        <f t="shared" si="0"/>
        <v>0</v>
      </c>
      <c r="KC7" s="301">
        <f t="shared" si="9"/>
        <v>0</v>
      </c>
      <c r="KD7" s="1"/>
      <c r="KE7" s="301">
        <f t="shared" si="1"/>
        <v>0</v>
      </c>
      <c r="KF7" s="1"/>
      <c r="KG7" s="329">
        <v>22</v>
      </c>
      <c r="KH7" s="302">
        <v>4</v>
      </c>
      <c r="KI7" s="302">
        <v>3</v>
      </c>
      <c r="KJ7" s="302">
        <v>3</v>
      </c>
      <c r="KZ7" s="509"/>
      <c r="LA7" s="510"/>
      <c r="LB7" s="510"/>
      <c r="LC7" s="510"/>
      <c r="LD7" s="510"/>
      <c r="LE7" s="510"/>
      <c r="LF7" s="510"/>
      <c r="LG7" s="510"/>
      <c r="LH7" s="510"/>
      <c r="LI7" s="510"/>
      <c r="LJ7" s="510"/>
      <c r="LK7" s="511"/>
    </row>
    <row r="8" spans="1:324" ht="19.5" thickBot="1" x14ac:dyDescent="0.35">
      <c r="A8" s="189" t="s">
        <v>83</v>
      </c>
      <c r="B8" s="12">
        <v>1</v>
      </c>
      <c r="C8" s="86" t="s">
        <v>90</v>
      </c>
      <c r="D8" s="12" t="s">
        <v>91</v>
      </c>
      <c r="E8" s="24"/>
      <c r="F8" s="190"/>
      <c r="G8" s="75"/>
      <c r="H8" s="189" t="s">
        <v>83</v>
      </c>
      <c r="I8" s="12">
        <v>1</v>
      </c>
      <c r="J8" s="86" t="s">
        <v>90</v>
      </c>
      <c r="K8" s="12" t="s">
        <v>84</v>
      </c>
      <c r="L8" s="24"/>
      <c r="M8" s="190"/>
      <c r="N8" s="75"/>
      <c r="O8" s="189" t="s">
        <v>83</v>
      </c>
      <c r="P8" s="12">
        <v>1</v>
      </c>
      <c r="Q8" s="86" t="s">
        <v>90</v>
      </c>
      <c r="R8" s="12" t="s">
        <v>80</v>
      </c>
      <c r="S8" s="24"/>
      <c r="T8" s="190"/>
      <c r="Y8" s="14" t="s">
        <v>25</v>
      </c>
      <c r="Z8" s="12">
        <v>1</v>
      </c>
      <c r="AA8" s="14" t="s">
        <v>42</v>
      </c>
      <c r="AB8" s="12" t="s">
        <v>77</v>
      </c>
      <c r="AC8" s="153">
        <f>Z8*45</f>
        <v>45</v>
      </c>
      <c r="AD8" s="153"/>
      <c r="AE8" s="95">
        <v>45763</v>
      </c>
      <c r="AF8" s="32" t="s">
        <v>554</v>
      </c>
      <c r="AG8" s="75"/>
      <c r="AH8" s="23" t="s">
        <v>181</v>
      </c>
      <c r="AI8" s="12">
        <v>1</v>
      </c>
      <c r="AJ8" s="23" t="s">
        <v>186</v>
      </c>
      <c r="AK8" s="12" t="s">
        <v>77</v>
      </c>
      <c r="AL8" s="149">
        <f>AI8*24</f>
        <v>24</v>
      </c>
      <c r="AM8" s="53"/>
      <c r="AN8" s="95">
        <v>45490</v>
      </c>
      <c r="AO8" s="32" t="s">
        <v>554</v>
      </c>
      <c r="AX8" s="14" t="s">
        <v>25</v>
      </c>
      <c r="AY8" s="12">
        <v>1</v>
      </c>
      <c r="AZ8" s="14" t="s">
        <v>42</v>
      </c>
      <c r="BA8" s="12" t="s">
        <v>27</v>
      </c>
      <c r="BB8" s="153">
        <f>AY8*72.9</f>
        <v>72.900000000000006</v>
      </c>
      <c r="BC8" s="24"/>
      <c r="BD8" s="95">
        <v>45768</v>
      </c>
      <c r="BE8" s="23" t="s">
        <v>336</v>
      </c>
      <c r="BF8" s="75"/>
      <c r="BG8" s="23" t="s">
        <v>181</v>
      </c>
      <c r="BH8" s="12">
        <v>1</v>
      </c>
      <c r="BI8" s="23" t="s">
        <v>186</v>
      </c>
      <c r="BJ8" s="88" t="s">
        <v>27</v>
      </c>
      <c r="BK8" s="149">
        <f>BH8*82</f>
        <v>82</v>
      </c>
      <c r="BL8" s="145"/>
      <c r="BM8" s="95">
        <v>45715</v>
      </c>
      <c r="BN8" s="106" t="s">
        <v>336</v>
      </c>
      <c r="BX8" s="14" t="s">
        <v>25</v>
      </c>
      <c r="BY8" s="12">
        <v>1</v>
      </c>
      <c r="BZ8" s="14" t="s">
        <v>42</v>
      </c>
      <c r="CA8" s="88" t="s">
        <v>74</v>
      </c>
      <c r="CB8" s="153">
        <f>BY8*105.3</f>
        <v>105.3</v>
      </c>
      <c r="CC8" s="153"/>
      <c r="CD8" s="95">
        <v>45782</v>
      </c>
      <c r="CE8" s="32" t="s">
        <v>284</v>
      </c>
      <c r="CF8" s="75"/>
      <c r="CG8" s="23" t="s">
        <v>181</v>
      </c>
      <c r="CH8" s="12">
        <v>1</v>
      </c>
      <c r="CI8" s="23" t="s">
        <v>186</v>
      </c>
      <c r="CJ8" s="12" t="s">
        <v>74</v>
      </c>
      <c r="CK8" s="149">
        <f>CH8*122</f>
        <v>122</v>
      </c>
      <c r="CL8" s="22"/>
      <c r="CM8" s="95">
        <v>45715</v>
      </c>
      <c r="CN8" s="32" t="s">
        <v>284</v>
      </c>
      <c r="CX8" s="234" t="s">
        <v>757</v>
      </c>
      <c r="CY8" s="235" t="s">
        <v>758</v>
      </c>
      <c r="CZ8" s="236">
        <v>1</v>
      </c>
      <c r="DA8" s="237" t="s">
        <v>759</v>
      </c>
      <c r="DB8" s="226">
        <f t="shared" si="18"/>
        <v>2</v>
      </c>
      <c r="DC8" s="242">
        <v>0</v>
      </c>
      <c r="DD8" s="242">
        <v>0.75</v>
      </c>
      <c r="DE8" s="238">
        <v>1</v>
      </c>
      <c r="DF8" s="381"/>
      <c r="DG8" s="381"/>
      <c r="DH8" s="229">
        <f t="shared" si="13"/>
        <v>3</v>
      </c>
      <c r="DI8" s="242">
        <v>0</v>
      </c>
      <c r="DJ8" s="242">
        <v>0.75</v>
      </c>
      <c r="DK8" s="239">
        <v>1</v>
      </c>
      <c r="DL8" s="240">
        <f t="shared" si="14"/>
        <v>4.75</v>
      </c>
      <c r="DM8" s="240"/>
      <c r="DN8" s="229">
        <f t="shared" si="15"/>
        <v>3.5</v>
      </c>
      <c r="DO8" s="241">
        <v>0</v>
      </c>
      <c r="DP8" s="242">
        <v>0.75</v>
      </c>
      <c r="DQ8" s="230">
        <v>1.5</v>
      </c>
      <c r="DR8" s="240">
        <f t="shared" si="16"/>
        <v>5.75</v>
      </c>
      <c r="DS8" s="229">
        <f>DB8+(2*CZ8)</f>
        <v>4</v>
      </c>
      <c r="DT8" s="241">
        <v>0</v>
      </c>
      <c r="DU8" s="242">
        <v>0.75</v>
      </c>
      <c r="DV8" s="230">
        <v>2</v>
      </c>
      <c r="DW8" s="240">
        <f t="shared" si="17"/>
        <v>6.75</v>
      </c>
      <c r="EB8" s="1"/>
      <c r="EC8" s="166"/>
      <c r="ED8" s="1"/>
      <c r="EE8" s="1"/>
      <c r="EF8" s="1"/>
      <c r="EG8" s="1"/>
      <c r="EH8" s="1"/>
      <c r="EI8" s="1"/>
      <c r="EJ8" s="1"/>
      <c r="EK8" s="1"/>
      <c r="EL8" s="1"/>
      <c r="EM8" s="1"/>
      <c r="EN8" s="1"/>
      <c r="EO8" s="1"/>
      <c r="EP8" s="302"/>
      <c r="ES8" s="279" t="s">
        <v>910</v>
      </c>
      <c r="ET8" s="160"/>
      <c r="EU8" s="160">
        <f t="shared" si="2"/>
        <v>0</v>
      </c>
      <c r="EV8" s="160"/>
      <c r="EW8" s="306">
        <v>5</v>
      </c>
      <c r="EX8" s="306">
        <v>6</v>
      </c>
      <c r="EY8" s="306">
        <v>9</v>
      </c>
      <c r="EZ8" s="309">
        <f t="shared" si="3"/>
        <v>20</v>
      </c>
      <c r="FG8" s="1" t="s">
        <v>948</v>
      </c>
      <c r="FH8" s="1">
        <v>1</v>
      </c>
      <c r="FI8" s="166" t="s">
        <v>463</v>
      </c>
      <c r="FJ8" s="166" t="s">
        <v>889</v>
      </c>
      <c r="FK8" s="166" t="s">
        <v>889</v>
      </c>
      <c r="FL8" s="166"/>
      <c r="FM8" s="1" t="s">
        <v>889</v>
      </c>
      <c r="FN8" s="1" t="s">
        <v>889</v>
      </c>
      <c r="FO8" s="301">
        <f t="shared" si="4"/>
        <v>19</v>
      </c>
      <c r="FP8" s="1"/>
      <c r="FQ8" s="302" t="str">
        <f>IF(FI8=0,"0",IF(FI8="5/16","7",IF(FI8="3/8","7.5",IF(FI8="1/2","9",IF(FI8="5/8","10.5",IF(FI8="3/4","11.5","7"))))))</f>
        <v>7</v>
      </c>
      <c r="FR8" s="302" t="str">
        <f t="shared" si="5"/>
        <v>3</v>
      </c>
      <c r="FS8" s="302" t="str">
        <f t="shared" si="5"/>
        <v>3</v>
      </c>
      <c r="FT8" s="302" t="str">
        <f t="shared" si="6"/>
        <v>2</v>
      </c>
      <c r="FU8" s="302" t="str">
        <f t="shared" si="10"/>
        <v>4</v>
      </c>
      <c r="FV8" s="324" t="str">
        <f t="shared" si="11"/>
        <v>7</v>
      </c>
      <c r="FW8" s="323" t="s">
        <v>948</v>
      </c>
      <c r="FX8" s="1"/>
      <c r="FY8" s="1" t="s">
        <v>962</v>
      </c>
      <c r="FZ8" s="1"/>
      <c r="GA8" s="1">
        <f t="shared" si="12"/>
        <v>7.7000000000000011</v>
      </c>
      <c r="GB8" s="1"/>
      <c r="GD8" s="166" t="s">
        <v>469</v>
      </c>
      <c r="GH8" s="299" t="s">
        <v>994</v>
      </c>
      <c r="GI8" s="299" t="s">
        <v>995</v>
      </c>
      <c r="GJ8" s="299" t="s">
        <v>996</v>
      </c>
      <c r="GK8" s="299" t="s">
        <v>997</v>
      </c>
      <c r="GL8" s="299" t="s">
        <v>998</v>
      </c>
      <c r="GM8" s="299" t="s">
        <v>999</v>
      </c>
      <c r="GN8" s="299" t="s">
        <v>1000</v>
      </c>
      <c r="GO8" s="299" t="s">
        <v>1007</v>
      </c>
      <c r="GP8" s="299"/>
      <c r="GQ8" s="300" t="s">
        <v>1002</v>
      </c>
      <c r="GR8" s="300" t="s">
        <v>1003</v>
      </c>
      <c r="GS8" s="300" t="s">
        <v>1004</v>
      </c>
      <c r="GT8" s="300" t="s">
        <v>1005</v>
      </c>
      <c r="GU8" s="300" t="s">
        <v>1006</v>
      </c>
      <c r="HB8" s="1" t="s">
        <v>1027</v>
      </c>
      <c r="HC8" s="1">
        <v>1</v>
      </c>
      <c r="HD8" s="1">
        <f t="shared" si="7"/>
        <v>19.5</v>
      </c>
      <c r="HE8" s="1"/>
      <c r="HF8" s="302">
        <v>4</v>
      </c>
      <c r="HG8" s="302">
        <v>3.5</v>
      </c>
      <c r="HH8" s="302">
        <v>12</v>
      </c>
      <c r="HI8" s="302">
        <f t="shared" si="8"/>
        <v>19.5</v>
      </c>
      <c r="IC8" s="39" t="s">
        <v>1047</v>
      </c>
      <c r="ID8" s="160"/>
      <c r="IE8" s="160"/>
      <c r="IF8" s="160"/>
      <c r="IG8" s="160"/>
      <c r="IH8" s="160"/>
      <c r="II8" s="160"/>
      <c r="IJ8" s="160"/>
      <c r="IK8" s="112"/>
      <c r="JB8" s="299" t="s">
        <v>1052</v>
      </c>
      <c r="JC8" s="299" t="s">
        <v>1053</v>
      </c>
      <c r="JD8" s="299" t="s">
        <v>1180</v>
      </c>
      <c r="JE8" s="299"/>
      <c r="JF8" s="300" t="s">
        <v>1043</v>
      </c>
      <c r="JG8" s="300" t="s">
        <v>1054</v>
      </c>
      <c r="JH8" s="300" t="s">
        <v>1055</v>
      </c>
      <c r="JI8" s="300" t="s">
        <v>1046</v>
      </c>
      <c r="JZ8" s="1" t="s">
        <v>911</v>
      </c>
      <c r="KA8" s="1"/>
      <c r="KB8" s="301">
        <f t="shared" si="0"/>
        <v>0</v>
      </c>
      <c r="KC8" s="301">
        <f t="shared" si="9"/>
        <v>0</v>
      </c>
      <c r="KD8" s="1"/>
      <c r="KE8" s="301">
        <f t="shared" si="1"/>
        <v>0</v>
      </c>
      <c r="KF8" s="1"/>
      <c r="KG8" s="302">
        <v>25.1</v>
      </c>
      <c r="KH8" s="302">
        <v>4</v>
      </c>
      <c r="KI8" s="302">
        <v>3</v>
      </c>
      <c r="KJ8" s="302">
        <v>3</v>
      </c>
      <c r="KZ8" s="512" t="s">
        <v>848</v>
      </c>
      <c r="LA8" s="513" t="s">
        <v>1082</v>
      </c>
      <c r="LB8" s="513" t="s">
        <v>934</v>
      </c>
      <c r="LC8" s="513" t="s">
        <v>1083</v>
      </c>
      <c r="LD8" s="513" t="s">
        <v>1084</v>
      </c>
      <c r="LE8" s="330"/>
      <c r="LF8" s="330"/>
      <c r="LG8" s="514" t="s">
        <v>1085</v>
      </c>
      <c r="LH8" s="514" t="s">
        <v>1086</v>
      </c>
      <c r="LI8" s="514" t="s">
        <v>1087</v>
      </c>
      <c r="LJ8" s="514" t="s">
        <v>1088</v>
      </c>
      <c r="LK8" s="515" t="s">
        <v>923</v>
      </c>
    </row>
    <row r="9" spans="1:324" ht="16.5" thickBot="1" x14ac:dyDescent="0.3">
      <c r="A9" s="189" t="s">
        <v>367</v>
      </c>
      <c r="B9" s="12">
        <v>2</v>
      </c>
      <c r="C9" s="86" t="s">
        <v>90</v>
      </c>
      <c r="D9" s="12" t="s">
        <v>91</v>
      </c>
      <c r="E9" s="24"/>
      <c r="F9" s="191"/>
      <c r="G9" s="75"/>
      <c r="H9" s="189" t="s">
        <v>367</v>
      </c>
      <c r="I9" s="12">
        <v>2</v>
      </c>
      <c r="J9" s="86" t="s">
        <v>90</v>
      </c>
      <c r="K9" s="12" t="s">
        <v>84</v>
      </c>
      <c r="L9" s="24"/>
      <c r="M9" s="191"/>
      <c r="N9" s="75"/>
      <c r="O9" s="189" t="s">
        <v>367</v>
      </c>
      <c r="P9" s="12">
        <v>2</v>
      </c>
      <c r="Q9" s="86" t="s">
        <v>90</v>
      </c>
      <c r="R9" s="12" t="s">
        <v>84</v>
      </c>
      <c r="S9" s="24"/>
      <c r="T9" s="191"/>
      <c r="Y9" s="14" t="s">
        <v>25</v>
      </c>
      <c r="Z9" s="12">
        <v>1</v>
      </c>
      <c r="AA9" s="14" t="s">
        <v>44</v>
      </c>
      <c r="AB9" s="12" t="s">
        <v>77</v>
      </c>
      <c r="AC9" s="151">
        <f>Z9*224.58</f>
        <v>224.58</v>
      </c>
      <c r="AD9" s="153"/>
      <c r="AE9" s="95">
        <v>45750</v>
      </c>
      <c r="AF9" s="32" t="s">
        <v>554</v>
      </c>
      <c r="AG9" s="75"/>
      <c r="AH9" s="23" t="s">
        <v>181</v>
      </c>
      <c r="AI9" s="12">
        <v>1</v>
      </c>
      <c r="AJ9" s="23" t="s">
        <v>187</v>
      </c>
      <c r="AK9" s="12" t="s">
        <v>77</v>
      </c>
      <c r="AL9" s="149"/>
      <c r="AM9" s="53"/>
      <c r="AN9" s="95"/>
      <c r="AO9" s="32" t="s">
        <v>554</v>
      </c>
      <c r="AX9" s="14" t="s">
        <v>25</v>
      </c>
      <c r="AY9" s="12">
        <v>1</v>
      </c>
      <c r="AZ9" s="14" t="s">
        <v>44</v>
      </c>
      <c r="BA9" s="12" t="s">
        <v>27</v>
      </c>
      <c r="BB9" s="153">
        <f>AY9*95.4</f>
        <v>95.4</v>
      </c>
      <c r="BC9" s="24"/>
      <c r="BD9" s="95">
        <v>45750</v>
      </c>
      <c r="BE9" s="23" t="s">
        <v>336</v>
      </c>
      <c r="BF9" s="75"/>
      <c r="BG9" s="23" t="s">
        <v>181</v>
      </c>
      <c r="BH9" s="12">
        <v>1</v>
      </c>
      <c r="BI9" s="23" t="s">
        <v>187</v>
      </c>
      <c r="BJ9" s="88" t="s">
        <v>27</v>
      </c>
      <c r="BK9" s="149"/>
      <c r="BL9" s="145"/>
      <c r="BM9" s="95"/>
      <c r="BN9" s="106" t="s">
        <v>336</v>
      </c>
      <c r="BX9" s="14" t="s">
        <v>25</v>
      </c>
      <c r="BY9" s="12">
        <v>1</v>
      </c>
      <c r="BZ9" s="14" t="s">
        <v>44</v>
      </c>
      <c r="CA9" s="88" t="s">
        <v>74</v>
      </c>
      <c r="CB9" s="153"/>
      <c r="CC9" s="153"/>
      <c r="CD9" s="95"/>
      <c r="CE9" s="32" t="s">
        <v>284</v>
      </c>
      <c r="CF9" s="75"/>
      <c r="CG9" s="23" t="s">
        <v>181</v>
      </c>
      <c r="CH9" s="12">
        <v>1</v>
      </c>
      <c r="CI9" s="23" t="s">
        <v>187</v>
      </c>
      <c r="CJ9" s="12" t="s">
        <v>74</v>
      </c>
      <c r="CK9" s="149"/>
      <c r="CL9" s="22"/>
      <c r="CM9" s="95"/>
      <c r="CN9" s="32" t="s">
        <v>284</v>
      </c>
      <c r="CX9" s="234" t="s">
        <v>760</v>
      </c>
      <c r="CY9" s="235" t="s">
        <v>761</v>
      </c>
      <c r="CZ9" s="236">
        <v>1</v>
      </c>
      <c r="DA9" s="237" t="s">
        <v>762</v>
      </c>
      <c r="DB9" s="226">
        <f>CZ9*4</f>
        <v>4</v>
      </c>
      <c r="DC9" s="242">
        <v>0</v>
      </c>
      <c r="DD9" s="242">
        <v>0.75</v>
      </c>
      <c r="DE9" s="238">
        <v>1</v>
      </c>
      <c r="DF9" s="381"/>
      <c r="DG9" s="381"/>
      <c r="DH9" s="229">
        <f t="shared" si="13"/>
        <v>5</v>
      </c>
      <c r="DI9" s="242">
        <v>0</v>
      </c>
      <c r="DJ9" s="242">
        <v>0.75</v>
      </c>
      <c r="DK9" s="239">
        <v>1</v>
      </c>
      <c r="DL9" s="240">
        <f t="shared" si="14"/>
        <v>6.75</v>
      </c>
      <c r="DM9" s="240"/>
      <c r="DN9" s="229">
        <f t="shared" si="15"/>
        <v>5.5</v>
      </c>
      <c r="DO9" s="241">
        <v>0</v>
      </c>
      <c r="DP9" s="242">
        <v>0.75</v>
      </c>
      <c r="DQ9" s="230">
        <v>1.5</v>
      </c>
      <c r="DR9" s="240">
        <f t="shared" si="16"/>
        <v>7.75</v>
      </c>
      <c r="DS9" s="229">
        <f t="shared" ref="DS9:DS20" si="19">DB9+(3.5*CZ9)</f>
        <v>7.5</v>
      </c>
      <c r="DT9" s="241">
        <v>0</v>
      </c>
      <c r="DU9" s="242">
        <v>0.75</v>
      </c>
      <c r="DV9" s="230">
        <v>2</v>
      </c>
      <c r="DW9" s="240">
        <f t="shared" si="17"/>
        <v>10.25</v>
      </c>
      <c r="EB9" s="315" t="s">
        <v>895</v>
      </c>
      <c r="EC9" s="166"/>
      <c r="ED9" s="1"/>
      <c r="EE9" s="1"/>
      <c r="EF9" s="1"/>
      <c r="EG9" s="1"/>
      <c r="EH9" s="1"/>
      <c r="EI9" s="1"/>
      <c r="EJ9" s="1"/>
      <c r="EK9" s="1"/>
      <c r="EL9" s="1"/>
      <c r="EM9" s="1"/>
      <c r="EN9" s="1"/>
      <c r="EO9" s="1"/>
      <c r="EP9" s="302"/>
      <c r="ES9" s="279" t="s">
        <v>911</v>
      </c>
      <c r="ET9" s="160"/>
      <c r="EU9" s="160">
        <f t="shared" si="2"/>
        <v>0</v>
      </c>
      <c r="EV9" s="160"/>
      <c r="EW9" s="306">
        <v>5</v>
      </c>
      <c r="EX9" s="306">
        <v>6</v>
      </c>
      <c r="EY9" s="306">
        <v>10</v>
      </c>
      <c r="EZ9" s="309">
        <f t="shared" si="3"/>
        <v>21</v>
      </c>
      <c r="FG9" s="1" t="s">
        <v>949</v>
      </c>
      <c r="FH9" s="1">
        <v>1</v>
      </c>
      <c r="FI9" s="166" t="s">
        <v>463</v>
      </c>
      <c r="FJ9" s="166" t="s">
        <v>889</v>
      </c>
      <c r="FK9" s="166" t="s">
        <v>889</v>
      </c>
      <c r="FL9" s="166"/>
      <c r="FM9" s="1" t="s">
        <v>889</v>
      </c>
      <c r="FN9" s="1" t="s">
        <v>889</v>
      </c>
      <c r="FO9" s="301">
        <f t="shared" si="4"/>
        <v>20</v>
      </c>
      <c r="FP9" s="1"/>
      <c r="FQ9" s="302" t="str">
        <f>IF(FI9=0,"0",IF(FI9="5/16","8",IF(FI9="3/8","8.5",IF(FI9="1/2","11",IF(FI9="5/8","13",IF(FI9="3/4","14","8"))))))</f>
        <v>8</v>
      </c>
      <c r="FR9" s="302" t="str">
        <f t="shared" si="5"/>
        <v>3</v>
      </c>
      <c r="FS9" s="302" t="str">
        <f t="shared" si="5"/>
        <v>3</v>
      </c>
      <c r="FT9" s="302" t="str">
        <f t="shared" si="6"/>
        <v>2</v>
      </c>
      <c r="FU9" s="302" t="str">
        <f t="shared" si="10"/>
        <v>4</v>
      </c>
      <c r="FV9" s="324" t="str">
        <f t="shared" si="11"/>
        <v>8</v>
      </c>
      <c r="FW9" s="323" t="s">
        <v>949</v>
      </c>
      <c r="FX9" s="1"/>
      <c r="FY9" s="1" t="s">
        <v>963</v>
      </c>
      <c r="FZ9" s="1"/>
      <c r="GA9" s="1">
        <f t="shared" si="12"/>
        <v>8.8000000000000007</v>
      </c>
      <c r="GB9" s="1"/>
      <c r="GD9" s="166" t="s">
        <v>470</v>
      </c>
      <c r="GH9" s="1"/>
      <c r="GI9" s="1"/>
      <c r="GJ9" s="1"/>
      <c r="GK9" s="1"/>
      <c r="GL9" s="1"/>
      <c r="GM9" s="1"/>
      <c r="GN9" s="1"/>
      <c r="GO9" s="301">
        <f>GQ9+GR9+GS9+GT9+GU9</f>
        <v>0</v>
      </c>
      <c r="GP9" s="1"/>
      <c r="GQ9" s="320">
        <f>(GH9*3.14*GJ9)/3</f>
        <v>0</v>
      </c>
      <c r="GR9" s="320">
        <f>(GI9*GK9)/3</f>
        <v>0</v>
      </c>
      <c r="GS9" s="320">
        <f>GL9*0.5</f>
        <v>0</v>
      </c>
      <c r="GT9" s="320">
        <f>GM9*1</f>
        <v>0</v>
      </c>
      <c r="GU9" s="320">
        <f>GN9*3</f>
        <v>0</v>
      </c>
      <c r="HB9" s="1" t="s">
        <v>1028</v>
      </c>
      <c r="HC9" s="1">
        <v>1</v>
      </c>
      <c r="HD9" s="1">
        <f t="shared" si="7"/>
        <v>20</v>
      </c>
      <c r="HE9" s="1"/>
      <c r="HF9" s="302">
        <v>4</v>
      </c>
      <c r="HG9" s="302">
        <v>4</v>
      </c>
      <c r="HH9" s="302">
        <v>12</v>
      </c>
      <c r="HI9" s="302">
        <f t="shared" si="8"/>
        <v>20</v>
      </c>
      <c r="IC9" s="314" t="s">
        <v>1039</v>
      </c>
      <c r="ID9" s="313" t="s">
        <v>1040</v>
      </c>
      <c r="IE9" s="313" t="s">
        <v>1041</v>
      </c>
      <c r="IF9" s="313" t="s">
        <v>1042</v>
      </c>
      <c r="IG9" s="313"/>
      <c r="IH9" s="325" t="s">
        <v>1048</v>
      </c>
      <c r="II9" s="325" t="s">
        <v>1043</v>
      </c>
      <c r="IJ9" s="325" t="s">
        <v>1044</v>
      </c>
      <c r="IK9" s="326" t="s">
        <v>1046</v>
      </c>
      <c r="IL9" s="300"/>
      <c r="JB9" s="1">
        <v>4</v>
      </c>
      <c r="JC9" s="1">
        <v>400</v>
      </c>
      <c r="JD9" s="301">
        <f>JF9+JG9+JH9+JI9</f>
        <v>24.444444444444443</v>
      </c>
      <c r="JE9" s="1"/>
      <c r="JF9" s="320">
        <f>JB9*3</f>
        <v>12</v>
      </c>
      <c r="JG9" s="320">
        <f>JC9/90</f>
        <v>4.4444444444444446</v>
      </c>
      <c r="JH9" s="320">
        <f>JB9*1</f>
        <v>4</v>
      </c>
      <c r="JI9" s="302">
        <f>JB9*1</f>
        <v>4</v>
      </c>
      <c r="JZ9" s="1" t="s">
        <v>912</v>
      </c>
      <c r="KA9" s="1"/>
      <c r="KB9" s="301">
        <f t="shared" si="0"/>
        <v>0</v>
      </c>
      <c r="KC9" s="301">
        <f t="shared" si="9"/>
        <v>0</v>
      </c>
      <c r="KD9" s="1"/>
      <c r="KE9" s="301">
        <f t="shared" si="1"/>
        <v>0</v>
      </c>
      <c r="KF9" s="1"/>
      <c r="KG9" s="302">
        <v>28.3</v>
      </c>
      <c r="KH9" s="302">
        <v>4</v>
      </c>
      <c r="KI9" s="302">
        <v>3</v>
      </c>
      <c r="KJ9" s="302">
        <v>3</v>
      </c>
      <c r="KZ9" s="512"/>
      <c r="LA9" s="513"/>
      <c r="LB9" s="513"/>
      <c r="LC9" s="513"/>
      <c r="LD9" s="513"/>
      <c r="LE9" s="303"/>
      <c r="LF9" s="303"/>
      <c r="LG9" s="514"/>
      <c r="LH9" s="514"/>
      <c r="LI9" s="514"/>
      <c r="LJ9" s="514"/>
      <c r="LK9" s="515"/>
    </row>
    <row r="10" spans="1:324" ht="16.5" thickBot="1" x14ac:dyDescent="0.3">
      <c r="A10" s="189" t="s">
        <v>114</v>
      </c>
      <c r="B10" s="12">
        <v>1</v>
      </c>
      <c r="C10" s="143" t="s">
        <v>242</v>
      </c>
      <c r="D10" s="12" t="s">
        <v>91</v>
      </c>
      <c r="E10" s="24">
        <v>25</v>
      </c>
      <c r="F10" s="191">
        <v>1</v>
      </c>
      <c r="G10" s="75"/>
      <c r="H10" s="189" t="s">
        <v>114</v>
      </c>
      <c r="I10" s="12">
        <v>1</v>
      </c>
      <c r="J10" s="143" t="s">
        <v>242</v>
      </c>
      <c r="K10" s="12" t="s">
        <v>84</v>
      </c>
      <c r="L10" s="24">
        <v>30</v>
      </c>
      <c r="M10" s="191">
        <v>1</v>
      </c>
      <c r="N10" s="75"/>
      <c r="O10" s="189" t="s">
        <v>114</v>
      </c>
      <c r="P10" s="12">
        <v>1</v>
      </c>
      <c r="Q10" s="143" t="s">
        <v>242</v>
      </c>
      <c r="R10" s="12" t="s">
        <v>84</v>
      </c>
      <c r="S10" s="24">
        <v>30</v>
      </c>
      <c r="T10" s="191">
        <v>1</v>
      </c>
      <c r="Y10" s="14" t="s">
        <v>25</v>
      </c>
      <c r="Z10" s="12">
        <v>1</v>
      </c>
      <c r="AA10" s="14" t="s">
        <v>47</v>
      </c>
      <c r="AB10" s="12" t="s">
        <v>77</v>
      </c>
      <c r="AC10" s="153">
        <f>Z10*90.95</f>
        <v>90.95</v>
      </c>
      <c r="AD10" s="153"/>
      <c r="AE10" s="95">
        <v>45762</v>
      </c>
      <c r="AF10" s="32" t="s">
        <v>554</v>
      </c>
      <c r="AG10" s="75"/>
      <c r="AH10" s="23" t="s">
        <v>181</v>
      </c>
      <c r="AI10" s="12">
        <v>1</v>
      </c>
      <c r="AJ10" s="23" t="s">
        <v>188</v>
      </c>
      <c r="AK10" s="12" t="s">
        <v>77</v>
      </c>
      <c r="AL10" s="149">
        <f>AI10*60</f>
        <v>60</v>
      </c>
      <c r="AM10" s="53"/>
      <c r="AN10" s="95">
        <v>45495</v>
      </c>
      <c r="AO10" s="32" t="s">
        <v>554</v>
      </c>
      <c r="AX10" s="14" t="s">
        <v>25</v>
      </c>
      <c r="AY10" s="12">
        <v>1</v>
      </c>
      <c r="AZ10" s="14" t="s">
        <v>47</v>
      </c>
      <c r="BA10" s="12" t="s">
        <v>27</v>
      </c>
      <c r="BB10" s="153">
        <f>AY10*111.15</f>
        <v>111.15</v>
      </c>
      <c r="BC10" s="24"/>
      <c r="BD10" s="95">
        <v>45768</v>
      </c>
      <c r="BE10" s="23" t="s">
        <v>336</v>
      </c>
      <c r="BF10" s="75"/>
      <c r="BG10" s="23" t="s">
        <v>181</v>
      </c>
      <c r="BH10" s="12">
        <v>1</v>
      </c>
      <c r="BI10" s="23" t="s">
        <v>188</v>
      </c>
      <c r="BJ10" s="88" t="s">
        <v>27</v>
      </c>
      <c r="BK10" s="149">
        <f>BH10*120</f>
        <v>120</v>
      </c>
      <c r="BL10" s="145"/>
      <c r="BM10" s="95">
        <v>45765</v>
      </c>
      <c r="BN10" s="106" t="s">
        <v>336</v>
      </c>
      <c r="BX10" s="14" t="s">
        <v>25</v>
      </c>
      <c r="BY10" s="12">
        <v>1</v>
      </c>
      <c r="BZ10" s="14" t="s">
        <v>47</v>
      </c>
      <c r="CA10" s="88" t="s">
        <v>74</v>
      </c>
      <c r="CB10" s="153">
        <f>BY10*159.3</f>
        <v>159.30000000000001</v>
      </c>
      <c r="CC10" s="153"/>
      <c r="CD10" s="95">
        <v>45771</v>
      </c>
      <c r="CE10" s="32" t="s">
        <v>284</v>
      </c>
      <c r="CF10" s="75"/>
      <c r="CG10" s="23" t="s">
        <v>181</v>
      </c>
      <c r="CH10" s="12">
        <v>1</v>
      </c>
      <c r="CI10" s="23" t="s">
        <v>188</v>
      </c>
      <c r="CJ10" s="12" t="s">
        <v>74</v>
      </c>
      <c r="CK10" s="149">
        <f>CH10*183</f>
        <v>183</v>
      </c>
      <c r="CL10" s="145"/>
      <c r="CM10" s="95">
        <v>45715</v>
      </c>
      <c r="CN10" s="32" t="s">
        <v>284</v>
      </c>
      <c r="CX10" s="234" t="s">
        <v>763</v>
      </c>
      <c r="CY10" s="235" t="s">
        <v>764</v>
      </c>
      <c r="CZ10" s="236">
        <v>1</v>
      </c>
      <c r="DA10" s="237" t="s">
        <v>762</v>
      </c>
      <c r="DB10" s="226">
        <f t="shared" ref="DB10:DB14" si="20">CZ10*4</f>
        <v>4</v>
      </c>
      <c r="DC10" s="242">
        <v>0</v>
      </c>
      <c r="DD10" s="242">
        <v>0.75</v>
      </c>
      <c r="DE10" s="238">
        <v>1</v>
      </c>
      <c r="DF10" s="381"/>
      <c r="DG10" s="381"/>
      <c r="DH10" s="229">
        <f t="shared" si="13"/>
        <v>5</v>
      </c>
      <c r="DI10" s="242">
        <v>0</v>
      </c>
      <c r="DJ10" s="242">
        <v>0.75</v>
      </c>
      <c r="DK10" s="239">
        <v>1</v>
      </c>
      <c r="DL10" s="240">
        <f t="shared" si="14"/>
        <v>6.75</v>
      </c>
      <c r="DM10" s="240"/>
      <c r="DN10" s="229">
        <f t="shared" si="15"/>
        <v>5.5</v>
      </c>
      <c r="DO10" s="241">
        <v>0</v>
      </c>
      <c r="DP10" s="242">
        <v>0.75</v>
      </c>
      <c r="DQ10" s="230">
        <v>1.5</v>
      </c>
      <c r="DR10" s="240">
        <f t="shared" si="16"/>
        <v>7.75</v>
      </c>
      <c r="DS10" s="229">
        <f t="shared" si="19"/>
        <v>7.5</v>
      </c>
      <c r="DT10" s="241">
        <v>0</v>
      </c>
      <c r="DU10" s="242">
        <v>0.75</v>
      </c>
      <c r="DV10" s="230">
        <v>2</v>
      </c>
      <c r="DW10" s="240">
        <f t="shared" si="17"/>
        <v>10.25</v>
      </c>
      <c r="EB10" s="315" t="s">
        <v>896</v>
      </c>
      <c r="EC10" s="166"/>
      <c r="ED10" s="1"/>
      <c r="EE10" s="1"/>
      <c r="EF10" s="1"/>
      <c r="EG10" s="1"/>
      <c r="EH10" s="1"/>
      <c r="EI10" s="1"/>
      <c r="EJ10" s="1"/>
      <c r="EK10" s="1"/>
      <c r="EL10" s="1"/>
      <c r="EM10" s="1"/>
      <c r="EN10" s="1"/>
      <c r="EO10" s="1"/>
      <c r="EP10" s="302"/>
      <c r="ES10" s="279" t="s">
        <v>912</v>
      </c>
      <c r="ET10" s="160"/>
      <c r="EU10" s="160">
        <f t="shared" si="2"/>
        <v>0</v>
      </c>
      <c r="EV10" s="160"/>
      <c r="EW10" s="306">
        <v>6</v>
      </c>
      <c r="EX10" s="306">
        <v>7</v>
      </c>
      <c r="EY10" s="306">
        <v>11</v>
      </c>
      <c r="EZ10" s="309">
        <f t="shared" si="3"/>
        <v>24</v>
      </c>
      <c r="FG10" s="1" t="s">
        <v>950</v>
      </c>
      <c r="FH10" s="1">
        <v>1</v>
      </c>
      <c r="FI10" s="166" t="s">
        <v>463</v>
      </c>
      <c r="FJ10" s="166" t="s">
        <v>889</v>
      </c>
      <c r="FK10" s="166" t="s">
        <v>889</v>
      </c>
      <c r="FL10" s="166"/>
      <c r="FM10" s="1" t="s">
        <v>889</v>
      </c>
      <c r="FN10" s="1" t="s">
        <v>889</v>
      </c>
      <c r="FO10" s="301">
        <f t="shared" si="4"/>
        <v>24</v>
      </c>
      <c r="FP10" s="1"/>
      <c r="FQ10" s="302" t="str">
        <f>IF(FI10=0,"0",IF(FI10="5/16","10",IF(FI10="3/8","10.5",IF(FI10="1/2","13.5",IF(FI10="5/8","15.5",IF(FI10="3/4","16","10"))))))</f>
        <v>10</v>
      </c>
      <c r="FR10" s="302" t="str">
        <f t="shared" ref="FR10:FS13" si="21">IF(FJ10="Yes","4","0")</f>
        <v>4</v>
      </c>
      <c r="FS10" s="302" t="str">
        <f t="shared" si="21"/>
        <v>4</v>
      </c>
      <c r="FT10" s="302" t="str">
        <f t="shared" si="6"/>
        <v>2</v>
      </c>
      <c r="FU10" s="302" t="str">
        <f t="shared" si="10"/>
        <v>4</v>
      </c>
      <c r="FV10" s="324" t="str">
        <f t="shared" si="11"/>
        <v>10</v>
      </c>
      <c r="FW10" s="323" t="s">
        <v>950</v>
      </c>
      <c r="FX10" s="1"/>
      <c r="FY10" s="1" t="s">
        <v>964</v>
      </c>
      <c r="FZ10" s="1"/>
      <c r="GA10" s="1">
        <f t="shared" si="12"/>
        <v>11</v>
      </c>
      <c r="GB10" s="1"/>
      <c r="GD10" s="166"/>
      <c r="GH10" s="1"/>
      <c r="GI10" s="1"/>
      <c r="GJ10" s="1"/>
      <c r="GK10" s="1"/>
      <c r="GL10" s="1"/>
      <c r="GM10" s="1"/>
      <c r="GN10" s="1"/>
      <c r="GO10" s="1"/>
      <c r="GP10" s="1"/>
      <c r="GQ10" s="1"/>
      <c r="GR10" s="1"/>
      <c r="GS10" s="1"/>
      <c r="GT10" s="1"/>
      <c r="GU10" s="1"/>
      <c r="HB10" s="1" t="s">
        <v>1029</v>
      </c>
      <c r="HC10" s="1">
        <v>1</v>
      </c>
      <c r="HD10" s="1">
        <f t="shared" si="7"/>
        <v>24.5</v>
      </c>
      <c r="HE10" s="1"/>
      <c r="HF10" s="302">
        <v>5</v>
      </c>
      <c r="HG10" s="302">
        <v>4.5</v>
      </c>
      <c r="HH10" s="302">
        <v>15</v>
      </c>
      <c r="HI10" s="302">
        <f t="shared" si="8"/>
        <v>24.5</v>
      </c>
      <c r="IC10" s="279"/>
      <c r="ID10" s="160"/>
      <c r="IE10" s="160"/>
      <c r="IF10" s="305">
        <f>IH10+II10+IJ10+IK10</f>
        <v>0</v>
      </c>
      <c r="IG10" s="160"/>
      <c r="IH10" s="327">
        <f>ID10/10</f>
        <v>0</v>
      </c>
      <c r="II10" s="327">
        <f>ID10/10</f>
        <v>0</v>
      </c>
      <c r="IJ10" s="327">
        <f>ID10/10</f>
        <v>0</v>
      </c>
      <c r="IK10" s="309">
        <f>IE10*1</f>
        <v>0</v>
      </c>
      <c r="IL10" s="302"/>
      <c r="JB10" s="1" t="s">
        <v>1178</v>
      </c>
      <c r="JC10" s="1"/>
      <c r="JD10" s="1"/>
      <c r="JE10" s="1"/>
      <c r="JF10" s="1"/>
      <c r="JG10" s="1"/>
      <c r="JH10" s="1"/>
      <c r="JZ10" s="1" t="s">
        <v>913</v>
      </c>
      <c r="KA10" s="1"/>
      <c r="KB10" s="301">
        <f t="shared" si="0"/>
        <v>0</v>
      </c>
      <c r="KC10" s="301">
        <f t="shared" si="9"/>
        <v>0</v>
      </c>
      <c r="KD10" s="1"/>
      <c r="KE10" s="301">
        <f t="shared" si="1"/>
        <v>0</v>
      </c>
      <c r="KF10" s="1"/>
      <c r="KG10" s="302">
        <v>31.4</v>
      </c>
      <c r="KH10" s="302">
        <v>4</v>
      </c>
      <c r="KI10" s="302">
        <v>3</v>
      </c>
      <c r="KJ10" s="302">
        <v>3</v>
      </c>
      <c r="KZ10" s="279" t="s">
        <v>1089</v>
      </c>
      <c r="LA10" s="160" t="s">
        <v>889</v>
      </c>
      <c r="LB10" s="160"/>
      <c r="LC10" s="305"/>
      <c r="LD10" s="305">
        <f>(LG10*LH10)+(LB10*LI10)+(LC10*LJ10)+LK10</f>
        <v>12</v>
      </c>
      <c r="LE10" s="160"/>
      <c r="LF10" s="160"/>
      <c r="LG10" s="327">
        <v>16</v>
      </c>
      <c r="LH10" s="306">
        <v>0.5</v>
      </c>
      <c r="LI10" s="306">
        <v>1.5</v>
      </c>
      <c r="LJ10" s="306">
        <v>3</v>
      </c>
      <c r="LK10" s="332" t="str">
        <f>IF(LA10="Yes","4","0")</f>
        <v>4</v>
      </c>
    </row>
    <row r="11" spans="1:324" ht="16.5" thickBot="1" x14ac:dyDescent="0.3">
      <c r="A11" s="189" t="s">
        <v>85</v>
      </c>
      <c r="B11" s="12">
        <v>1</v>
      </c>
      <c r="C11" s="86" t="s">
        <v>253</v>
      </c>
      <c r="D11" s="12" t="s">
        <v>91</v>
      </c>
      <c r="E11" s="24"/>
      <c r="F11" s="192">
        <f>B11*1</f>
        <v>1</v>
      </c>
      <c r="G11" s="75"/>
      <c r="H11" s="189" t="s">
        <v>85</v>
      </c>
      <c r="I11" s="12">
        <v>1</v>
      </c>
      <c r="J11" s="86" t="s">
        <v>253</v>
      </c>
      <c r="K11" s="12" t="s">
        <v>84</v>
      </c>
      <c r="L11" s="24"/>
      <c r="M11" s="192">
        <f>I11*1</f>
        <v>1</v>
      </c>
      <c r="N11" s="75"/>
      <c r="O11" s="189" t="s">
        <v>85</v>
      </c>
      <c r="P11" s="12">
        <v>1</v>
      </c>
      <c r="Q11" s="86" t="s">
        <v>253</v>
      </c>
      <c r="R11" s="12" t="s">
        <v>84</v>
      </c>
      <c r="S11" s="24"/>
      <c r="T11" s="192">
        <f>P11*1</f>
        <v>1</v>
      </c>
      <c r="Y11" s="14" t="s">
        <v>25</v>
      </c>
      <c r="Z11" s="12">
        <v>1</v>
      </c>
      <c r="AA11" s="14" t="s">
        <v>50</v>
      </c>
      <c r="AB11" s="12" t="s">
        <v>77</v>
      </c>
      <c r="AC11" s="153">
        <f>Z11*93</f>
        <v>93</v>
      </c>
      <c r="AD11" s="153"/>
      <c r="AE11" s="95">
        <v>45495</v>
      </c>
      <c r="AF11" s="32" t="s">
        <v>554</v>
      </c>
      <c r="AG11" s="75"/>
      <c r="AH11" s="23" t="s">
        <v>181</v>
      </c>
      <c r="AI11" s="12">
        <v>1</v>
      </c>
      <c r="AJ11" s="23" t="s">
        <v>189</v>
      </c>
      <c r="AK11" s="12" t="s">
        <v>77</v>
      </c>
      <c r="AL11" s="111">
        <f>AI11*60</f>
        <v>60</v>
      </c>
      <c r="AM11" s="50"/>
      <c r="AN11" s="95">
        <v>45495</v>
      </c>
      <c r="AO11" s="32" t="s">
        <v>554</v>
      </c>
      <c r="AX11" s="14" t="s">
        <v>25</v>
      </c>
      <c r="AY11" s="12">
        <v>1</v>
      </c>
      <c r="AZ11" s="14" t="s">
        <v>50</v>
      </c>
      <c r="BA11" s="12" t="s">
        <v>27</v>
      </c>
      <c r="BB11" s="153">
        <f>AY11*211</f>
        <v>211</v>
      </c>
      <c r="BC11" s="153"/>
      <c r="BD11" s="95">
        <v>45715</v>
      </c>
      <c r="BE11" s="23" t="s">
        <v>336</v>
      </c>
      <c r="BF11" s="75"/>
      <c r="BG11" s="23" t="s">
        <v>181</v>
      </c>
      <c r="BH11" s="12">
        <v>1</v>
      </c>
      <c r="BI11" s="23" t="s">
        <v>189</v>
      </c>
      <c r="BJ11" s="88" t="s">
        <v>27</v>
      </c>
      <c r="BK11" s="111">
        <f>BH11*220</f>
        <v>220</v>
      </c>
      <c r="BL11" s="93"/>
      <c r="BM11" s="95">
        <v>45715</v>
      </c>
      <c r="BN11" s="106" t="s">
        <v>336</v>
      </c>
      <c r="BX11" s="14" t="s">
        <v>25</v>
      </c>
      <c r="BY11" s="12">
        <v>1</v>
      </c>
      <c r="BZ11" s="14" t="s">
        <v>50</v>
      </c>
      <c r="CA11" s="88" t="s">
        <v>74</v>
      </c>
      <c r="CB11" s="153">
        <f>BY11*300</f>
        <v>300</v>
      </c>
      <c r="CC11" s="153"/>
      <c r="CD11" s="95">
        <v>45782</v>
      </c>
      <c r="CE11" s="32" t="s">
        <v>284</v>
      </c>
      <c r="CF11" s="75"/>
      <c r="CG11" s="23" t="s">
        <v>181</v>
      </c>
      <c r="CH11" s="12">
        <v>1</v>
      </c>
      <c r="CI11" s="23" t="s">
        <v>189</v>
      </c>
      <c r="CJ11" s="12" t="s">
        <v>74</v>
      </c>
      <c r="CK11" s="111">
        <f>CH11*371</f>
        <v>371</v>
      </c>
      <c r="CL11" s="26"/>
      <c r="CM11" s="95">
        <v>45715</v>
      </c>
      <c r="CN11" s="32" t="s">
        <v>284</v>
      </c>
      <c r="CX11" s="234" t="s">
        <v>765</v>
      </c>
      <c r="CY11" s="235" t="s">
        <v>766</v>
      </c>
      <c r="CZ11" s="236">
        <v>1</v>
      </c>
      <c r="DA11" s="237" t="s">
        <v>762</v>
      </c>
      <c r="DB11" s="226">
        <f t="shared" si="20"/>
        <v>4</v>
      </c>
      <c r="DC11" s="242">
        <v>0</v>
      </c>
      <c r="DD11" s="242">
        <v>1</v>
      </c>
      <c r="DE11" s="238">
        <v>1</v>
      </c>
      <c r="DF11" s="381"/>
      <c r="DG11" s="381"/>
      <c r="DH11" s="229">
        <f t="shared" si="13"/>
        <v>5</v>
      </c>
      <c r="DI11" s="242">
        <v>0</v>
      </c>
      <c r="DJ11" s="242">
        <v>1</v>
      </c>
      <c r="DK11" s="239">
        <v>1</v>
      </c>
      <c r="DL11" s="240">
        <f t="shared" si="14"/>
        <v>7</v>
      </c>
      <c r="DM11" s="240"/>
      <c r="DN11" s="229">
        <f t="shared" si="15"/>
        <v>5.5</v>
      </c>
      <c r="DO11" s="241">
        <v>0</v>
      </c>
      <c r="DP11" s="242">
        <v>1</v>
      </c>
      <c r="DQ11" s="230">
        <v>1.5</v>
      </c>
      <c r="DR11" s="240">
        <f t="shared" si="16"/>
        <v>8</v>
      </c>
      <c r="DS11" s="229">
        <f t="shared" si="19"/>
        <v>7.5</v>
      </c>
      <c r="DT11" s="241">
        <v>0</v>
      </c>
      <c r="DU11" s="242">
        <v>1</v>
      </c>
      <c r="DV11" s="230">
        <v>2</v>
      </c>
      <c r="DW11" s="240">
        <f t="shared" si="17"/>
        <v>10.5</v>
      </c>
      <c r="EB11" s="315" t="s">
        <v>897</v>
      </c>
      <c r="EC11" s="166"/>
      <c r="ED11" s="1"/>
      <c r="EE11" s="1"/>
      <c r="EF11" s="1"/>
      <c r="EG11" s="1"/>
      <c r="EH11" s="1"/>
      <c r="EI11" s="1"/>
      <c r="EJ11" s="1"/>
      <c r="EK11" s="1"/>
      <c r="EL11" s="1"/>
      <c r="EM11" s="1"/>
      <c r="EN11" s="1"/>
      <c r="EO11" s="1"/>
      <c r="EP11" s="302"/>
      <c r="ES11" s="279" t="s">
        <v>913</v>
      </c>
      <c r="ET11" s="160"/>
      <c r="EU11" s="160">
        <f t="shared" si="2"/>
        <v>0</v>
      </c>
      <c r="EV11" s="160"/>
      <c r="EW11" s="306">
        <v>6</v>
      </c>
      <c r="EX11" s="306">
        <v>8</v>
      </c>
      <c r="EY11" s="306">
        <v>12</v>
      </c>
      <c r="EZ11" s="309">
        <f t="shared" si="3"/>
        <v>26</v>
      </c>
      <c r="FG11" s="1" t="s">
        <v>951</v>
      </c>
      <c r="FH11" s="1">
        <v>1</v>
      </c>
      <c r="FI11" s="166" t="s">
        <v>463</v>
      </c>
      <c r="FJ11" s="166" t="s">
        <v>889</v>
      </c>
      <c r="FK11" s="166" t="s">
        <v>889</v>
      </c>
      <c r="FL11" s="166"/>
      <c r="FM11" s="1" t="s">
        <v>889</v>
      </c>
      <c r="FN11" s="1" t="s">
        <v>889</v>
      </c>
      <c r="FO11" s="301">
        <f t="shared" si="4"/>
        <v>26</v>
      </c>
      <c r="FP11" s="1"/>
      <c r="FQ11" s="302" t="str">
        <f>IF(FI11=0,"0",IF(FI11="5/16","12",IF(FI11="3/8","13",IF(FI11="1/2","17",IF(FI11="5/8","20",IF(FI11="3/4","22","12"))))))</f>
        <v>12</v>
      </c>
      <c r="FR11" s="302" t="str">
        <f t="shared" si="21"/>
        <v>4</v>
      </c>
      <c r="FS11" s="302" t="str">
        <f t="shared" si="21"/>
        <v>4</v>
      </c>
      <c r="FT11" s="302" t="str">
        <f t="shared" si="6"/>
        <v>2</v>
      </c>
      <c r="FU11" s="302" t="str">
        <f t="shared" si="10"/>
        <v>4</v>
      </c>
      <c r="FV11" s="324" t="str">
        <f t="shared" si="11"/>
        <v>12</v>
      </c>
      <c r="FW11" s="323" t="s">
        <v>951</v>
      </c>
      <c r="FX11" s="1"/>
      <c r="FY11" s="1" t="s">
        <v>965</v>
      </c>
      <c r="FZ11" s="1"/>
      <c r="GA11" s="1">
        <f t="shared" si="12"/>
        <v>13.200000000000001</v>
      </c>
      <c r="GB11" s="1"/>
      <c r="GD11" s="166"/>
      <c r="HB11" s="1" t="s">
        <v>1030</v>
      </c>
      <c r="HC11" s="1">
        <v>1</v>
      </c>
      <c r="HD11" s="1">
        <f t="shared" si="7"/>
        <v>25</v>
      </c>
      <c r="HE11" s="1"/>
      <c r="HF11" s="302">
        <v>5</v>
      </c>
      <c r="HG11" s="302">
        <v>5</v>
      </c>
      <c r="HH11" s="302">
        <v>15</v>
      </c>
      <c r="HI11" s="302">
        <f t="shared" si="8"/>
        <v>25</v>
      </c>
      <c r="IC11" s="279"/>
      <c r="ID11" s="160"/>
      <c r="IE11" s="160"/>
      <c r="IF11" s="160"/>
      <c r="IG11" s="160"/>
      <c r="IH11" s="160"/>
      <c r="II11" s="160"/>
      <c r="IJ11" s="160"/>
      <c r="IK11" s="112"/>
      <c r="JB11" s="1"/>
      <c r="JC11" s="1"/>
      <c r="JD11" s="1"/>
      <c r="JE11" s="1"/>
      <c r="JF11" s="1"/>
      <c r="JG11" s="1"/>
      <c r="JH11" s="1"/>
      <c r="JZ11" s="1" t="s">
        <v>914</v>
      </c>
      <c r="KA11" s="1"/>
      <c r="KB11" s="301">
        <f t="shared" si="0"/>
        <v>0</v>
      </c>
      <c r="KC11" s="301">
        <f t="shared" si="9"/>
        <v>0</v>
      </c>
      <c r="KD11" s="1"/>
      <c r="KE11" s="301">
        <f t="shared" si="1"/>
        <v>0</v>
      </c>
      <c r="KF11" s="1"/>
      <c r="KG11" s="302">
        <v>34.6</v>
      </c>
      <c r="KH11" s="302">
        <v>4</v>
      </c>
      <c r="KI11" s="302">
        <v>3</v>
      </c>
      <c r="KJ11" s="302">
        <v>3</v>
      </c>
      <c r="KZ11" s="279" t="s">
        <v>908</v>
      </c>
      <c r="LA11" s="160" t="s">
        <v>889</v>
      </c>
      <c r="LB11" s="160"/>
      <c r="LC11" s="305"/>
      <c r="LD11" s="305">
        <f t="shared" ref="LD11:LD20" si="22">(LG11*LH11)+(LB11*LI11)+(LC11*LJ11)+LK11</f>
        <v>15</v>
      </c>
      <c r="LE11" s="160"/>
      <c r="LF11" s="160"/>
      <c r="LG11" s="327">
        <v>20</v>
      </c>
      <c r="LH11" s="306">
        <v>0.5</v>
      </c>
      <c r="LI11" s="306">
        <v>1.5</v>
      </c>
      <c r="LJ11" s="306">
        <v>3</v>
      </c>
      <c r="LK11" s="332" t="str">
        <f>IF(LA11="Yes","5","0")</f>
        <v>5</v>
      </c>
    </row>
    <row r="12" spans="1:324" ht="16.5" thickBot="1" x14ac:dyDescent="0.3">
      <c r="A12" s="189" t="s">
        <v>86</v>
      </c>
      <c r="B12" s="12">
        <v>1</v>
      </c>
      <c r="C12" s="86" t="s">
        <v>1158</v>
      </c>
      <c r="D12" s="12" t="s">
        <v>91</v>
      </c>
      <c r="E12" s="24"/>
      <c r="F12" s="192">
        <f>B12*4</f>
        <v>4</v>
      </c>
      <c r="G12" s="75"/>
      <c r="H12" s="189" t="s">
        <v>86</v>
      </c>
      <c r="I12" s="12">
        <v>1</v>
      </c>
      <c r="J12" s="86" t="s">
        <v>1158</v>
      </c>
      <c r="K12" s="12" t="s">
        <v>84</v>
      </c>
      <c r="L12" s="24"/>
      <c r="M12" s="192">
        <f>I12*4</f>
        <v>4</v>
      </c>
      <c r="N12" s="75"/>
      <c r="O12" s="189" t="s">
        <v>86</v>
      </c>
      <c r="P12" s="12">
        <v>1</v>
      </c>
      <c r="Q12" s="86" t="s">
        <v>1158</v>
      </c>
      <c r="R12" s="12" t="s">
        <v>84</v>
      </c>
      <c r="S12" s="24"/>
      <c r="T12" s="192">
        <f>P12*4</f>
        <v>4</v>
      </c>
      <c r="Y12" s="14" t="s">
        <v>25</v>
      </c>
      <c r="Z12" s="12">
        <v>1</v>
      </c>
      <c r="AA12" s="14" t="s">
        <v>52</v>
      </c>
      <c r="AB12" s="12" t="s">
        <v>77</v>
      </c>
      <c r="AC12" s="153">
        <f>Z12*239.2</f>
        <v>239.2</v>
      </c>
      <c r="AD12" s="96"/>
      <c r="AE12" s="95">
        <v>45762</v>
      </c>
      <c r="AF12" s="32" t="s">
        <v>554</v>
      </c>
      <c r="AG12" s="75"/>
      <c r="AH12" s="23" t="s">
        <v>181</v>
      </c>
      <c r="AI12" s="12">
        <v>1</v>
      </c>
      <c r="AJ12" s="23" t="s">
        <v>190</v>
      </c>
      <c r="AK12" s="12" t="s">
        <v>77</v>
      </c>
      <c r="AL12" s="149">
        <f>AI12*95</f>
        <v>95</v>
      </c>
      <c r="AM12" s="50"/>
      <c r="AN12" s="95">
        <v>45475</v>
      </c>
      <c r="AO12" s="32" t="s">
        <v>554</v>
      </c>
      <c r="AX12" s="14" t="s">
        <v>25</v>
      </c>
      <c r="AY12" s="12">
        <v>1</v>
      </c>
      <c r="AZ12" s="14" t="s">
        <v>52</v>
      </c>
      <c r="BA12" s="12" t="s">
        <v>27</v>
      </c>
      <c r="BB12" s="153">
        <f>AY12*327</f>
        <v>327</v>
      </c>
      <c r="BC12" s="96"/>
      <c r="BD12" s="95">
        <v>45715</v>
      </c>
      <c r="BE12" s="23" t="s">
        <v>336</v>
      </c>
      <c r="BF12" s="75"/>
      <c r="BG12" s="23" t="s">
        <v>181</v>
      </c>
      <c r="BH12" s="12">
        <v>1</v>
      </c>
      <c r="BI12" s="23" t="s">
        <v>190</v>
      </c>
      <c r="BJ12" s="88" t="s">
        <v>27</v>
      </c>
      <c r="BK12" s="149">
        <f>BH12*381</f>
        <v>381</v>
      </c>
      <c r="BL12" s="93"/>
      <c r="BM12" s="95">
        <v>45715</v>
      </c>
      <c r="BN12" s="106" t="s">
        <v>336</v>
      </c>
      <c r="BX12" s="14" t="s">
        <v>25</v>
      </c>
      <c r="BY12" s="12">
        <v>1</v>
      </c>
      <c r="BZ12" s="14" t="s">
        <v>52</v>
      </c>
      <c r="CA12" s="88" t="s">
        <v>74</v>
      </c>
      <c r="CB12" s="153">
        <f>BY12*463</f>
        <v>463</v>
      </c>
      <c r="CC12" s="96"/>
      <c r="CD12" s="95">
        <v>45715</v>
      </c>
      <c r="CE12" s="32" t="s">
        <v>284</v>
      </c>
      <c r="CF12" s="75"/>
      <c r="CG12" s="23" t="s">
        <v>181</v>
      </c>
      <c r="CH12" s="12">
        <v>1</v>
      </c>
      <c r="CI12" s="23" t="s">
        <v>190</v>
      </c>
      <c r="CJ12" s="88" t="s">
        <v>74</v>
      </c>
      <c r="CK12" s="149">
        <f>CH12*501</f>
        <v>501</v>
      </c>
      <c r="CL12" s="93"/>
      <c r="CM12" s="95">
        <v>45715</v>
      </c>
      <c r="CN12" s="32" t="s">
        <v>284</v>
      </c>
      <c r="CX12" s="234" t="s">
        <v>767</v>
      </c>
      <c r="CY12" s="235" t="s">
        <v>768</v>
      </c>
      <c r="CZ12" s="236">
        <v>1</v>
      </c>
      <c r="DA12" s="237" t="s">
        <v>762</v>
      </c>
      <c r="DB12" s="226">
        <f t="shared" si="20"/>
        <v>4</v>
      </c>
      <c r="DC12" s="242">
        <v>0</v>
      </c>
      <c r="DD12" s="242">
        <v>1</v>
      </c>
      <c r="DE12" s="238">
        <v>1</v>
      </c>
      <c r="DF12" s="381"/>
      <c r="DG12" s="381"/>
      <c r="DH12" s="229">
        <f t="shared" si="13"/>
        <v>5</v>
      </c>
      <c r="DI12" s="242">
        <v>0</v>
      </c>
      <c r="DJ12" s="242">
        <v>1</v>
      </c>
      <c r="DK12" s="239">
        <v>1</v>
      </c>
      <c r="DL12" s="240">
        <f t="shared" si="14"/>
        <v>7</v>
      </c>
      <c r="DM12" s="240"/>
      <c r="DN12" s="229">
        <f t="shared" si="15"/>
        <v>5.5</v>
      </c>
      <c r="DO12" s="241">
        <v>0</v>
      </c>
      <c r="DP12" s="242">
        <v>1</v>
      </c>
      <c r="DQ12" s="230">
        <v>1.5</v>
      </c>
      <c r="DR12" s="240">
        <f t="shared" si="16"/>
        <v>8</v>
      </c>
      <c r="DS12" s="229">
        <f t="shared" si="19"/>
        <v>7.5</v>
      </c>
      <c r="DT12" s="241">
        <v>0</v>
      </c>
      <c r="DU12" s="242">
        <v>1</v>
      </c>
      <c r="DV12" s="230">
        <v>2</v>
      </c>
      <c r="DW12" s="240">
        <f t="shared" si="17"/>
        <v>10.5</v>
      </c>
      <c r="EB12" s="375" t="s">
        <v>898</v>
      </c>
      <c r="EC12" s="376"/>
      <c r="ED12" s="377"/>
      <c r="EE12" s="377"/>
      <c r="EF12" s="1"/>
      <c r="EG12" s="1"/>
      <c r="EH12" s="1"/>
      <c r="EI12" s="1"/>
      <c r="EJ12" s="1"/>
      <c r="EK12" s="1"/>
      <c r="EL12" s="1"/>
      <c r="EM12" s="1"/>
      <c r="EN12" s="1"/>
      <c r="EO12" s="1"/>
      <c r="EP12" s="302"/>
      <c r="ES12" s="279" t="s">
        <v>914</v>
      </c>
      <c r="ET12" s="160"/>
      <c r="EU12" s="160">
        <f t="shared" si="2"/>
        <v>0</v>
      </c>
      <c r="EV12" s="160"/>
      <c r="EW12" s="306">
        <v>7</v>
      </c>
      <c r="EX12" s="306">
        <v>9</v>
      </c>
      <c r="EY12" s="306">
        <v>14</v>
      </c>
      <c r="EZ12" s="309">
        <f t="shared" si="3"/>
        <v>30</v>
      </c>
      <c r="FG12" s="1" t="s">
        <v>952</v>
      </c>
      <c r="FH12" s="1">
        <v>1</v>
      </c>
      <c r="FI12" s="166" t="s">
        <v>463</v>
      </c>
      <c r="FJ12" s="166" t="s">
        <v>889</v>
      </c>
      <c r="FK12" s="166" t="s">
        <v>889</v>
      </c>
      <c r="FL12" s="166"/>
      <c r="FM12" s="1" t="s">
        <v>889</v>
      </c>
      <c r="FN12" s="1" t="s">
        <v>889</v>
      </c>
      <c r="FO12" s="301">
        <f t="shared" si="4"/>
        <v>27</v>
      </c>
      <c r="FP12" s="1"/>
      <c r="FQ12" s="302" t="str">
        <f>IF(FI12=0,"0",IF(FI12="5/16","13",IF(FI12="3/8","15",IF(FI12="1/2","20",IF(FI12="5/8","24",IF(FI12="3/4","26","13"))))))</f>
        <v>13</v>
      </c>
      <c r="FR12" s="302" t="str">
        <f t="shared" si="21"/>
        <v>4</v>
      </c>
      <c r="FS12" s="302" t="str">
        <f t="shared" si="21"/>
        <v>4</v>
      </c>
      <c r="FT12" s="302" t="str">
        <f t="shared" si="6"/>
        <v>2</v>
      </c>
      <c r="FU12" s="302" t="str">
        <f t="shared" si="10"/>
        <v>4</v>
      </c>
      <c r="FV12" s="324" t="str">
        <f t="shared" si="11"/>
        <v>13</v>
      </c>
      <c r="FW12" s="323" t="s">
        <v>952</v>
      </c>
      <c r="FX12" s="1"/>
      <c r="FY12" s="1" t="s">
        <v>966</v>
      </c>
      <c r="FZ12" s="1"/>
      <c r="GA12" s="1">
        <f t="shared" si="12"/>
        <v>14.3</v>
      </c>
      <c r="GB12" s="1"/>
      <c r="GD12" s="1"/>
      <c r="HB12" s="1" t="s">
        <v>1031</v>
      </c>
      <c r="HC12" s="1">
        <v>1</v>
      </c>
      <c r="HD12" s="1">
        <f t="shared" si="7"/>
        <v>29.5</v>
      </c>
      <c r="HE12" s="1"/>
      <c r="HF12" s="302">
        <v>6</v>
      </c>
      <c r="HG12" s="302">
        <v>5.5</v>
      </c>
      <c r="HH12" s="302">
        <v>18</v>
      </c>
      <c r="HI12" s="302">
        <f t="shared" si="8"/>
        <v>29.5</v>
      </c>
      <c r="IC12" s="283"/>
      <c r="ID12" s="284"/>
      <c r="IE12" s="284"/>
      <c r="IF12" s="284"/>
      <c r="IG12" s="284"/>
      <c r="IH12" s="284"/>
      <c r="II12" s="284"/>
      <c r="IJ12" s="284"/>
      <c r="IK12" s="115"/>
      <c r="JB12" s="1"/>
      <c r="JC12" s="1"/>
      <c r="JD12" s="1"/>
      <c r="JE12" s="1"/>
      <c r="JF12" s="1"/>
      <c r="JG12" s="1"/>
      <c r="JH12" s="1"/>
      <c r="JZ12" s="1" t="s">
        <v>915</v>
      </c>
      <c r="KA12" s="1"/>
      <c r="KB12" s="301">
        <f t="shared" si="0"/>
        <v>0</v>
      </c>
      <c r="KC12" s="301">
        <f t="shared" si="9"/>
        <v>0</v>
      </c>
      <c r="KD12" s="1"/>
      <c r="KE12" s="301">
        <f t="shared" si="1"/>
        <v>0</v>
      </c>
      <c r="KF12" s="1"/>
      <c r="KG12" s="302">
        <v>37.700000000000003</v>
      </c>
      <c r="KH12" s="302">
        <v>4</v>
      </c>
      <c r="KI12" s="302">
        <v>3</v>
      </c>
      <c r="KJ12" s="302">
        <v>3</v>
      </c>
      <c r="KZ12" s="279" t="s">
        <v>909</v>
      </c>
      <c r="LA12" s="160" t="s">
        <v>889</v>
      </c>
      <c r="LB12" s="160"/>
      <c r="LC12" s="305"/>
      <c r="LD12" s="305">
        <f t="shared" si="22"/>
        <v>24</v>
      </c>
      <c r="LE12" s="160"/>
      <c r="LF12" s="160"/>
      <c r="LG12" s="327">
        <v>36</v>
      </c>
      <c r="LH12" s="306">
        <v>0.5</v>
      </c>
      <c r="LI12" s="306">
        <v>1.5</v>
      </c>
      <c r="LJ12" s="306">
        <v>3</v>
      </c>
      <c r="LK12" s="332" t="str">
        <f>IF(LA12="Yes","6","0")</f>
        <v>6</v>
      </c>
    </row>
    <row r="13" spans="1:324" ht="16.5" thickBot="1" x14ac:dyDescent="0.3">
      <c r="A13" s="189"/>
      <c r="B13" s="12"/>
      <c r="C13" s="86" t="s">
        <v>89</v>
      </c>
      <c r="D13" s="12" t="s">
        <v>91</v>
      </c>
      <c r="E13" s="24"/>
      <c r="F13" s="192"/>
      <c r="G13" s="75"/>
      <c r="H13" s="189"/>
      <c r="I13" s="12"/>
      <c r="J13" s="86" t="s">
        <v>89</v>
      </c>
      <c r="K13" s="12" t="s">
        <v>84</v>
      </c>
      <c r="L13" s="24"/>
      <c r="M13" s="192"/>
      <c r="N13" s="75"/>
      <c r="O13" s="189"/>
      <c r="P13" s="12"/>
      <c r="Q13" s="86" t="s">
        <v>89</v>
      </c>
      <c r="R13" s="12" t="s">
        <v>84</v>
      </c>
      <c r="S13" s="24"/>
      <c r="T13" s="192"/>
      <c r="Y13" s="14" t="s">
        <v>25</v>
      </c>
      <c r="Z13" s="12">
        <v>1</v>
      </c>
      <c r="AA13" s="14" t="s">
        <v>55</v>
      </c>
      <c r="AB13" s="12" t="s">
        <v>77</v>
      </c>
      <c r="AC13" s="110">
        <f>Z13*354.49</f>
        <v>354.49</v>
      </c>
      <c r="AD13" s="96"/>
      <c r="AE13" s="95">
        <v>45762</v>
      </c>
      <c r="AF13" s="32" t="s">
        <v>554</v>
      </c>
      <c r="AG13" s="75"/>
      <c r="AH13" s="23" t="s">
        <v>181</v>
      </c>
      <c r="AI13" s="12">
        <v>1</v>
      </c>
      <c r="AJ13" s="23" t="s">
        <v>191</v>
      </c>
      <c r="AK13" s="12" t="s">
        <v>77</v>
      </c>
      <c r="AL13" s="111">
        <f>AI13*155</f>
        <v>155</v>
      </c>
      <c r="AM13" s="50"/>
      <c r="AN13" s="95">
        <v>45475</v>
      </c>
      <c r="AO13" s="32" t="s">
        <v>554</v>
      </c>
      <c r="AX13" s="14" t="s">
        <v>25</v>
      </c>
      <c r="AY13" s="12">
        <v>1</v>
      </c>
      <c r="AZ13" s="14" t="s">
        <v>55</v>
      </c>
      <c r="BA13" s="12" t="s">
        <v>27</v>
      </c>
      <c r="BB13" s="96">
        <f>AY13*482</f>
        <v>482</v>
      </c>
      <c r="BC13" s="13"/>
      <c r="BD13" s="95">
        <v>45715</v>
      </c>
      <c r="BE13" s="23" t="s">
        <v>336</v>
      </c>
      <c r="BF13" s="75"/>
      <c r="BG13" s="23" t="s">
        <v>181</v>
      </c>
      <c r="BH13" s="12">
        <v>1</v>
      </c>
      <c r="BI13" s="23" t="s">
        <v>191</v>
      </c>
      <c r="BJ13" s="88" t="s">
        <v>27</v>
      </c>
      <c r="BK13" s="92">
        <f>BH13*516</f>
        <v>516</v>
      </c>
      <c r="BL13" s="93"/>
      <c r="BM13" s="95">
        <v>45765</v>
      </c>
      <c r="BN13" s="106" t="s">
        <v>336</v>
      </c>
      <c r="BX13" s="14" t="s">
        <v>25</v>
      </c>
      <c r="BY13" s="12">
        <v>1</v>
      </c>
      <c r="BZ13" s="14" t="s">
        <v>55</v>
      </c>
      <c r="CA13" s="88" t="s">
        <v>74</v>
      </c>
      <c r="CB13" s="110">
        <f>BY13*663.75</f>
        <v>663.75</v>
      </c>
      <c r="CC13" s="96"/>
      <c r="CD13" s="95">
        <v>45782</v>
      </c>
      <c r="CE13" s="32" t="s">
        <v>284</v>
      </c>
      <c r="CF13" s="75"/>
      <c r="CG13" s="23" t="s">
        <v>181</v>
      </c>
      <c r="CH13" s="12">
        <v>1</v>
      </c>
      <c r="CI13" s="23" t="s">
        <v>191</v>
      </c>
      <c r="CJ13" s="88" t="s">
        <v>74</v>
      </c>
      <c r="CK13" s="92">
        <f>CH13*656</f>
        <v>656</v>
      </c>
      <c r="CL13" s="93"/>
      <c r="CM13" s="95">
        <v>45715</v>
      </c>
      <c r="CN13" s="32" t="s">
        <v>284</v>
      </c>
      <c r="CX13" s="234" t="s">
        <v>769</v>
      </c>
      <c r="CY13" s="235" t="s">
        <v>770</v>
      </c>
      <c r="CZ13" s="236">
        <v>1</v>
      </c>
      <c r="DA13" s="237" t="s">
        <v>762</v>
      </c>
      <c r="DB13" s="226">
        <f t="shared" si="20"/>
        <v>4</v>
      </c>
      <c r="DC13" s="242">
        <v>1</v>
      </c>
      <c r="DD13" s="242">
        <v>1</v>
      </c>
      <c r="DE13" s="238">
        <v>1</v>
      </c>
      <c r="DF13" s="381"/>
      <c r="DG13" s="381"/>
      <c r="DH13" s="229">
        <f t="shared" si="13"/>
        <v>5</v>
      </c>
      <c r="DI13" s="242">
        <v>1</v>
      </c>
      <c r="DJ13" s="242">
        <v>1</v>
      </c>
      <c r="DK13" s="239">
        <v>1</v>
      </c>
      <c r="DL13" s="240">
        <f t="shared" si="14"/>
        <v>8</v>
      </c>
      <c r="DM13" s="240"/>
      <c r="DN13" s="229">
        <f t="shared" si="15"/>
        <v>5.5</v>
      </c>
      <c r="DO13" s="241">
        <v>1.5</v>
      </c>
      <c r="DP13" s="242">
        <v>1</v>
      </c>
      <c r="DQ13" s="230">
        <v>1.5</v>
      </c>
      <c r="DR13" s="240">
        <f t="shared" si="16"/>
        <v>9.5</v>
      </c>
      <c r="DS13" s="229">
        <f t="shared" si="19"/>
        <v>7.5</v>
      </c>
      <c r="DT13" s="241">
        <v>2</v>
      </c>
      <c r="DU13" s="242">
        <v>1</v>
      </c>
      <c r="DV13" s="230">
        <v>2</v>
      </c>
      <c r="DW13" s="240">
        <f t="shared" si="17"/>
        <v>12.5</v>
      </c>
      <c r="EB13" s="315"/>
      <c r="EC13" s="166"/>
      <c r="ED13" s="1"/>
      <c r="EE13" s="1"/>
      <c r="EF13" s="1"/>
      <c r="EG13" s="1"/>
      <c r="EH13" s="1"/>
      <c r="EI13" s="1"/>
      <c r="EJ13" s="1"/>
      <c r="EK13" s="1"/>
      <c r="EL13" s="1"/>
      <c r="EM13" s="1"/>
      <c r="EN13" s="1"/>
      <c r="EO13" s="1"/>
      <c r="EP13" s="302"/>
      <c r="ES13" s="279" t="s">
        <v>915</v>
      </c>
      <c r="ET13" s="160"/>
      <c r="EU13" s="160">
        <f t="shared" si="2"/>
        <v>0</v>
      </c>
      <c r="EV13" s="160"/>
      <c r="EW13" s="306">
        <v>7</v>
      </c>
      <c r="EX13" s="306">
        <v>10</v>
      </c>
      <c r="EY13" s="306">
        <v>16</v>
      </c>
      <c r="EZ13" s="309">
        <f t="shared" si="3"/>
        <v>33</v>
      </c>
      <c r="FG13" s="1" t="s">
        <v>953</v>
      </c>
      <c r="FH13" s="1">
        <v>1</v>
      </c>
      <c r="FI13" s="166" t="s">
        <v>463</v>
      </c>
      <c r="FJ13" s="166" t="s">
        <v>889</v>
      </c>
      <c r="FK13" s="166" t="s">
        <v>889</v>
      </c>
      <c r="FL13" s="166"/>
      <c r="FM13" s="1" t="s">
        <v>889</v>
      </c>
      <c r="FN13" s="1" t="s">
        <v>889</v>
      </c>
      <c r="FO13" s="301">
        <f t="shared" si="4"/>
        <v>28</v>
      </c>
      <c r="FP13" s="1"/>
      <c r="FQ13" s="302" t="str">
        <f>IF(FI13=0,"0",IF(FI13="5/16","14",IF(FI13="3/8","16",IF(FI13="1/2","22",IF(FI13="5/8","26",IF(FI13="3/4","28","14"))))))</f>
        <v>14</v>
      </c>
      <c r="FR13" s="302" t="str">
        <f t="shared" si="21"/>
        <v>4</v>
      </c>
      <c r="FS13" s="302" t="str">
        <f t="shared" si="21"/>
        <v>4</v>
      </c>
      <c r="FT13" s="302" t="str">
        <f t="shared" si="6"/>
        <v>2</v>
      </c>
      <c r="FU13" s="302" t="str">
        <f t="shared" si="10"/>
        <v>4</v>
      </c>
      <c r="FV13" s="324" t="str">
        <f t="shared" si="11"/>
        <v>14</v>
      </c>
      <c r="FW13" s="323" t="s">
        <v>953</v>
      </c>
      <c r="FX13" s="1"/>
      <c r="FY13" s="1" t="s">
        <v>964</v>
      </c>
      <c r="FZ13" s="1"/>
      <c r="GA13" s="1">
        <f t="shared" si="12"/>
        <v>15.400000000000002</v>
      </c>
      <c r="GB13" s="1"/>
      <c r="GD13" s="1"/>
      <c r="HB13" s="1" t="s">
        <v>1032</v>
      </c>
      <c r="HC13" s="1">
        <v>1</v>
      </c>
      <c r="HD13" s="1">
        <f t="shared" si="7"/>
        <v>30</v>
      </c>
      <c r="HE13" s="1"/>
      <c r="HF13" s="302">
        <v>6</v>
      </c>
      <c r="HG13" s="302">
        <v>6</v>
      </c>
      <c r="HH13" s="302">
        <v>18</v>
      </c>
      <c r="HI13" s="302">
        <f t="shared" si="8"/>
        <v>30</v>
      </c>
      <c r="IC13" s="1"/>
      <c r="ID13" s="1"/>
      <c r="IE13" s="1"/>
      <c r="IF13" s="1"/>
      <c r="IG13" s="1"/>
      <c r="IH13" s="1"/>
      <c r="II13" s="1"/>
      <c r="IJ13" s="1"/>
      <c r="JB13" s="1"/>
      <c r="JC13" s="1"/>
      <c r="JD13" s="1"/>
      <c r="JE13" s="1"/>
      <c r="JF13" s="1"/>
      <c r="JG13" s="1"/>
      <c r="JH13" s="1"/>
      <c r="JZ13" s="1" t="s">
        <v>916</v>
      </c>
      <c r="KA13" s="1"/>
      <c r="KB13" s="301">
        <f t="shared" si="0"/>
        <v>0</v>
      </c>
      <c r="KC13" s="301">
        <f t="shared" si="9"/>
        <v>0</v>
      </c>
      <c r="KD13" s="1"/>
      <c r="KE13" s="301">
        <f t="shared" si="1"/>
        <v>0</v>
      </c>
      <c r="KF13" s="1"/>
      <c r="KG13" s="302">
        <v>40.799999999999997</v>
      </c>
      <c r="KH13" s="302">
        <v>4</v>
      </c>
      <c r="KI13" s="302">
        <v>3</v>
      </c>
      <c r="KJ13" s="302">
        <v>3</v>
      </c>
      <c r="KZ13" s="279" t="s">
        <v>910</v>
      </c>
      <c r="LA13" s="160" t="s">
        <v>889</v>
      </c>
      <c r="LB13" s="331"/>
      <c r="LC13" s="305"/>
      <c r="LD13" s="305">
        <f t="shared" si="22"/>
        <v>29.05</v>
      </c>
      <c r="LE13" s="160"/>
      <c r="LF13" s="160"/>
      <c r="LG13" s="327">
        <v>49</v>
      </c>
      <c r="LH13" s="306">
        <v>0.45</v>
      </c>
      <c r="LI13" s="306">
        <v>1.5</v>
      </c>
      <c r="LJ13" s="306">
        <v>3</v>
      </c>
      <c r="LK13" s="332" t="str">
        <f>IF(LA13="Yes","7","0")</f>
        <v>7</v>
      </c>
    </row>
    <row r="14" spans="1:324" ht="16.5" thickBot="1" x14ac:dyDescent="0.3">
      <c r="A14" s="189"/>
      <c r="B14" s="12"/>
      <c r="C14" s="86"/>
      <c r="D14" s="12"/>
      <c r="E14" s="24"/>
      <c r="F14" s="192"/>
      <c r="G14" s="75"/>
      <c r="H14" s="189"/>
      <c r="I14" s="12"/>
      <c r="J14" s="86"/>
      <c r="K14" s="12"/>
      <c r="L14" s="24"/>
      <c r="M14" s="192"/>
      <c r="N14" s="75"/>
      <c r="O14" s="189"/>
      <c r="P14" s="12"/>
      <c r="Q14" s="86"/>
      <c r="R14" s="12"/>
      <c r="S14" s="24"/>
      <c r="T14" s="192"/>
      <c r="Y14" s="14" t="s">
        <v>25</v>
      </c>
      <c r="Z14" s="12">
        <v>1</v>
      </c>
      <c r="AA14" s="14" t="s">
        <v>58</v>
      </c>
      <c r="AB14" s="12" t="s">
        <v>77</v>
      </c>
      <c r="AC14" s="110">
        <f>Z14*978.41</f>
        <v>978.41</v>
      </c>
      <c r="AD14" s="96"/>
      <c r="AE14" s="95">
        <v>45750</v>
      </c>
      <c r="AF14" s="32" t="s">
        <v>554</v>
      </c>
      <c r="AG14" s="75"/>
      <c r="AH14" s="23" t="s">
        <v>181</v>
      </c>
      <c r="AI14" s="12">
        <v>1</v>
      </c>
      <c r="AJ14" s="23" t="s">
        <v>192</v>
      </c>
      <c r="AK14" s="12" t="s">
        <v>77</v>
      </c>
      <c r="AL14" s="111"/>
      <c r="AM14" s="50"/>
      <c r="AN14" s="95"/>
      <c r="AO14" s="32" t="s">
        <v>554</v>
      </c>
      <c r="AX14" s="14" t="s">
        <v>25</v>
      </c>
      <c r="AY14" s="12">
        <v>1</v>
      </c>
      <c r="AZ14" s="14" t="s">
        <v>58</v>
      </c>
      <c r="BA14" s="12" t="s">
        <v>27</v>
      </c>
      <c r="BB14" s="96">
        <f>AY14*565</f>
        <v>565</v>
      </c>
      <c r="BC14" s="96"/>
      <c r="BD14" s="95">
        <v>45750</v>
      </c>
      <c r="BE14" s="23" t="s">
        <v>336</v>
      </c>
      <c r="BF14" s="75"/>
      <c r="BG14" s="23" t="s">
        <v>181</v>
      </c>
      <c r="BH14" s="12">
        <v>1</v>
      </c>
      <c r="BI14" s="23" t="s">
        <v>192</v>
      </c>
      <c r="BJ14" s="88" t="s">
        <v>27</v>
      </c>
      <c r="BK14" s="92">
        <f>BH14*734</f>
        <v>734</v>
      </c>
      <c r="BL14" s="93"/>
      <c r="BM14" s="95">
        <v>45715</v>
      </c>
      <c r="BN14" s="106" t="s">
        <v>336</v>
      </c>
      <c r="BX14" s="14" t="s">
        <v>25</v>
      </c>
      <c r="BY14" s="12">
        <v>1</v>
      </c>
      <c r="BZ14" s="14" t="s">
        <v>58</v>
      </c>
      <c r="CA14" s="88" t="s">
        <v>74</v>
      </c>
      <c r="CB14" s="96">
        <f>BY14*668</f>
        <v>668</v>
      </c>
      <c r="CC14" s="96"/>
      <c r="CD14" s="95">
        <v>45715</v>
      </c>
      <c r="CE14" s="32" t="s">
        <v>284</v>
      </c>
      <c r="CF14" s="75"/>
      <c r="CG14" s="23" t="s">
        <v>181</v>
      </c>
      <c r="CH14" s="12">
        <v>1</v>
      </c>
      <c r="CI14" s="23" t="s">
        <v>192</v>
      </c>
      <c r="CJ14" s="88" t="s">
        <v>74</v>
      </c>
      <c r="CK14" s="92">
        <f>CH14*1075</f>
        <v>1075</v>
      </c>
      <c r="CL14" s="93"/>
      <c r="CM14" s="95">
        <v>45715</v>
      </c>
      <c r="CN14" s="32" t="s">
        <v>284</v>
      </c>
      <c r="CX14" s="234" t="s">
        <v>771</v>
      </c>
      <c r="CY14" s="235" t="s">
        <v>772</v>
      </c>
      <c r="CZ14" s="236">
        <v>1</v>
      </c>
      <c r="DA14" s="237" t="s">
        <v>762</v>
      </c>
      <c r="DB14" s="226">
        <f t="shared" si="20"/>
        <v>4</v>
      </c>
      <c r="DC14" s="242">
        <v>1</v>
      </c>
      <c r="DD14" s="242">
        <v>1</v>
      </c>
      <c r="DE14" s="238">
        <v>1</v>
      </c>
      <c r="DF14" s="381"/>
      <c r="DG14" s="381"/>
      <c r="DH14" s="229">
        <f t="shared" si="13"/>
        <v>5</v>
      </c>
      <c r="DI14" s="242">
        <v>1</v>
      </c>
      <c r="DJ14" s="242">
        <v>1</v>
      </c>
      <c r="DK14" s="239">
        <v>1</v>
      </c>
      <c r="DL14" s="240">
        <f t="shared" si="14"/>
        <v>8</v>
      </c>
      <c r="DM14" s="240"/>
      <c r="DN14" s="229">
        <f t="shared" si="15"/>
        <v>5.5</v>
      </c>
      <c r="DO14" s="241">
        <v>1.5</v>
      </c>
      <c r="DP14" s="242">
        <v>1</v>
      </c>
      <c r="DQ14" s="230">
        <v>1.5</v>
      </c>
      <c r="DR14" s="240">
        <f t="shared" si="16"/>
        <v>9.5</v>
      </c>
      <c r="DS14" s="229">
        <f t="shared" si="19"/>
        <v>7.5</v>
      </c>
      <c r="DT14" s="241">
        <v>2</v>
      </c>
      <c r="DU14" s="242">
        <v>1</v>
      </c>
      <c r="DV14" s="230">
        <v>2</v>
      </c>
      <c r="DW14" s="240">
        <f t="shared" si="17"/>
        <v>12.5</v>
      </c>
      <c r="EB14" s="315" t="s">
        <v>1170</v>
      </c>
      <c r="EC14" s="166"/>
      <c r="ED14" s="1"/>
      <c r="EE14" s="1"/>
      <c r="EF14" s="1"/>
      <c r="EG14" s="1"/>
      <c r="EH14" s="1"/>
      <c r="EI14" s="1"/>
      <c r="EJ14" s="1"/>
      <c r="EK14" s="1"/>
      <c r="EL14" s="1"/>
      <c r="EM14" s="1"/>
      <c r="EN14" s="1"/>
      <c r="EO14" s="1"/>
      <c r="EP14" s="302"/>
      <c r="ES14" s="279" t="s">
        <v>916</v>
      </c>
      <c r="ET14" s="160"/>
      <c r="EU14" s="160">
        <f t="shared" si="2"/>
        <v>0</v>
      </c>
      <c r="EV14" s="160"/>
      <c r="EW14" s="306">
        <v>8</v>
      </c>
      <c r="EX14" s="306">
        <v>11</v>
      </c>
      <c r="EY14" s="306">
        <v>18</v>
      </c>
      <c r="EZ14" s="309">
        <f t="shared" si="3"/>
        <v>37</v>
      </c>
      <c r="FG14" s="1" t="s">
        <v>954</v>
      </c>
      <c r="FH14" s="1">
        <v>1</v>
      </c>
      <c r="FI14" s="166" t="s">
        <v>463</v>
      </c>
      <c r="FJ14" s="166" t="s">
        <v>889</v>
      </c>
      <c r="FK14" s="166" t="s">
        <v>889</v>
      </c>
      <c r="FL14" s="166"/>
      <c r="FM14" s="1" t="s">
        <v>889</v>
      </c>
      <c r="FN14" s="1" t="s">
        <v>889</v>
      </c>
      <c r="FO14" s="301">
        <f t="shared" si="4"/>
        <v>32</v>
      </c>
      <c r="FP14" s="1"/>
      <c r="FQ14" s="302" t="str">
        <f>IF(FI14=0,"0",IF(FI14="5/16","16",IF(FI14="3/8","18",IF(FI14="1/2","25",IF(FI14="5/8","30",IF(FI14="3/4","32","16"))))))</f>
        <v>16</v>
      </c>
      <c r="FR14" s="302" t="str">
        <f>IF(FJ14="Yes","5","0")</f>
        <v>5</v>
      </c>
      <c r="FS14" s="302" t="str">
        <f>IF(FK14="Yes","5","0")</f>
        <v>5</v>
      </c>
      <c r="FT14" s="302" t="str">
        <f t="shared" si="6"/>
        <v>2</v>
      </c>
      <c r="FU14" s="302" t="str">
        <f t="shared" si="10"/>
        <v>4</v>
      </c>
      <c r="FV14" s="324" t="str">
        <f t="shared" si="11"/>
        <v>16</v>
      </c>
      <c r="FW14" s="323" t="s">
        <v>954</v>
      </c>
      <c r="FX14" s="1"/>
      <c r="FY14" s="1" t="s">
        <v>967</v>
      </c>
      <c r="FZ14" s="1"/>
      <c r="GA14" s="1">
        <f t="shared" si="12"/>
        <v>17.600000000000001</v>
      </c>
      <c r="GB14" s="1"/>
      <c r="GD14" s="1"/>
      <c r="HB14" s="1" t="s">
        <v>1033</v>
      </c>
      <c r="HC14" s="1">
        <v>1</v>
      </c>
      <c r="HD14" s="1">
        <f t="shared" si="7"/>
        <v>34.5</v>
      </c>
      <c r="HE14" s="1"/>
      <c r="HF14" s="302">
        <v>7</v>
      </c>
      <c r="HG14" s="302">
        <v>6.5</v>
      </c>
      <c r="HH14" s="302">
        <v>21</v>
      </c>
      <c r="HI14" s="302">
        <f t="shared" si="8"/>
        <v>34.5</v>
      </c>
      <c r="IC14" s="1"/>
      <c r="ID14" s="1"/>
      <c r="IE14" s="1"/>
      <c r="IF14" s="1"/>
      <c r="IG14" s="1"/>
      <c r="IH14" s="1"/>
      <c r="II14" s="1"/>
      <c r="IJ14" s="1"/>
      <c r="JB14" s="1"/>
      <c r="JC14" s="1"/>
      <c r="JD14" s="1"/>
      <c r="JE14" s="1"/>
      <c r="JF14" s="1"/>
      <c r="JG14" s="1"/>
      <c r="JH14" s="1"/>
      <c r="JZ14" s="1" t="s">
        <v>917</v>
      </c>
      <c r="KA14" s="1"/>
      <c r="KB14" s="301">
        <f t="shared" si="0"/>
        <v>0</v>
      </c>
      <c r="KC14" s="301">
        <f t="shared" si="9"/>
        <v>0</v>
      </c>
      <c r="KD14" s="1"/>
      <c r="KE14" s="301">
        <f t="shared" si="1"/>
        <v>0</v>
      </c>
      <c r="KF14" s="1"/>
      <c r="KG14" s="329">
        <v>44</v>
      </c>
      <c r="KH14" s="302">
        <v>4</v>
      </c>
      <c r="KI14" s="302">
        <v>3</v>
      </c>
      <c r="KJ14" s="302">
        <v>3</v>
      </c>
      <c r="KZ14" s="279" t="s">
        <v>911</v>
      </c>
      <c r="LA14" s="160" t="s">
        <v>889</v>
      </c>
      <c r="LB14" s="160"/>
      <c r="LC14" s="305"/>
      <c r="LD14" s="305">
        <f t="shared" si="22"/>
        <v>38.799999999999997</v>
      </c>
      <c r="LE14" s="160"/>
      <c r="LF14" s="160"/>
      <c r="LG14" s="327">
        <v>64</v>
      </c>
      <c r="LH14" s="306">
        <v>0.45</v>
      </c>
      <c r="LI14" s="306">
        <v>1.5</v>
      </c>
      <c r="LJ14" s="306">
        <v>3</v>
      </c>
      <c r="LK14" s="332">
        <v>10</v>
      </c>
    </row>
    <row r="15" spans="1:324" ht="19.5" thickBot="1" x14ac:dyDescent="0.35">
      <c r="A15" s="189" t="s">
        <v>368</v>
      </c>
      <c r="B15" s="12">
        <v>4</v>
      </c>
      <c r="C15" s="86" t="s">
        <v>256</v>
      </c>
      <c r="D15" s="12" t="s">
        <v>91</v>
      </c>
      <c r="E15" s="24"/>
      <c r="F15" s="192"/>
      <c r="G15" s="75"/>
      <c r="H15" s="189" t="s">
        <v>368</v>
      </c>
      <c r="I15" s="12">
        <v>4</v>
      </c>
      <c r="J15" s="86" t="s">
        <v>256</v>
      </c>
      <c r="K15" s="12" t="s">
        <v>84</v>
      </c>
      <c r="L15" s="24"/>
      <c r="M15" s="192"/>
      <c r="N15" s="75"/>
      <c r="O15" s="189" t="s">
        <v>368</v>
      </c>
      <c r="P15" s="12">
        <v>4</v>
      </c>
      <c r="Q15" s="86" t="s">
        <v>256</v>
      </c>
      <c r="R15" s="12" t="s">
        <v>80</v>
      </c>
      <c r="S15" s="24"/>
      <c r="T15" s="192"/>
      <c r="Y15" s="14" t="s">
        <v>25</v>
      </c>
      <c r="Z15" s="12">
        <v>1</v>
      </c>
      <c r="AA15" s="14" t="s">
        <v>60</v>
      </c>
      <c r="AB15" s="12" t="s">
        <v>77</v>
      </c>
      <c r="AC15" s="110"/>
      <c r="AD15" s="96"/>
      <c r="AE15" s="95"/>
      <c r="AF15" s="32" t="s">
        <v>554</v>
      </c>
      <c r="AG15" s="75"/>
      <c r="AH15" s="23" t="s">
        <v>181</v>
      </c>
      <c r="AI15" s="12">
        <v>1</v>
      </c>
      <c r="AJ15" s="23" t="s">
        <v>193</v>
      </c>
      <c r="AK15" s="12" t="s">
        <v>77</v>
      </c>
      <c r="AL15" s="149">
        <f>AI15*350</f>
        <v>350</v>
      </c>
      <c r="AM15" s="50"/>
      <c r="AN15" s="95">
        <v>45475</v>
      </c>
      <c r="AO15" s="32" t="s">
        <v>554</v>
      </c>
      <c r="AX15" s="14" t="s">
        <v>25</v>
      </c>
      <c r="AY15" s="12">
        <v>1</v>
      </c>
      <c r="AZ15" s="14" t="s">
        <v>60</v>
      </c>
      <c r="BA15" s="12" t="s">
        <v>27</v>
      </c>
      <c r="BB15" s="153"/>
      <c r="BC15" s="13"/>
      <c r="BD15" s="95"/>
      <c r="BE15" s="23" t="s">
        <v>336</v>
      </c>
      <c r="BF15" s="75"/>
      <c r="BG15" s="23" t="s">
        <v>181</v>
      </c>
      <c r="BH15" s="12">
        <v>1</v>
      </c>
      <c r="BI15" s="23" t="s">
        <v>193</v>
      </c>
      <c r="BJ15" s="88" t="s">
        <v>27</v>
      </c>
      <c r="BK15" s="149"/>
      <c r="BL15" s="93"/>
      <c r="BM15" s="95"/>
      <c r="BN15" s="106" t="s">
        <v>336</v>
      </c>
      <c r="BX15" s="14" t="s">
        <v>25</v>
      </c>
      <c r="BY15" s="12">
        <v>1</v>
      </c>
      <c r="BZ15" s="14" t="s">
        <v>60</v>
      </c>
      <c r="CA15" s="88" t="s">
        <v>74</v>
      </c>
      <c r="CB15" s="153">
        <f>BY15*750</f>
        <v>750</v>
      </c>
      <c r="CC15" s="96"/>
      <c r="CD15" s="95">
        <v>45376</v>
      </c>
      <c r="CE15" s="32" t="s">
        <v>284</v>
      </c>
      <c r="CF15" s="75"/>
      <c r="CG15" s="23" t="s">
        <v>181</v>
      </c>
      <c r="CH15" s="12">
        <v>1</v>
      </c>
      <c r="CI15" s="23" t="s">
        <v>193</v>
      </c>
      <c r="CJ15" s="88" t="s">
        <v>74</v>
      </c>
      <c r="CK15" s="149"/>
      <c r="CL15" s="93"/>
      <c r="CM15" s="95"/>
      <c r="CN15" s="32" t="s">
        <v>284</v>
      </c>
      <c r="CX15" s="234" t="s">
        <v>773</v>
      </c>
      <c r="CY15" s="235" t="s">
        <v>774</v>
      </c>
      <c r="CZ15" s="236">
        <v>1</v>
      </c>
      <c r="DA15" s="237" t="s">
        <v>775</v>
      </c>
      <c r="DB15" s="226">
        <v>5</v>
      </c>
      <c r="DC15" s="242">
        <v>1</v>
      </c>
      <c r="DD15" s="242">
        <v>1</v>
      </c>
      <c r="DE15" s="238">
        <v>1</v>
      </c>
      <c r="DF15" s="381"/>
      <c r="DG15" s="381"/>
      <c r="DH15" s="229">
        <f t="shared" si="13"/>
        <v>6</v>
      </c>
      <c r="DI15" s="242">
        <v>1</v>
      </c>
      <c r="DJ15" s="242">
        <v>1</v>
      </c>
      <c r="DK15" s="239">
        <v>1</v>
      </c>
      <c r="DL15" s="240">
        <f t="shared" si="14"/>
        <v>9</v>
      </c>
      <c r="DM15" s="240"/>
      <c r="DN15" s="229">
        <f t="shared" si="15"/>
        <v>6.5</v>
      </c>
      <c r="DO15" s="241">
        <v>1.5</v>
      </c>
      <c r="DP15" s="242">
        <v>1</v>
      </c>
      <c r="DQ15" s="230">
        <v>1.5</v>
      </c>
      <c r="DR15" s="240">
        <f t="shared" si="16"/>
        <v>10.5</v>
      </c>
      <c r="DS15" s="229">
        <f t="shared" si="19"/>
        <v>8.5</v>
      </c>
      <c r="DT15" s="241">
        <v>2</v>
      </c>
      <c r="DU15" s="242">
        <v>1</v>
      </c>
      <c r="DV15" s="230">
        <v>2</v>
      </c>
      <c r="DW15" s="240">
        <f t="shared" si="17"/>
        <v>13.5</v>
      </c>
      <c r="EB15" s="315" t="s">
        <v>899</v>
      </c>
      <c r="EC15" s="166"/>
      <c r="ED15" s="1"/>
      <c r="EE15" s="1"/>
      <c r="EF15" s="1"/>
      <c r="EG15" s="1"/>
      <c r="EH15" s="1"/>
      <c r="EI15" s="1"/>
      <c r="EJ15" s="1"/>
      <c r="EK15" s="1"/>
      <c r="EL15" s="1"/>
      <c r="EM15" s="1"/>
      <c r="EN15" s="1"/>
      <c r="EO15" s="1"/>
      <c r="EP15" s="302"/>
      <c r="ES15" s="279" t="s">
        <v>917</v>
      </c>
      <c r="ET15" s="160"/>
      <c r="EU15" s="160">
        <f t="shared" si="2"/>
        <v>0</v>
      </c>
      <c r="EV15" s="160"/>
      <c r="EW15" s="306">
        <v>8</v>
      </c>
      <c r="EX15" s="306">
        <v>12</v>
      </c>
      <c r="EY15" s="306">
        <v>20</v>
      </c>
      <c r="EZ15" s="309">
        <f t="shared" si="3"/>
        <v>40</v>
      </c>
      <c r="FG15" s="1" t="s">
        <v>955</v>
      </c>
      <c r="FH15" s="1">
        <v>1</v>
      </c>
      <c r="FI15" s="166" t="s">
        <v>463</v>
      </c>
      <c r="FJ15" s="166" t="s">
        <v>889</v>
      </c>
      <c r="FK15" s="166" t="s">
        <v>889</v>
      </c>
      <c r="FL15" s="166"/>
      <c r="FM15" s="1" t="s">
        <v>889</v>
      </c>
      <c r="FN15" s="1" t="s">
        <v>889</v>
      </c>
      <c r="FO15" s="301">
        <f t="shared" si="4"/>
        <v>34</v>
      </c>
      <c r="FP15" s="1"/>
      <c r="FQ15" s="302" t="str">
        <f>IF(FI15=0,"0",IF(FI15="5/16","18",IF(FI15="3/8","20",IF(FI15="1/2","26",IF(FI15="5/8","32",IF(FI15="3/4","34","18"))))))</f>
        <v>18</v>
      </c>
      <c r="FR15" s="302" t="str">
        <f>IF(FJ15="Yes","5","0")</f>
        <v>5</v>
      </c>
      <c r="FS15" s="302" t="str">
        <f>IF(FK15="Yes","5","0")</f>
        <v>5</v>
      </c>
      <c r="FT15" s="302" t="str">
        <f t="shared" si="6"/>
        <v>2</v>
      </c>
      <c r="FU15" s="302" t="str">
        <f t="shared" si="10"/>
        <v>4</v>
      </c>
      <c r="FV15" s="324" t="str">
        <f t="shared" si="11"/>
        <v>18</v>
      </c>
      <c r="FW15" s="323" t="s">
        <v>955</v>
      </c>
      <c r="FX15" s="1"/>
      <c r="FY15" s="1" t="s">
        <v>968</v>
      </c>
      <c r="FZ15" s="1"/>
      <c r="GA15" s="1">
        <f t="shared" si="12"/>
        <v>19.8</v>
      </c>
      <c r="GB15" s="1"/>
      <c r="GD15" s="1"/>
      <c r="HB15" s="1" t="s">
        <v>1034</v>
      </c>
      <c r="HC15" s="1">
        <v>1</v>
      </c>
      <c r="HD15" s="1">
        <f t="shared" si="7"/>
        <v>35</v>
      </c>
      <c r="HE15" s="1"/>
      <c r="HF15" s="302">
        <v>7</v>
      </c>
      <c r="HG15" s="302">
        <v>7</v>
      </c>
      <c r="HH15" s="302">
        <v>21</v>
      </c>
      <c r="HI15" s="302">
        <f t="shared" si="8"/>
        <v>35</v>
      </c>
      <c r="IC15" s="504" t="s">
        <v>1049</v>
      </c>
      <c r="ID15" s="505"/>
      <c r="IE15" s="505"/>
      <c r="IF15" s="505"/>
      <c r="IG15" s="505"/>
      <c r="IH15" s="505"/>
      <c r="II15" s="505"/>
      <c r="IJ15" s="505"/>
      <c r="IK15" s="505"/>
      <c r="IL15" s="180"/>
      <c r="JB15" s="158" t="s">
        <v>1174</v>
      </c>
      <c r="JC15" s="1"/>
      <c r="JD15" s="1"/>
      <c r="JE15" s="1"/>
      <c r="JF15" s="1"/>
      <c r="JG15" s="1"/>
      <c r="JH15" s="1"/>
      <c r="KZ15" s="279" t="s">
        <v>912</v>
      </c>
      <c r="LA15" s="160" t="s">
        <v>889</v>
      </c>
      <c r="LB15" s="160"/>
      <c r="LC15" s="305"/>
      <c r="LD15" s="305">
        <f t="shared" si="22"/>
        <v>47.45</v>
      </c>
      <c r="LE15" s="160"/>
      <c r="LF15" s="160"/>
      <c r="LG15" s="327">
        <v>81</v>
      </c>
      <c r="LH15" s="306">
        <v>0.45</v>
      </c>
      <c r="LI15" s="306">
        <v>1.5</v>
      </c>
      <c r="LJ15" s="306">
        <v>3</v>
      </c>
      <c r="LK15" s="332">
        <v>11</v>
      </c>
    </row>
    <row r="16" spans="1:324" ht="16.5" thickBot="1" x14ac:dyDescent="0.3">
      <c r="A16" s="189" t="s">
        <v>369</v>
      </c>
      <c r="B16" s="12">
        <v>16</v>
      </c>
      <c r="C16" s="86" t="s">
        <v>370</v>
      </c>
      <c r="D16" s="12" t="s">
        <v>91</v>
      </c>
      <c r="E16" s="24"/>
      <c r="F16" s="192"/>
      <c r="G16" s="75"/>
      <c r="H16" s="189" t="s">
        <v>369</v>
      </c>
      <c r="I16" s="12">
        <v>16</v>
      </c>
      <c r="J16" s="86" t="s">
        <v>370</v>
      </c>
      <c r="K16" s="12" t="s">
        <v>84</v>
      </c>
      <c r="L16" s="24"/>
      <c r="M16" s="192"/>
      <c r="N16" s="75"/>
      <c r="O16" s="189" t="s">
        <v>369</v>
      </c>
      <c r="P16" s="12">
        <v>16</v>
      </c>
      <c r="Q16" s="86" t="s">
        <v>370</v>
      </c>
      <c r="R16" s="12" t="s">
        <v>80</v>
      </c>
      <c r="S16" s="24"/>
      <c r="T16" s="192"/>
      <c r="Y16" s="14" t="s">
        <v>25</v>
      </c>
      <c r="Z16" s="12">
        <v>1</v>
      </c>
      <c r="AA16" s="14" t="s">
        <v>63</v>
      </c>
      <c r="AB16" s="12" t="s">
        <v>77</v>
      </c>
      <c r="AC16" s="110">
        <f>Z16*250</f>
        <v>250</v>
      </c>
      <c r="AD16" s="96"/>
      <c r="AE16" s="95">
        <v>45566</v>
      </c>
      <c r="AF16" s="32" t="s">
        <v>554</v>
      </c>
      <c r="AG16" s="75"/>
      <c r="AH16" s="23" t="s">
        <v>181</v>
      </c>
      <c r="AI16" s="12">
        <v>1</v>
      </c>
      <c r="AJ16" s="23" t="s">
        <v>194</v>
      </c>
      <c r="AK16" s="12" t="s">
        <v>77</v>
      </c>
      <c r="AL16" s="111">
        <f>AI16*500</f>
        <v>500</v>
      </c>
      <c r="AM16" s="50"/>
      <c r="AN16" s="95">
        <v>45413</v>
      </c>
      <c r="AO16" s="32" t="s">
        <v>554</v>
      </c>
      <c r="AX16" s="14" t="s">
        <v>25</v>
      </c>
      <c r="AY16" s="12">
        <v>1</v>
      </c>
      <c r="AZ16" s="14" t="s">
        <v>63</v>
      </c>
      <c r="BA16" s="12" t="s">
        <v>27</v>
      </c>
      <c r="BB16" s="96"/>
      <c r="BC16" s="13"/>
      <c r="BD16" s="95"/>
      <c r="BE16" s="23" t="s">
        <v>336</v>
      </c>
      <c r="BF16" s="75"/>
      <c r="BG16" s="23" t="s">
        <v>181</v>
      </c>
      <c r="BH16" s="12">
        <v>1</v>
      </c>
      <c r="BI16" s="23" t="s">
        <v>194</v>
      </c>
      <c r="BJ16" s="88" t="s">
        <v>27</v>
      </c>
      <c r="BK16" s="92"/>
      <c r="BL16" s="93"/>
      <c r="BM16" s="95"/>
      <c r="BN16" s="106" t="s">
        <v>336</v>
      </c>
      <c r="BX16" s="14" t="s">
        <v>25</v>
      </c>
      <c r="BY16" s="12">
        <v>1</v>
      </c>
      <c r="BZ16" s="14" t="s">
        <v>63</v>
      </c>
      <c r="CA16" s="88" t="s">
        <v>74</v>
      </c>
      <c r="CB16" s="96">
        <f>BY16*1045</f>
        <v>1045</v>
      </c>
      <c r="CC16" s="96"/>
      <c r="CD16" s="95">
        <v>45782</v>
      </c>
      <c r="CE16" s="32" t="s">
        <v>284</v>
      </c>
      <c r="CF16" s="75"/>
      <c r="CG16" s="23" t="s">
        <v>181</v>
      </c>
      <c r="CH16" s="12">
        <v>1</v>
      </c>
      <c r="CI16" s="23" t="s">
        <v>194</v>
      </c>
      <c r="CJ16" s="88" t="s">
        <v>74</v>
      </c>
      <c r="CK16" s="92">
        <f>CH16*1800</f>
        <v>1800</v>
      </c>
      <c r="CL16" s="93"/>
      <c r="CM16" s="95">
        <v>45782</v>
      </c>
      <c r="CN16" s="32" t="s">
        <v>284</v>
      </c>
      <c r="CX16" s="234" t="s">
        <v>776</v>
      </c>
      <c r="CY16" s="235" t="s">
        <v>777</v>
      </c>
      <c r="CZ16" s="236">
        <v>1</v>
      </c>
      <c r="DA16" s="237" t="s">
        <v>775</v>
      </c>
      <c r="DB16" s="226">
        <v>5</v>
      </c>
      <c r="DC16" s="242">
        <v>1</v>
      </c>
      <c r="DD16" s="242">
        <v>1</v>
      </c>
      <c r="DE16" s="238">
        <v>1</v>
      </c>
      <c r="DF16" s="381"/>
      <c r="DG16" s="381"/>
      <c r="DH16" s="229">
        <f t="shared" si="13"/>
        <v>6</v>
      </c>
      <c r="DI16" s="242">
        <v>1</v>
      </c>
      <c r="DJ16" s="242">
        <v>1</v>
      </c>
      <c r="DK16" s="239">
        <v>1</v>
      </c>
      <c r="DL16" s="240">
        <f t="shared" si="14"/>
        <v>9</v>
      </c>
      <c r="DM16" s="240"/>
      <c r="DN16" s="229">
        <f t="shared" si="15"/>
        <v>6.5</v>
      </c>
      <c r="DO16" s="241">
        <v>1.5</v>
      </c>
      <c r="DP16" s="242">
        <v>1</v>
      </c>
      <c r="DQ16" s="230">
        <v>1.5</v>
      </c>
      <c r="DR16" s="240">
        <f t="shared" si="16"/>
        <v>10.5</v>
      </c>
      <c r="DS16" s="229">
        <f t="shared" si="19"/>
        <v>8.5</v>
      </c>
      <c r="DT16" s="241">
        <v>2</v>
      </c>
      <c r="DU16" s="242">
        <v>1</v>
      </c>
      <c r="DV16" s="230">
        <v>2</v>
      </c>
      <c r="DW16" s="240">
        <f t="shared" si="17"/>
        <v>13.5</v>
      </c>
      <c r="EB16" s="315" t="s">
        <v>1169</v>
      </c>
      <c r="EC16" s="166"/>
      <c r="ED16" s="1"/>
      <c r="EE16" s="1"/>
      <c r="EF16" s="1"/>
      <c r="EG16" s="1"/>
      <c r="EH16" s="1"/>
      <c r="EI16" s="1"/>
      <c r="EJ16" s="1"/>
      <c r="EK16" s="1"/>
      <c r="EL16" s="1"/>
      <c r="EM16" s="1"/>
      <c r="EN16" s="1"/>
      <c r="EO16" s="1"/>
      <c r="EP16" s="302"/>
      <c r="ES16" s="509" t="s">
        <v>925</v>
      </c>
      <c r="ET16" s="510"/>
      <c r="EU16" s="510"/>
      <c r="EV16" s="510"/>
      <c r="EW16" s="510"/>
      <c r="EX16" s="510"/>
      <c r="EY16" s="510"/>
      <c r="EZ16" s="511"/>
      <c r="FG16" s="1" t="s">
        <v>956</v>
      </c>
      <c r="FH16" s="1">
        <v>1</v>
      </c>
      <c r="FI16" s="166" t="s">
        <v>463</v>
      </c>
      <c r="FJ16" s="166" t="s">
        <v>889</v>
      </c>
      <c r="FK16" s="166" t="s">
        <v>889</v>
      </c>
      <c r="FL16" s="166"/>
      <c r="FM16" s="1" t="s">
        <v>889</v>
      </c>
      <c r="FN16" s="1" t="s">
        <v>889</v>
      </c>
      <c r="FO16" s="301">
        <f t="shared" si="4"/>
        <v>40</v>
      </c>
      <c r="FP16" s="1"/>
      <c r="FQ16" s="302" t="str">
        <f>IF(FI16=0,"0",IF(FI16="5/16","22",IF(FI16="3/8","24",IF(FI16="1/2","32",IF(FI16="5/8","36",IF(FI16="3/4","38","22"))))))</f>
        <v>22</v>
      </c>
      <c r="FR16" s="302" t="str">
        <f>IF(FJ16="Yes","6","0")</f>
        <v>6</v>
      </c>
      <c r="FS16" s="302" t="str">
        <f>IF(FK16="Yes","6","0")</f>
        <v>6</v>
      </c>
      <c r="FT16" s="302" t="str">
        <f t="shared" si="6"/>
        <v>2</v>
      </c>
      <c r="FU16" s="302" t="str">
        <f t="shared" si="10"/>
        <v>4</v>
      </c>
      <c r="FV16" s="324" t="str">
        <f t="shared" si="11"/>
        <v>22</v>
      </c>
      <c r="FW16" s="323" t="s">
        <v>956</v>
      </c>
      <c r="FX16" s="1"/>
      <c r="FY16" s="1" t="s">
        <v>969</v>
      </c>
      <c r="FZ16" s="1"/>
      <c r="GA16" s="1">
        <f t="shared" si="12"/>
        <v>24.200000000000003</v>
      </c>
      <c r="GB16" s="1"/>
      <c r="GD16" s="1"/>
      <c r="HB16" s="1" t="s">
        <v>1035</v>
      </c>
      <c r="HC16" s="1">
        <v>1</v>
      </c>
      <c r="HD16" s="1">
        <f t="shared" si="7"/>
        <v>39.5</v>
      </c>
      <c r="HE16" s="1"/>
      <c r="HF16" s="302">
        <v>8</v>
      </c>
      <c r="HG16" s="302">
        <v>7.5</v>
      </c>
      <c r="HH16" s="302">
        <v>24</v>
      </c>
      <c r="HI16" s="302">
        <f t="shared" si="8"/>
        <v>39.5</v>
      </c>
      <c r="IC16" s="39" t="s">
        <v>1038</v>
      </c>
      <c r="ID16" s="160"/>
      <c r="IE16" s="160"/>
      <c r="IF16" s="160"/>
      <c r="IG16" s="160"/>
      <c r="IH16" s="160"/>
      <c r="II16" s="160"/>
      <c r="IJ16" s="160"/>
      <c r="IK16" s="44"/>
      <c r="IL16" s="112"/>
      <c r="JB16" s="299" t="s">
        <v>1056</v>
      </c>
      <c r="JC16" s="299" t="s">
        <v>1057</v>
      </c>
      <c r="JD16" s="299" t="s">
        <v>1052</v>
      </c>
      <c r="JE16" s="299" t="s">
        <v>1058</v>
      </c>
      <c r="JF16" s="299" t="s">
        <v>1059</v>
      </c>
      <c r="JG16" s="1"/>
      <c r="JH16" s="1"/>
      <c r="KZ16" s="279" t="s">
        <v>913</v>
      </c>
      <c r="LA16" s="160" t="s">
        <v>889</v>
      </c>
      <c r="LB16" s="160"/>
      <c r="LC16" s="305"/>
      <c r="LD16" s="305">
        <f t="shared" si="22"/>
        <v>52</v>
      </c>
      <c r="LE16" s="160"/>
      <c r="LF16" s="160"/>
      <c r="LG16" s="327">
        <v>100</v>
      </c>
      <c r="LH16" s="306">
        <v>0.4</v>
      </c>
      <c r="LI16" s="306">
        <v>1.5</v>
      </c>
      <c r="LJ16" s="306">
        <v>3</v>
      </c>
      <c r="LK16" s="332">
        <v>12</v>
      </c>
    </row>
    <row r="17" spans="1:323" ht="16.5" thickBot="1" x14ac:dyDescent="0.3">
      <c r="A17" s="189"/>
      <c r="B17" s="12"/>
      <c r="C17" s="143"/>
      <c r="D17" s="12"/>
      <c r="E17" s="24"/>
      <c r="F17" s="192"/>
      <c r="G17" s="75"/>
      <c r="H17" s="189"/>
      <c r="I17" s="12"/>
      <c r="J17" s="143"/>
      <c r="K17" s="12"/>
      <c r="L17" s="24"/>
      <c r="M17" s="192"/>
      <c r="N17" s="75"/>
      <c r="O17" s="189"/>
      <c r="P17" s="12"/>
      <c r="Q17" s="143"/>
      <c r="R17" s="12"/>
      <c r="S17" s="24"/>
      <c r="T17" s="192"/>
      <c r="Y17" s="14" t="s">
        <v>25</v>
      </c>
      <c r="Z17" s="12">
        <v>1</v>
      </c>
      <c r="AA17" s="14" t="s">
        <v>66</v>
      </c>
      <c r="AB17" s="12" t="s">
        <v>77</v>
      </c>
      <c r="AC17" s="110"/>
      <c r="AD17" s="96"/>
      <c r="AE17" s="95"/>
      <c r="AF17" s="32" t="s">
        <v>554</v>
      </c>
      <c r="AG17" s="75"/>
      <c r="AH17" s="23" t="s">
        <v>181</v>
      </c>
      <c r="AI17" s="12">
        <v>1</v>
      </c>
      <c r="AJ17" s="23" t="s">
        <v>195</v>
      </c>
      <c r="AK17" s="12" t="s">
        <v>77</v>
      </c>
      <c r="AL17" s="111">
        <f>AI17*625</f>
        <v>625</v>
      </c>
      <c r="AM17" s="50"/>
      <c r="AN17" s="95">
        <v>45475</v>
      </c>
      <c r="AO17" s="32" t="s">
        <v>554</v>
      </c>
      <c r="AX17" s="14" t="s">
        <v>25</v>
      </c>
      <c r="AY17" s="12">
        <v>1</v>
      </c>
      <c r="AZ17" s="14" t="s">
        <v>66</v>
      </c>
      <c r="BA17" s="12" t="s">
        <v>27</v>
      </c>
      <c r="BB17" s="96">
        <f>AY17*990</f>
        <v>990</v>
      </c>
      <c r="BC17" s="13"/>
      <c r="BD17" s="95" t="s">
        <v>1222</v>
      </c>
      <c r="BE17" s="23" t="s">
        <v>336</v>
      </c>
      <c r="BF17" s="75"/>
      <c r="BG17" s="23" t="s">
        <v>181</v>
      </c>
      <c r="BH17" s="12">
        <v>1</v>
      </c>
      <c r="BI17" s="23" t="s">
        <v>195</v>
      </c>
      <c r="BJ17" s="88" t="s">
        <v>27</v>
      </c>
      <c r="BK17" s="92">
        <f>BH17*1598</f>
        <v>1598</v>
      </c>
      <c r="BL17" s="93"/>
      <c r="BM17" s="95">
        <v>45715</v>
      </c>
      <c r="BN17" s="106" t="s">
        <v>336</v>
      </c>
      <c r="BX17" s="14" t="s">
        <v>25</v>
      </c>
      <c r="BY17" s="12">
        <v>1</v>
      </c>
      <c r="BZ17" s="14" t="s">
        <v>66</v>
      </c>
      <c r="CA17" s="88" t="s">
        <v>74</v>
      </c>
      <c r="CB17" s="96">
        <f>BY17*1115</f>
        <v>1115</v>
      </c>
      <c r="CC17" s="96"/>
      <c r="CD17" s="95">
        <v>45715</v>
      </c>
      <c r="CE17" s="32" t="s">
        <v>284</v>
      </c>
      <c r="CF17" s="75"/>
      <c r="CG17" s="23" t="s">
        <v>181</v>
      </c>
      <c r="CH17" s="12">
        <v>1</v>
      </c>
      <c r="CI17" s="23" t="s">
        <v>195</v>
      </c>
      <c r="CJ17" s="88" t="s">
        <v>74</v>
      </c>
      <c r="CK17" s="92">
        <f>CH17*1925</f>
        <v>1925</v>
      </c>
      <c r="CL17" s="93"/>
      <c r="CM17" s="95">
        <v>45715</v>
      </c>
      <c r="CN17" s="32" t="s">
        <v>284</v>
      </c>
      <c r="CX17" s="234" t="s">
        <v>778</v>
      </c>
      <c r="CY17" s="235" t="s">
        <v>779</v>
      </c>
      <c r="CZ17" s="236">
        <v>1</v>
      </c>
      <c r="DA17" s="237" t="s">
        <v>775</v>
      </c>
      <c r="DB17" s="226">
        <v>5</v>
      </c>
      <c r="DC17" s="242">
        <v>1</v>
      </c>
      <c r="DD17" s="242">
        <v>1</v>
      </c>
      <c r="DE17" s="238">
        <v>1</v>
      </c>
      <c r="DF17" s="381"/>
      <c r="DG17" s="381"/>
      <c r="DH17" s="229">
        <f t="shared" si="13"/>
        <v>6</v>
      </c>
      <c r="DI17" s="242">
        <v>1</v>
      </c>
      <c r="DJ17" s="242">
        <v>1</v>
      </c>
      <c r="DK17" s="239">
        <v>1</v>
      </c>
      <c r="DL17" s="240">
        <f t="shared" si="14"/>
        <v>9</v>
      </c>
      <c r="DM17" s="240"/>
      <c r="DN17" s="229">
        <f t="shared" si="15"/>
        <v>6.5</v>
      </c>
      <c r="DO17" s="241">
        <v>1.5</v>
      </c>
      <c r="DP17" s="242">
        <v>1</v>
      </c>
      <c r="DQ17" s="230">
        <v>1.5</v>
      </c>
      <c r="DR17" s="240">
        <f t="shared" si="16"/>
        <v>10.5</v>
      </c>
      <c r="DS17" s="229">
        <f t="shared" si="19"/>
        <v>8.5</v>
      </c>
      <c r="DT17" s="241">
        <v>2</v>
      </c>
      <c r="DU17" s="242">
        <v>1</v>
      </c>
      <c r="DV17" s="230">
        <v>2</v>
      </c>
      <c r="DW17" s="240">
        <f t="shared" si="17"/>
        <v>13.5</v>
      </c>
      <c r="EB17" s="315"/>
      <c r="EC17" s="166"/>
      <c r="ED17" s="1"/>
      <c r="EE17" s="1"/>
      <c r="EF17" s="1"/>
      <c r="EG17" s="1"/>
      <c r="EH17" s="1"/>
      <c r="EI17" s="1"/>
      <c r="EJ17" s="1"/>
      <c r="EK17" s="1"/>
      <c r="EL17" s="1"/>
      <c r="EM17" s="1"/>
      <c r="EN17" s="1"/>
      <c r="EO17" s="1"/>
      <c r="EP17" s="302"/>
      <c r="ES17" s="528"/>
      <c r="ET17" s="529"/>
      <c r="EU17" s="529"/>
      <c r="EV17" s="529"/>
      <c r="EW17" s="529"/>
      <c r="EX17" s="529"/>
      <c r="EY17" s="529"/>
      <c r="EZ17" s="530"/>
      <c r="FG17" s="1"/>
      <c r="FH17" s="1"/>
      <c r="FI17" s="1"/>
      <c r="FJ17" s="1"/>
      <c r="FK17" s="1"/>
      <c r="FL17" s="1"/>
      <c r="FM17" s="1"/>
      <c r="FN17" s="1"/>
      <c r="FO17" s="1"/>
      <c r="FP17" s="1"/>
      <c r="FQ17" s="1"/>
      <c r="FR17" s="1"/>
      <c r="FT17" s="302"/>
      <c r="FU17" s="302"/>
      <c r="FV17" s="302"/>
      <c r="GD17" s="1"/>
      <c r="HB17" s="1" t="s">
        <v>1036</v>
      </c>
      <c r="HC17" s="1">
        <v>1</v>
      </c>
      <c r="HD17" s="1">
        <f t="shared" si="7"/>
        <v>40</v>
      </c>
      <c r="HE17" s="1"/>
      <c r="HF17" s="302">
        <v>8</v>
      </c>
      <c r="HG17" s="302">
        <v>8</v>
      </c>
      <c r="HH17" s="302">
        <v>24</v>
      </c>
      <c r="HI17" s="302">
        <f t="shared" si="8"/>
        <v>40</v>
      </c>
      <c r="IC17" s="314" t="s">
        <v>1039</v>
      </c>
      <c r="ID17" s="313" t="s">
        <v>1040</v>
      </c>
      <c r="IE17" s="313" t="s">
        <v>1041</v>
      </c>
      <c r="IF17" s="313" t="s">
        <v>1042</v>
      </c>
      <c r="IG17" s="313"/>
      <c r="IH17" s="325" t="s">
        <v>1050</v>
      </c>
      <c r="II17" s="325" t="s">
        <v>1043</v>
      </c>
      <c r="IJ17" s="325" t="s">
        <v>1044</v>
      </c>
      <c r="IK17" s="325" t="s">
        <v>1045</v>
      </c>
      <c r="IL17" s="326" t="s">
        <v>1046</v>
      </c>
      <c r="JB17" s="1"/>
      <c r="JC17" s="1"/>
      <c r="JD17" s="1"/>
      <c r="JE17" s="1">
        <f>(((JB17*12)/2)*((JC17*12)/2))</f>
        <v>0</v>
      </c>
      <c r="JF17" s="1">
        <f>JD17*JE17</f>
        <v>0</v>
      </c>
      <c r="JG17" s="1"/>
      <c r="JH17" s="1"/>
      <c r="KZ17" s="279" t="s">
        <v>914</v>
      </c>
      <c r="LA17" s="160" t="s">
        <v>889</v>
      </c>
      <c r="LB17" s="160"/>
      <c r="LC17" s="305"/>
      <c r="LD17" s="305">
        <f t="shared" si="22"/>
        <v>59.75</v>
      </c>
      <c r="LE17" s="160"/>
      <c r="LF17" s="160"/>
      <c r="LG17" s="327">
        <v>122</v>
      </c>
      <c r="LH17" s="306">
        <v>0.375</v>
      </c>
      <c r="LI17" s="306">
        <v>1.5</v>
      </c>
      <c r="LJ17" s="306">
        <v>3</v>
      </c>
      <c r="LK17" s="332">
        <v>14</v>
      </c>
    </row>
    <row r="18" spans="1:323" ht="16.5" thickBot="1" x14ac:dyDescent="0.3">
      <c r="A18" s="566" t="s">
        <v>590</v>
      </c>
      <c r="B18" s="566"/>
      <c r="C18" s="566"/>
      <c r="D18" s="566"/>
      <c r="E18" s="566"/>
      <c r="F18" s="566"/>
      <c r="G18" s="566"/>
      <c r="H18" s="566"/>
      <c r="I18" s="566"/>
      <c r="J18" s="566"/>
      <c r="K18" s="566"/>
      <c r="L18" s="566"/>
      <c r="M18" s="566"/>
      <c r="N18" s="566"/>
      <c r="O18" s="566"/>
      <c r="P18" s="566"/>
      <c r="Q18" s="566"/>
      <c r="R18" s="566"/>
      <c r="S18" s="566"/>
      <c r="T18" s="566"/>
      <c r="Y18" s="14" t="s">
        <v>25</v>
      </c>
      <c r="Z18" s="12">
        <v>1</v>
      </c>
      <c r="AA18" s="14" t="s">
        <v>69</v>
      </c>
      <c r="AB18" s="12" t="s">
        <v>77</v>
      </c>
      <c r="AC18" s="110">
        <f>Z18*700</f>
        <v>700</v>
      </c>
      <c r="AD18" s="96"/>
      <c r="AE18" s="95">
        <v>45761</v>
      </c>
      <c r="AF18" s="32" t="s">
        <v>554</v>
      </c>
      <c r="AG18" s="75"/>
      <c r="AH18" s="23" t="s">
        <v>181</v>
      </c>
      <c r="AI18" s="12">
        <v>1</v>
      </c>
      <c r="AJ18" s="23" t="s">
        <v>196</v>
      </c>
      <c r="AK18" s="12" t="s">
        <v>77</v>
      </c>
      <c r="AL18" s="111">
        <f>AI18*1200</f>
        <v>1200</v>
      </c>
      <c r="AM18" s="50"/>
      <c r="AN18" s="95">
        <v>45761</v>
      </c>
      <c r="AO18" s="32" t="s">
        <v>554</v>
      </c>
      <c r="AX18" s="14" t="s">
        <v>25</v>
      </c>
      <c r="AY18" s="12">
        <v>1</v>
      </c>
      <c r="AZ18" s="14" t="s">
        <v>69</v>
      </c>
      <c r="BA18" s="12" t="s">
        <v>27</v>
      </c>
      <c r="BB18" s="96">
        <f>AY18*1150</f>
        <v>1150</v>
      </c>
      <c r="BC18" s="96"/>
      <c r="BD18" s="95">
        <v>45715</v>
      </c>
      <c r="BE18" s="23" t="s">
        <v>336</v>
      </c>
      <c r="BF18" s="75"/>
      <c r="BG18" s="23" t="s">
        <v>181</v>
      </c>
      <c r="BH18" s="12">
        <v>1</v>
      </c>
      <c r="BI18" s="23" t="s">
        <v>196</v>
      </c>
      <c r="BJ18" s="88" t="s">
        <v>27</v>
      </c>
      <c r="BK18" s="92">
        <f>BH18*2100</f>
        <v>2100</v>
      </c>
      <c r="BL18" s="93"/>
      <c r="BM18" s="95">
        <v>45715</v>
      </c>
      <c r="BN18" s="106" t="s">
        <v>336</v>
      </c>
      <c r="BX18" s="14" t="s">
        <v>25</v>
      </c>
      <c r="BY18" s="12">
        <v>1</v>
      </c>
      <c r="BZ18" s="14" t="s">
        <v>69</v>
      </c>
      <c r="CA18" s="88" t="s">
        <v>74</v>
      </c>
      <c r="CB18" s="96">
        <f>BY18*1735</f>
        <v>1735</v>
      </c>
      <c r="CC18" s="96"/>
      <c r="CD18" s="95">
        <v>45779</v>
      </c>
      <c r="CE18" s="32" t="s">
        <v>284</v>
      </c>
      <c r="CF18" s="75"/>
      <c r="CG18" s="23" t="s">
        <v>181</v>
      </c>
      <c r="CH18" s="12">
        <v>1</v>
      </c>
      <c r="CI18" s="23" t="s">
        <v>196</v>
      </c>
      <c r="CJ18" s="88" t="s">
        <v>74</v>
      </c>
      <c r="CK18" s="92">
        <f>CH18*3720</f>
        <v>3720</v>
      </c>
      <c r="CL18" s="93"/>
      <c r="CM18" s="95">
        <v>45769</v>
      </c>
      <c r="CN18" s="32" t="s">
        <v>284</v>
      </c>
      <c r="CX18" s="234" t="s">
        <v>780</v>
      </c>
      <c r="CY18" s="235" t="s">
        <v>781</v>
      </c>
      <c r="CZ18" s="236">
        <v>1</v>
      </c>
      <c r="DA18" s="237" t="s">
        <v>775</v>
      </c>
      <c r="DB18" s="226">
        <v>5</v>
      </c>
      <c r="DC18" s="242">
        <v>1</v>
      </c>
      <c r="DD18" s="242">
        <v>1</v>
      </c>
      <c r="DE18" s="238">
        <v>1</v>
      </c>
      <c r="DF18" s="381"/>
      <c r="DG18" s="381"/>
      <c r="DH18" s="229">
        <f t="shared" si="13"/>
        <v>6</v>
      </c>
      <c r="DI18" s="242">
        <v>1</v>
      </c>
      <c r="DJ18" s="242">
        <v>1</v>
      </c>
      <c r="DK18" s="239">
        <v>1</v>
      </c>
      <c r="DL18" s="240">
        <f t="shared" si="14"/>
        <v>9</v>
      </c>
      <c r="DM18" s="240"/>
      <c r="DN18" s="229">
        <f t="shared" si="15"/>
        <v>6.5</v>
      </c>
      <c r="DO18" s="241">
        <v>1.5</v>
      </c>
      <c r="DP18" s="242">
        <v>1</v>
      </c>
      <c r="DQ18" s="230">
        <v>1.5</v>
      </c>
      <c r="DR18" s="240">
        <f t="shared" si="16"/>
        <v>10.5</v>
      </c>
      <c r="DS18" s="229">
        <f t="shared" si="19"/>
        <v>8.5</v>
      </c>
      <c r="DT18" s="241">
        <v>2</v>
      </c>
      <c r="DU18" s="242">
        <v>1</v>
      </c>
      <c r="DV18" s="230">
        <v>2</v>
      </c>
      <c r="DW18" s="240">
        <f t="shared" si="17"/>
        <v>13.5</v>
      </c>
      <c r="EB18" s="1"/>
      <c r="EC18" s="519" t="s">
        <v>900</v>
      </c>
      <c r="ED18" s="520"/>
      <c r="EE18" s="520"/>
      <c r="EF18" s="521"/>
      <c r="EG18" s="522" t="s">
        <v>901</v>
      </c>
      <c r="EH18" s="523"/>
      <c r="EI18" s="523"/>
      <c r="EJ18" s="524"/>
      <c r="EK18" s="525" t="s">
        <v>902</v>
      </c>
      <c r="EL18" s="526"/>
      <c r="EM18" s="527"/>
      <c r="EN18" s="525" t="s">
        <v>903</v>
      </c>
      <c r="EO18" s="526"/>
      <c r="EP18" s="527"/>
      <c r="FG18" s="1"/>
      <c r="FH18" s="1"/>
      <c r="FI18" s="1"/>
      <c r="FJ18" s="1"/>
      <c r="FK18" s="1"/>
      <c r="FL18" s="1"/>
      <c r="FM18" s="1"/>
      <c r="FN18" s="159" t="s">
        <v>957</v>
      </c>
      <c r="FO18" s="321">
        <f>SUM(FO3:FO16)</f>
        <v>327.5</v>
      </c>
      <c r="FP18" s="1"/>
      <c r="FQ18" s="1"/>
      <c r="FR18" s="1"/>
      <c r="FS18" s="1"/>
      <c r="FT18" s="302"/>
      <c r="FU18" s="302"/>
      <c r="FV18" s="302"/>
      <c r="GD18" s="1"/>
      <c r="IC18" s="279"/>
      <c r="ID18" s="160"/>
      <c r="IE18" s="160"/>
      <c r="IF18" s="305">
        <f>IH18+II18+IJ18+IL18</f>
        <v>0</v>
      </c>
      <c r="IG18" s="160"/>
      <c r="IH18" s="327">
        <f>ID18/10</f>
        <v>0</v>
      </c>
      <c r="II18" s="327">
        <f>ID18/10</f>
        <v>0</v>
      </c>
      <c r="IJ18" s="327">
        <f>ID18/2</f>
        <v>0</v>
      </c>
      <c r="IK18" s="327" t="str">
        <f>IF(IC18&lt;=9,"1","1.5")</f>
        <v>1</v>
      </c>
      <c r="IL18" s="309">
        <f>IE18*IK18</f>
        <v>0</v>
      </c>
      <c r="JB18" s="1"/>
      <c r="JC18" s="1"/>
      <c r="JD18" s="1" t="s">
        <v>1177</v>
      </c>
      <c r="JE18" s="1"/>
      <c r="JF18" s="1"/>
      <c r="JG18" s="1"/>
      <c r="JH18" s="1"/>
      <c r="KZ18" s="279" t="s">
        <v>915</v>
      </c>
      <c r="LA18" s="160" t="s">
        <v>889</v>
      </c>
      <c r="LB18" s="160"/>
      <c r="LC18" s="305"/>
      <c r="LD18" s="305">
        <f t="shared" si="22"/>
        <v>66.400000000000006</v>
      </c>
      <c r="LE18" s="160"/>
      <c r="LF18" s="160"/>
      <c r="LG18" s="327">
        <v>144</v>
      </c>
      <c r="LH18" s="306">
        <v>0.35</v>
      </c>
      <c r="LI18" s="306">
        <v>1.5</v>
      </c>
      <c r="LJ18" s="306">
        <v>3</v>
      </c>
      <c r="LK18" s="332">
        <v>16</v>
      </c>
    </row>
    <row r="19" spans="1:323" ht="15.75" x14ac:dyDescent="0.25">
      <c r="A19" s="566"/>
      <c r="B19" s="566"/>
      <c r="C19" s="566"/>
      <c r="D19" s="566"/>
      <c r="E19" s="566"/>
      <c r="F19" s="566"/>
      <c r="G19" s="566"/>
      <c r="H19" s="566"/>
      <c r="I19" s="566"/>
      <c r="J19" s="566"/>
      <c r="K19" s="566"/>
      <c r="L19" s="566"/>
      <c r="M19" s="566"/>
      <c r="N19" s="566"/>
      <c r="O19" s="566"/>
      <c r="P19" s="566"/>
      <c r="Q19" s="566"/>
      <c r="R19" s="566"/>
      <c r="S19" s="566"/>
      <c r="T19" s="566"/>
      <c r="Y19" s="14" t="s">
        <v>25</v>
      </c>
      <c r="Z19" s="12">
        <v>1</v>
      </c>
      <c r="AA19" s="14" t="s">
        <v>71</v>
      </c>
      <c r="AB19" s="12" t="s">
        <v>77</v>
      </c>
      <c r="AC19" s="96"/>
      <c r="AD19" s="13"/>
      <c r="AE19" s="95"/>
      <c r="AF19" s="32" t="s">
        <v>554</v>
      </c>
      <c r="AG19" s="75"/>
      <c r="AH19" s="14" t="s">
        <v>181</v>
      </c>
      <c r="AI19" s="12">
        <v>1</v>
      </c>
      <c r="AJ19" s="14" t="s">
        <v>197</v>
      </c>
      <c r="AK19" s="12" t="s">
        <v>77</v>
      </c>
      <c r="AL19" s="92"/>
      <c r="AM19" s="26"/>
      <c r="AN19" s="95"/>
      <c r="AO19" s="32" t="s">
        <v>554</v>
      </c>
      <c r="AX19" s="14" t="s">
        <v>25</v>
      </c>
      <c r="AY19" s="12">
        <v>1</v>
      </c>
      <c r="AZ19" s="14" t="s">
        <v>71</v>
      </c>
      <c r="BA19" s="12" t="s">
        <v>27</v>
      </c>
      <c r="BB19" s="96"/>
      <c r="BC19" s="13"/>
      <c r="BD19" s="95"/>
      <c r="BE19" s="23"/>
      <c r="BF19" s="75"/>
      <c r="BG19" s="14" t="s">
        <v>181</v>
      </c>
      <c r="BH19" s="12">
        <v>1</v>
      </c>
      <c r="BI19" s="14" t="s">
        <v>197</v>
      </c>
      <c r="BJ19" s="12" t="s">
        <v>27</v>
      </c>
      <c r="BK19" s="92"/>
      <c r="BL19" s="26"/>
      <c r="BM19" s="95"/>
      <c r="BN19" s="23"/>
      <c r="BX19" s="14" t="s">
        <v>25</v>
      </c>
      <c r="BY19" s="12">
        <v>1</v>
      </c>
      <c r="BZ19" s="14" t="s">
        <v>71</v>
      </c>
      <c r="CA19" s="12" t="s">
        <v>74</v>
      </c>
      <c r="CB19" s="96"/>
      <c r="CC19" s="13"/>
      <c r="CD19" s="95"/>
      <c r="CE19" s="32" t="s">
        <v>284</v>
      </c>
      <c r="CF19" s="75"/>
      <c r="CG19" s="14" t="s">
        <v>181</v>
      </c>
      <c r="CH19" s="12">
        <v>1</v>
      </c>
      <c r="CI19" s="14" t="s">
        <v>197</v>
      </c>
      <c r="CJ19" s="12" t="s">
        <v>74</v>
      </c>
      <c r="CK19" s="92">
        <f>CH19*8145</f>
        <v>8145</v>
      </c>
      <c r="CL19" s="26"/>
      <c r="CM19" s="95">
        <v>45779</v>
      </c>
      <c r="CN19" s="32" t="s">
        <v>284</v>
      </c>
      <c r="CX19" s="234" t="s">
        <v>782</v>
      </c>
      <c r="CY19" s="235" t="s">
        <v>783</v>
      </c>
      <c r="CZ19" s="236">
        <v>1</v>
      </c>
      <c r="DA19" s="237" t="s">
        <v>775</v>
      </c>
      <c r="DB19" s="226">
        <v>5</v>
      </c>
      <c r="DC19" s="242">
        <v>1</v>
      </c>
      <c r="DD19" s="242">
        <v>1</v>
      </c>
      <c r="DE19" s="238">
        <v>1</v>
      </c>
      <c r="DF19" s="381"/>
      <c r="DG19" s="381"/>
      <c r="DH19" s="229">
        <f t="shared" si="13"/>
        <v>6</v>
      </c>
      <c r="DI19" s="242">
        <v>1</v>
      </c>
      <c r="DJ19" s="242">
        <v>1</v>
      </c>
      <c r="DK19" s="239">
        <v>1</v>
      </c>
      <c r="DL19" s="240">
        <f t="shared" si="14"/>
        <v>9</v>
      </c>
      <c r="DM19" s="240"/>
      <c r="DN19" s="229">
        <f t="shared" si="15"/>
        <v>6.5</v>
      </c>
      <c r="DO19" s="241">
        <v>1.5</v>
      </c>
      <c r="DP19" s="242">
        <v>1</v>
      </c>
      <c r="DQ19" s="230">
        <v>1.5</v>
      </c>
      <c r="DR19" s="240">
        <f t="shared" si="16"/>
        <v>10.5</v>
      </c>
      <c r="DS19" s="229">
        <f t="shared" si="19"/>
        <v>8.5</v>
      </c>
      <c r="DT19" s="241">
        <v>2</v>
      </c>
      <c r="DU19" s="242">
        <v>1</v>
      </c>
      <c r="DV19" s="230">
        <v>2</v>
      </c>
      <c r="DW19" s="240">
        <f t="shared" si="17"/>
        <v>13.5</v>
      </c>
      <c r="EB19" s="1"/>
      <c r="EC19" s="279" t="s">
        <v>155</v>
      </c>
      <c r="ED19" s="160" t="s">
        <v>156</v>
      </c>
      <c r="EE19" s="160" t="s">
        <v>157</v>
      </c>
      <c r="EF19" s="280" t="s">
        <v>212</v>
      </c>
      <c r="EG19" s="279" t="s">
        <v>155</v>
      </c>
      <c r="EH19" s="160" t="s">
        <v>156</v>
      </c>
      <c r="EI19" s="160" t="s">
        <v>157</v>
      </c>
      <c r="EJ19" s="280" t="s">
        <v>212</v>
      </c>
      <c r="EK19" s="279" t="s">
        <v>157</v>
      </c>
      <c r="EL19" s="160" t="s">
        <v>212</v>
      </c>
      <c r="EM19" s="280" t="s">
        <v>214</v>
      </c>
      <c r="EN19" s="279" t="s">
        <v>155</v>
      </c>
      <c r="EO19" s="160" t="s">
        <v>156</v>
      </c>
      <c r="EP19" s="280" t="s">
        <v>904</v>
      </c>
      <c r="ES19" s="506" t="s">
        <v>931</v>
      </c>
      <c r="ET19" s="507"/>
      <c r="EU19" s="507"/>
      <c r="EV19" s="507"/>
      <c r="EW19" s="507"/>
      <c r="EX19" s="507"/>
      <c r="EY19" s="508"/>
      <c r="HF19" t="s">
        <v>1183</v>
      </c>
      <c r="IC19" s="279"/>
      <c r="ID19" s="160"/>
      <c r="IE19" s="160"/>
      <c r="IF19" s="160"/>
      <c r="IG19" s="160"/>
      <c r="IH19" s="160"/>
      <c r="II19" s="160"/>
      <c r="IJ19" s="160"/>
      <c r="IK19" s="44"/>
      <c r="IL19" s="112"/>
      <c r="JB19" s="1"/>
      <c r="JC19" s="1"/>
      <c r="JD19" s="1" t="s">
        <v>1176</v>
      </c>
      <c r="JE19" s="1"/>
      <c r="JF19" s="1"/>
      <c r="JG19" s="1"/>
      <c r="JH19" s="1"/>
      <c r="KZ19" s="279" t="s">
        <v>916</v>
      </c>
      <c r="LA19" s="160" t="s">
        <v>889</v>
      </c>
      <c r="LB19" s="160"/>
      <c r="LC19" s="305"/>
      <c r="LD19" s="305">
        <f t="shared" si="22"/>
        <v>72.925000000000011</v>
      </c>
      <c r="LE19" s="160"/>
      <c r="LF19" s="160"/>
      <c r="LG19" s="327">
        <v>169</v>
      </c>
      <c r="LH19" s="306">
        <v>0.32500000000000001</v>
      </c>
      <c r="LI19" s="306">
        <v>1.5</v>
      </c>
      <c r="LJ19" s="306">
        <v>3</v>
      </c>
      <c r="LK19" s="332">
        <v>18</v>
      </c>
    </row>
    <row r="20" spans="1:323" ht="19.5" thickBot="1" x14ac:dyDescent="0.35">
      <c r="A20" s="566"/>
      <c r="B20" s="566"/>
      <c r="C20" s="566"/>
      <c r="D20" s="566"/>
      <c r="E20" s="566"/>
      <c r="F20" s="566"/>
      <c r="G20" s="566"/>
      <c r="H20" s="566"/>
      <c r="I20" s="566"/>
      <c r="J20" s="566"/>
      <c r="K20" s="566"/>
      <c r="L20" s="566"/>
      <c r="M20" s="566"/>
      <c r="N20" s="566"/>
      <c r="O20" s="566"/>
      <c r="P20" s="566"/>
      <c r="Q20" s="566"/>
      <c r="R20" s="566"/>
      <c r="S20" s="566"/>
      <c r="T20" s="566"/>
      <c r="CX20" s="234" t="s">
        <v>784</v>
      </c>
      <c r="CY20" s="235" t="s">
        <v>785</v>
      </c>
      <c r="CZ20" s="236">
        <v>1</v>
      </c>
      <c r="DA20" s="237" t="s">
        <v>775</v>
      </c>
      <c r="DB20" s="226">
        <v>5</v>
      </c>
      <c r="DC20" s="242">
        <v>1</v>
      </c>
      <c r="DD20" s="242">
        <v>1.5</v>
      </c>
      <c r="DE20" s="238">
        <v>1</v>
      </c>
      <c r="DF20" s="381"/>
      <c r="DG20" s="381"/>
      <c r="DH20" s="229">
        <f t="shared" si="13"/>
        <v>6</v>
      </c>
      <c r="DI20" s="242">
        <v>1</v>
      </c>
      <c r="DJ20" s="242">
        <v>1.5</v>
      </c>
      <c r="DK20" s="239">
        <v>1</v>
      </c>
      <c r="DL20" s="240">
        <f t="shared" si="14"/>
        <v>9.5</v>
      </c>
      <c r="DM20" s="240"/>
      <c r="DN20" s="229">
        <f t="shared" si="15"/>
        <v>6.5</v>
      </c>
      <c r="DO20" s="241">
        <v>1.5</v>
      </c>
      <c r="DP20" s="242">
        <v>1.5</v>
      </c>
      <c r="DQ20" s="230">
        <v>1.5</v>
      </c>
      <c r="DR20" s="240">
        <f t="shared" si="16"/>
        <v>11</v>
      </c>
      <c r="DS20" s="229">
        <f t="shared" si="19"/>
        <v>8.5</v>
      </c>
      <c r="DT20" s="241">
        <v>2</v>
      </c>
      <c r="DU20" s="242">
        <v>1.5</v>
      </c>
      <c r="DV20" s="230">
        <v>2</v>
      </c>
      <c r="DW20" s="240">
        <f t="shared" si="17"/>
        <v>14</v>
      </c>
      <c r="EB20" s="1" t="s">
        <v>905</v>
      </c>
      <c r="EC20" s="279">
        <v>4</v>
      </c>
      <c r="ED20" s="160">
        <v>5</v>
      </c>
      <c r="EE20" s="160">
        <v>6</v>
      </c>
      <c r="EF20" s="280">
        <v>7</v>
      </c>
      <c r="EG20" s="279">
        <v>5</v>
      </c>
      <c r="EH20" s="160">
        <v>6</v>
      </c>
      <c r="EI20" s="160">
        <v>7</v>
      </c>
      <c r="EJ20" s="280">
        <v>8</v>
      </c>
      <c r="EK20" s="279">
        <v>3</v>
      </c>
      <c r="EL20" s="160">
        <v>3</v>
      </c>
      <c r="EM20" s="280">
        <v>3</v>
      </c>
      <c r="EN20" s="279">
        <v>6</v>
      </c>
      <c r="EO20" s="160">
        <v>9</v>
      </c>
      <c r="EP20" s="280">
        <v>11</v>
      </c>
      <c r="ES20" s="509"/>
      <c r="ET20" s="510"/>
      <c r="EU20" s="510"/>
      <c r="EV20" s="510"/>
      <c r="EW20" s="510"/>
      <c r="EX20" s="510"/>
      <c r="EY20" s="511"/>
      <c r="IC20" s="279"/>
      <c r="ID20" s="160"/>
      <c r="IE20" s="160"/>
      <c r="IF20" s="160"/>
      <c r="IG20" s="160"/>
      <c r="IH20" s="160"/>
      <c r="II20" s="160"/>
      <c r="IJ20" s="160"/>
      <c r="IK20" s="44"/>
      <c r="IL20" s="112"/>
      <c r="JB20" s="158" t="s">
        <v>1175</v>
      </c>
      <c r="JC20" s="1"/>
      <c r="JD20" s="1"/>
      <c r="JE20" s="1"/>
      <c r="JF20" s="1"/>
      <c r="JG20" s="1"/>
      <c r="JH20" s="1"/>
      <c r="KZ20" s="283" t="s">
        <v>917</v>
      </c>
      <c r="LA20" s="160" t="s">
        <v>889</v>
      </c>
      <c r="LB20" s="284"/>
      <c r="LC20" s="310"/>
      <c r="LD20" s="310">
        <f t="shared" si="22"/>
        <v>78.8</v>
      </c>
      <c r="LE20" s="284"/>
      <c r="LF20" s="284"/>
      <c r="LG20" s="333">
        <v>196</v>
      </c>
      <c r="LH20" s="311">
        <v>0.3</v>
      </c>
      <c r="LI20" s="311">
        <v>1.5</v>
      </c>
      <c r="LJ20" s="311">
        <v>3</v>
      </c>
      <c r="LK20" s="334">
        <v>20</v>
      </c>
    </row>
    <row r="21" spans="1:323" ht="30.75" customHeight="1" x14ac:dyDescent="0.55000000000000004">
      <c r="A21" s="566"/>
      <c r="B21" s="566"/>
      <c r="C21" s="566"/>
      <c r="D21" s="566"/>
      <c r="E21" s="566"/>
      <c r="F21" s="566"/>
      <c r="G21" s="566"/>
      <c r="H21" s="566"/>
      <c r="I21" s="566"/>
      <c r="J21" s="566"/>
      <c r="K21" s="566"/>
      <c r="L21" s="566"/>
      <c r="M21" s="566"/>
      <c r="N21" s="566"/>
      <c r="O21" s="566"/>
      <c r="P21" s="566"/>
      <c r="Q21" s="566"/>
      <c r="R21" s="566"/>
      <c r="S21" s="566"/>
      <c r="T21" s="566"/>
      <c r="Y21" s="578" t="s">
        <v>246</v>
      </c>
      <c r="Z21" s="578"/>
      <c r="AA21" s="578"/>
      <c r="AB21" s="578"/>
      <c r="AC21" s="578"/>
      <c r="AD21" s="578"/>
      <c r="AE21" s="578"/>
      <c r="AF21" s="578"/>
      <c r="AH21" s="578" t="s">
        <v>246</v>
      </c>
      <c r="AI21" s="578"/>
      <c r="AJ21" s="578"/>
      <c r="AK21" s="578"/>
      <c r="AL21" s="578"/>
      <c r="AM21" s="578"/>
      <c r="AN21" s="578"/>
      <c r="AO21" s="578"/>
      <c r="AX21" s="578" t="s">
        <v>246</v>
      </c>
      <c r="AY21" s="578"/>
      <c r="AZ21" s="578"/>
      <c r="BA21" s="578"/>
      <c r="BB21" s="578"/>
      <c r="BC21" s="578"/>
      <c r="BD21" s="578"/>
      <c r="BE21" s="578"/>
      <c r="BG21" s="578" t="s">
        <v>246</v>
      </c>
      <c r="BH21" s="578"/>
      <c r="BI21" s="578"/>
      <c r="BJ21" s="578"/>
      <c r="BK21" s="578"/>
      <c r="BL21" s="578"/>
      <c r="BM21" s="578"/>
      <c r="BN21" s="578"/>
      <c r="BX21" s="578" t="s">
        <v>246</v>
      </c>
      <c r="BY21" s="578"/>
      <c r="BZ21" s="578"/>
      <c r="CA21" s="578"/>
      <c r="CB21" s="578"/>
      <c r="CC21" s="578"/>
      <c r="CD21" s="578"/>
      <c r="CE21" s="578"/>
      <c r="CG21" s="578" t="s">
        <v>246</v>
      </c>
      <c r="CH21" s="578"/>
      <c r="CI21" s="578"/>
      <c r="CJ21" s="578"/>
      <c r="CK21" s="578"/>
      <c r="CL21" s="578"/>
      <c r="CM21" s="578"/>
      <c r="CN21" s="578"/>
      <c r="CX21" s="234" t="s">
        <v>786</v>
      </c>
      <c r="CY21" s="235" t="s">
        <v>787</v>
      </c>
      <c r="CZ21" s="243">
        <v>2</v>
      </c>
      <c r="DA21" s="237"/>
      <c r="DB21" s="226">
        <f>DB8+DB9</f>
        <v>6</v>
      </c>
      <c r="DC21" s="242">
        <v>1</v>
      </c>
      <c r="DD21" s="242">
        <v>1.5</v>
      </c>
      <c r="DE21" s="238">
        <v>1</v>
      </c>
      <c r="DF21" s="381"/>
      <c r="DG21" s="381"/>
      <c r="DH21" s="229">
        <f t="shared" si="13"/>
        <v>8</v>
      </c>
      <c r="DI21" s="242">
        <v>1</v>
      </c>
      <c r="DJ21" s="242">
        <v>1.5</v>
      </c>
      <c r="DK21" s="239">
        <v>1</v>
      </c>
      <c r="DL21" s="240">
        <f t="shared" si="14"/>
        <v>11.5</v>
      </c>
      <c r="DM21" s="240"/>
      <c r="DN21" s="229">
        <f t="shared" si="15"/>
        <v>9</v>
      </c>
      <c r="DO21" s="241">
        <v>1.5</v>
      </c>
      <c r="DP21" s="242">
        <v>1.5</v>
      </c>
      <c r="DQ21" s="230">
        <v>1.5</v>
      </c>
      <c r="DR21" s="240">
        <f t="shared" si="16"/>
        <v>13.5</v>
      </c>
      <c r="DS21" s="229">
        <f t="shared" ref="DS21:DS27" si="23">DB21+(2*CZ21)</f>
        <v>10</v>
      </c>
      <c r="DT21" s="241">
        <v>2</v>
      </c>
      <c r="DU21" s="242">
        <v>1.5</v>
      </c>
      <c r="DV21" s="230">
        <v>2</v>
      </c>
      <c r="DW21" s="240">
        <f t="shared" si="17"/>
        <v>15.5</v>
      </c>
      <c r="EB21" s="1" t="s">
        <v>906</v>
      </c>
      <c r="EC21" s="279">
        <v>4</v>
      </c>
      <c r="ED21" s="160">
        <v>5</v>
      </c>
      <c r="EE21" s="160">
        <v>6</v>
      </c>
      <c r="EF21" s="280">
        <v>7</v>
      </c>
      <c r="EG21" s="279">
        <v>5</v>
      </c>
      <c r="EH21" s="160">
        <v>6</v>
      </c>
      <c r="EI21" s="160">
        <v>7</v>
      </c>
      <c r="EJ21" s="280">
        <v>8</v>
      </c>
      <c r="EK21" s="279">
        <v>3</v>
      </c>
      <c r="EL21" s="160">
        <v>3</v>
      </c>
      <c r="EM21" s="280">
        <v>3</v>
      </c>
      <c r="EN21" s="279">
        <v>6</v>
      </c>
      <c r="EO21" s="160">
        <v>9</v>
      </c>
      <c r="EP21" s="280">
        <v>11</v>
      </c>
      <c r="ES21" s="307" t="s">
        <v>848</v>
      </c>
      <c r="ET21" s="303" t="s">
        <v>926</v>
      </c>
      <c r="EU21" s="303" t="s">
        <v>927</v>
      </c>
      <c r="EV21" s="303" t="s">
        <v>928</v>
      </c>
      <c r="EW21" s="303"/>
      <c r="EX21" s="304" t="s">
        <v>929</v>
      </c>
      <c r="EY21" s="308" t="s">
        <v>930</v>
      </c>
      <c r="FG21" s="531" t="s">
        <v>156</v>
      </c>
      <c r="FH21" s="531"/>
      <c r="FI21" s="531"/>
      <c r="FJ21" s="531"/>
      <c r="FK21" s="531"/>
      <c r="FL21" s="531"/>
      <c r="FM21" s="531"/>
      <c r="FN21" s="531"/>
      <c r="FO21" s="531"/>
      <c r="FP21" s="531"/>
      <c r="FQ21" s="531"/>
      <c r="FR21" s="531"/>
      <c r="FS21" s="531"/>
      <c r="FT21" s="531"/>
      <c r="FU21" s="531"/>
      <c r="FV21" s="531"/>
      <c r="FW21" s="531"/>
      <c r="FX21" s="531"/>
      <c r="FY21" s="531"/>
      <c r="FZ21" s="531"/>
      <c r="GA21" s="531"/>
      <c r="GB21" s="531"/>
      <c r="GC21" s="531"/>
      <c r="GD21" s="531"/>
      <c r="IC21" s="279"/>
      <c r="ID21" s="160"/>
      <c r="IE21" s="160"/>
      <c r="IF21" s="160"/>
      <c r="IG21" s="160"/>
      <c r="IH21" s="160"/>
      <c r="II21" s="160"/>
      <c r="IJ21" s="160"/>
      <c r="IK21" s="44"/>
      <c r="IL21" s="112"/>
      <c r="JB21" s="299" t="s">
        <v>1056</v>
      </c>
      <c r="JC21" s="299" t="s">
        <v>1057</v>
      </c>
      <c r="JD21" s="299" t="s">
        <v>1052</v>
      </c>
      <c r="JE21" s="299" t="s">
        <v>1058</v>
      </c>
      <c r="JF21" s="299" t="s">
        <v>1059</v>
      </c>
      <c r="JG21" s="1"/>
      <c r="JH21" s="1"/>
    </row>
    <row r="22" spans="1:323" ht="30.75" thickBot="1" x14ac:dyDescent="0.3">
      <c r="A22" s="566"/>
      <c r="B22" s="566"/>
      <c r="C22" s="566"/>
      <c r="D22" s="566"/>
      <c r="E22" s="566"/>
      <c r="F22" s="566"/>
      <c r="G22" s="566"/>
      <c r="H22" s="566"/>
      <c r="I22" s="566"/>
      <c r="J22" s="566"/>
      <c r="K22" s="566"/>
      <c r="L22" s="566"/>
      <c r="M22" s="566"/>
      <c r="N22" s="566"/>
      <c r="O22" s="566"/>
      <c r="P22" s="566"/>
      <c r="Q22" s="566"/>
      <c r="R22" s="566"/>
      <c r="S22" s="566"/>
      <c r="T22" s="566"/>
      <c r="Y22" s="27" t="s">
        <v>0</v>
      </c>
      <c r="Z22" s="28" t="s">
        <v>1</v>
      </c>
      <c r="AA22" s="28" t="s">
        <v>2</v>
      </c>
      <c r="AB22" s="28" t="s">
        <v>24</v>
      </c>
      <c r="AC22" s="155" t="s">
        <v>7</v>
      </c>
      <c r="AD22" s="45" t="s">
        <v>9</v>
      </c>
      <c r="AE22" s="7" t="s">
        <v>133</v>
      </c>
      <c r="AF22" s="46" t="s">
        <v>134</v>
      </c>
      <c r="AH22" s="27" t="s">
        <v>0</v>
      </c>
      <c r="AI22" s="28" t="s">
        <v>1</v>
      </c>
      <c r="AJ22" s="28" t="s">
        <v>2</v>
      </c>
      <c r="AK22" s="28" t="s">
        <v>24</v>
      </c>
      <c r="AL22" s="155" t="s">
        <v>7</v>
      </c>
      <c r="AM22" s="45" t="s">
        <v>9</v>
      </c>
      <c r="AN22" s="7" t="s">
        <v>133</v>
      </c>
      <c r="AO22" s="46" t="s">
        <v>134</v>
      </c>
      <c r="AX22" s="27" t="s">
        <v>0</v>
      </c>
      <c r="AY22" s="28" t="s">
        <v>1</v>
      </c>
      <c r="AZ22" s="28" t="s">
        <v>2</v>
      </c>
      <c r="BA22" s="28" t="s">
        <v>24</v>
      </c>
      <c r="BB22" s="155" t="s">
        <v>7</v>
      </c>
      <c r="BC22" s="45" t="s">
        <v>9</v>
      </c>
      <c r="BD22" s="7" t="s">
        <v>133</v>
      </c>
      <c r="BE22" s="46" t="s">
        <v>134</v>
      </c>
      <c r="BG22" s="27" t="s">
        <v>0</v>
      </c>
      <c r="BH22" s="28" t="s">
        <v>1</v>
      </c>
      <c r="BI22" s="28" t="s">
        <v>2</v>
      </c>
      <c r="BJ22" s="28" t="s">
        <v>24</v>
      </c>
      <c r="BK22" s="155" t="s">
        <v>7</v>
      </c>
      <c r="BL22" s="45" t="s">
        <v>9</v>
      </c>
      <c r="BM22" s="7" t="s">
        <v>133</v>
      </c>
      <c r="BN22" s="46" t="s">
        <v>134</v>
      </c>
      <c r="BX22" s="27" t="s">
        <v>0</v>
      </c>
      <c r="BY22" s="28" t="s">
        <v>1</v>
      </c>
      <c r="BZ22" s="28" t="s">
        <v>2</v>
      </c>
      <c r="CA22" s="28" t="s">
        <v>24</v>
      </c>
      <c r="CB22" s="155" t="s">
        <v>7</v>
      </c>
      <c r="CC22" s="45" t="s">
        <v>9</v>
      </c>
      <c r="CD22" s="89" t="s">
        <v>133</v>
      </c>
      <c r="CE22" s="46" t="s">
        <v>134</v>
      </c>
      <c r="CG22" s="27" t="s">
        <v>0</v>
      </c>
      <c r="CH22" s="28" t="s">
        <v>1</v>
      </c>
      <c r="CI22" s="28" t="s">
        <v>2</v>
      </c>
      <c r="CJ22" s="28" t="s">
        <v>24</v>
      </c>
      <c r="CK22" s="155" t="s">
        <v>7</v>
      </c>
      <c r="CL22" s="45" t="s">
        <v>9</v>
      </c>
      <c r="CM22" s="89" t="s">
        <v>133</v>
      </c>
      <c r="CN22" s="46" t="s">
        <v>134</v>
      </c>
      <c r="CX22" s="234" t="s">
        <v>788</v>
      </c>
      <c r="CY22" s="235" t="s">
        <v>789</v>
      </c>
      <c r="CZ22" s="243">
        <v>2</v>
      </c>
      <c r="DA22" s="237"/>
      <c r="DB22" s="226">
        <f>DB21</f>
        <v>6</v>
      </c>
      <c r="DC22" s="242">
        <v>1</v>
      </c>
      <c r="DD22" s="242">
        <v>1.5</v>
      </c>
      <c r="DE22" s="238">
        <v>1</v>
      </c>
      <c r="DF22" s="381"/>
      <c r="DG22" s="381"/>
      <c r="DH22" s="229">
        <f t="shared" si="13"/>
        <v>8</v>
      </c>
      <c r="DI22" s="242">
        <v>1</v>
      </c>
      <c r="DJ22" s="242">
        <v>1.5</v>
      </c>
      <c r="DK22" s="239">
        <v>1</v>
      </c>
      <c r="DL22" s="240">
        <f t="shared" si="14"/>
        <v>11.5</v>
      </c>
      <c r="DM22" s="240"/>
      <c r="DN22" s="229">
        <f t="shared" si="15"/>
        <v>9</v>
      </c>
      <c r="DO22" s="241">
        <v>1.5</v>
      </c>
      <c r="DP22" s="242">
        <v>1.5</v>
      </c>
      <c r="DQ22" s="230">
        <v>1.5</v>
      </c>
      <c r="DR22" s="240">
        <f t="shared" si="16"/>
        <v>13.5</v>
      </c>
      <c r="DS22" s="229">
        <f t="shared" si="23"/>
        <v>10</v>
      </c>
      <c r="DT22" s="241">
        <v>2</v>
      </c>
      <c r="DU22" s="242">
        <v>1.5</v>
      </c>
      <c r="DV22" s="230">
        <v>2</v>
      </c>
      <c r="DW22" s="240">
        <f t="shared" si="17"/>
        <v>15.5</v>
      </c>
      <c r="EB22" s="1" t="s">
        <v>861</v>
      </c>
      <c r="EC22" s="279">
        <v>4</v>
      </c>
      <c r="ED22" s="160">
        <v>5</v>
      </c>
      <c r="EE22" s="160">
        <v>6</v>
      </c>
      <c r="EF22" s="280">
        <v>6</v>
      </c>
      <c r="EG22" s="279">
        <v>5</v>
      </c>
      <c r="EH22" s="160">
        <v>6</v>
      </c>
      <c r="EI22" s="160">
        <v>7</v>
      </c>
      <c r="EJ22" s="280">
        <v>8</v>
      </c>
      <c r="EK22" s="279">
        <v>3</v>
      </c>
      <c r="EL22" s="160">
        <v>3</v>
      </c>
      <c r="EM22" s="280">
        <v>3</v>
      </c>
      <c r="EN22" s="279">
        <v>6</v>
      </c>
      <c r="EO22" s="160">
        <v>9</v>
      </c>
      <c r="EP22" s="280">
        <v>11</v>
      </c>
      <c r="ES22" s="279" t="s">
        <v>905</v>
      </c>
      <c r="ET22" s="160"/>
      <c r="EU22" s="160"/>
      <c r="EV22" s="305">
        <f>EX22+(EY22*EU22)</f>
        <v>0</v>
      </c>
      <c r="EW22" s="160"/>
      <c r="EX22" s="306" t="str">
        <f>IF(ET22=0,"0",IF(ET22=1,"3","6"))</f>
        <v>0</v>
      </c>
      <c r="EY22" s="309">
        <f>4</f>
        <v>4</v>
      </c>
      <c r="FG22" s="299" t="s">
        <v>933</v>
      </c>
      <c r="FH22" s="299" t="s">
        <v>934</v>
      </c>
      <c r="FI22" s="299" t="s">
        <v>935</v>
      </c>
      <c r="FJ22" s="299" t="s">
        <v>936</v>
      </c>
      <c r="FK22" s="299" t="s">
        <v>937</v>
      </c>
      <c r="FL22" s="299" t="s">
        <v>938</v>
      </c>
      <c r="FM22" s="299" t="s">
        <v>939</v>
      </c>
      <c r="FN22" s="299" t="s">
        <v>940</v>
      </c>
      <c r="FO22" s="299" t="s">
        <v>941</v>
      </c>
      <c r="FP22" s="299"/>
      <c r="FQ22" s="300" t="s">
        <v>942</v>
      </c>
      <c r="FR22" s="300" t="s">
        <v>943</v>
      </c>
      <c r="FS22" s="300" t="s">
        <v>858</v>
      </c>
      <c r="FT22" s="300" t="s">
        <v>944</v>
      </c>
      <c r="FU22" s="300" t="s">
        <v>945</v>
      </c>
      <c r="FV22" s="322" t="s">
        <v>946</v>
      </c>
      <c r="FW22" s="299" t="s">
        <v>933</v>
      </c>
      <c r="FX22" s="299"/>
      <c r="FY22" s="421" t="s">
        <v>555</v>
      </c>
      <c r="FZ22" s="299"/>
      <c r="GA22" s="422" t="s">
        <v>1226</v>
      </c>
      <c r="GB22" s="299"/>
      <c r="GD22" s="319" t="s">
        <v>942</v>
      </c>
      <c r="IC22" s="39" t="s">
        <v>1047</v>
      </c>
      <c r="ID22" s="160"/>
      <c r="IE22" s="160"/>
      <c r="IF22" s="160"/>
      <c r="IG22" s="160"/>
      <c r="IH22" s="160"/>
      <c r="II22" s="160"/>
      <c r="IJ22" s="160"/>
      <c r="IK22" s="44"/>
      <c r="IL22" s="112"/>
      <c r="JB22" s="1">
        <v>5</v>
      </c>
      <c r="JC22" s="1">
        <v>5</v>
      </c>
      <c r="JD22" s="1">
        <v>1</v>
      </c>
      <c r="JE22" s="1">
        <f>(((JB22*12)/3)*((JC22*12)/3))</f>
        <v>400</v>
      </c>
      <c r="JF22" s="1">
        <f>JD22*JE22</f>
        <v>400</v>
      </c>
      <c r="JG22" s="1"/>
      <c r="JH22" s="1"/>
    </row>
    <row r="23" spans="1:323" ht="16.5" thickBot="1" x14ac:dyDescent="0.3">
      <c r="A23" s="203"/>
      <c r="B23" s="203"/>
      <c r="C23" s="203"/>
      <c r="D23" s="203"/>
      <c r="E23" s="203"/>
      <c r="F23" s="203"/>
      <c r="G23" s="203"/>
      <c r="H23" s="203"/>
      <c r="I23" s="203"/>
      <c r="J23" s="203"/>
      <c r="K23" s="203"/>
      <c r="L23" s="203"/>
      <c r="M23" s="203"/>
      <c r="N23" s="203"/>
      <c r="O23" s="203"/>
      <c r="P23" s="203"/>
      <c r="Q23" s="203"/>
      <c r="R23" s="203"/>
      <c r="S23" s="203"/>
      <c r="T23" s="203"/>
      <c r="Y23" s="10" t="s">
        <v>25</v>
      </c>
      <c r="Z23" s="11">
        <v>1</v>
      </c>
      <c r="AA23" s="10" t="s">
        <v>591</v>
      </c>
      <c r="AB23" s="12" t="s">
        <v>77</v>
      </c>
      <c r="AC23" s="145"/>
      <c r="AD23" s="50"/>
      <c r="AE23" s="95"/>
      <c r="AF23" s="32" t="s">
        <v>554</v>
      </c>
      <c r="AH23" s="10" t="s">
        <v>25</v>
      </c>
      <c r="AI23" s="11">
        <v>1</v>
      </c>
      <c r="AJ23" s="10" t="s">
        <v>608</v>
      </c>
      <c r="AK23" s="12" t="s">
        <v>77</v>
      </c>
      <c r="AL23" s="145">
        <f>AI23*16</f>
        <v>16</v>
      </c>
      <c r="AM23" s="50"/>
      <c r="AN23" s="95">
        <v>45475</v>
      </c>
      <c r="AO23" s="32" t="s">
        <v>554</v>
      </c>
      <c r="AX23" s="10" t="s">
        <v>25</v>
      </c>
      <c r="AY23" s="11">
        <v>1</v>
      </c>
      <c r="AZ23" s="10" t="s">
        <v>591</v>
      </c>
      <c r="BA23" s="12" t="s">
        <v>27</v>
      </c>
      <c r="BB23" s="145">
        <f>AY23*22</f>
        <v>22</v>
      </c>
      <c r="BC23" s="26"/>
      <c r="BD23" s="95">
        <v>45376</v>
      </c>
      <c r="BE23" s="23" t="s">
        <v>336</v>
      </c>
      <c r="BG23" s="10" t="s">
        <v>25</v>
      </c>
      <c r="BH23" s="11">
        <v>1</v>
      </c>
      <c r="BI23" s="10" t="s">
        <v>608</v>
      </c>
      <c r="BJ23" s="12" t="s">
        <v>27</v>
      </c>
      <c r="BK23" s="145">
        <f>BH23*19</f>
        <v>19</v>
      </c>
      <c r="BL23" s="26"/>
      <c r="BM23" s="95">
        <v>45457</v>
      </c>
      <c r="BN23" s="23" t="s">
        <v>336</v>
      </c>
      <c r="BX23" s="10" t="s">
        <v>25</v>
      </c>
      <c r="BY23" s="11">
        <v>1</v>
      </c>
      <c r="BZ23" s="10" t="s">
        <v>591</v>
      </c>
      <c r="CA23" s="12" t="s">
        <v>74</v>
      </c>
      <c r="CB23" s="145"/>
      <c r="CC23" s="26"/>
      <c r="CD23" s="95"/>
      <c r="CE23" s="32" t="s">
        <v>284</v>
      </c>
      <c r="CG23" s="10" t="s">
        <v>25</v>
      </c>
      <c r="CH23" s="11">
        <v>1</v>
      </c>
      <c r="CI23" s="10" t="s">
        <v>608</v>
      </c>
      <c r="CJ23" s="12" t="s">
        <v>74</v>
      </c>
      <c r="CK23" s="145">
        <f>CH23*28</f>
        <v>28</v>
      </c>
      <c r="CL23" s="26"/>
      <c r="CM23" s="95">
        <v>45457</v>
      </c>
      <c r="CN23" s="32" t="s">
        <v>284</v>
      </c>
      <c r="CX23" s="234" t="s">
        <v>790</v>
      </c>
      <c r="CY23" s="235" t="s">
        <v>791</v>
      </c>
      <c r="CZ23" s="243">
        <v>2</v>
      </c>
      <c r="DA23" s="237"/>
      <c r="DB23" s="226">
        <f t="shared" ref="DB23:DB26" si="24">DB22</f>
        <v>6</v>
      </c>
      <c r="DC23" s="242">
        <v>1</v>
      </c>
      <c r="DD23" s="242">
        <v>1.5</v>
      </c>
      <c r="DE23" s="238">
        <v>1</v>
      </c>
      <c r="DF23" s="381"/>
      <c r="DG23" s="381"/>
      <c r="DH23" s="229">
        <f t="shared" si="13"/>
        <v>8</v>
      </c>
      <c r="DI23" s="242">
        <v>1</v>
      </c>
      <c r="DJ23" s="242">
        <v>1.5</v>
      </c>
      <c r="DK23" s="239">
        <v>1</v>
      </c>
      <c r="DL23" s="240">
        <f t="shared" si="14"/>
        <v>11.5</v>
      </c>
      <c r="DM23" s="240"/>
      <c r="DN23" s="229">
        <f t="shared" si="15"/>
        <v>9</v>
      </c>
      <c r="DO23" s="241">
        <v>1.5</v>
      </c>
      <c r="DP23" s="242">
        <v>1.5</v>
      </c>
      <c r="DQ23" s="230">
        <v>1.5</v>
      </c>
      <c r="DR23" s="240">
        <f t="shared" si="16"/>
        <v>13.5</v>
      </c>
      <c r="DS23" s="229">
        <f t="shared" si="23"/>
        <v>10</v>
      </c>
      <c r="DT23" s="241">
        <v>2</v>
      </c>
      <c r="DU23" s="242">
        <v>1.5</v>
      </c>
      <c r="DV23" s="230">
        <v>2</v>
      </c>
      <c r="DW23" s="240">
        <f t="shared" si="17"/>
        <v>15.5</v>
      </c>
      <c r="EB23" s="1" t="s">
        <v>907</v>
      </c>
      <c r="EC23" s="279">
        <v>3</v>
      </c>
      <c r="ED23" s="160">
        <v>4</v>
      </c>
      <c r="EE23" s="160">
        <v>5</v>
      </c>
      <c r="EF23" s="280">
        <v>6</v>
      </c>
      <c r="EG23" s="279">
        <v>4</v>
      </c>
      <c r="EH23" s="160">
        <v>5</v>
      </c>
      <c r="EI23" s="160">
        <v>6</v>
      </c>
      <c r="EJ23" s="280">
        <v>7</v>
      </c>
      <c r="EK23" s="279">
        <v>3</v>
      </c>
      <c r="EL23" s="160">
        <v>3</v>
      </c>
      <c r="EM23" s="280">
        <v>3</v>
      </c>
      <c r="EN23" s="279">
        <v>6</v>
      </c>
      <c r="EO23" s="160">
        <v>9</v>
      </c>
      <c r="EP23" s="280">
        <v>11</v>
      </c>
      <c r="ES23" s="279" t="s">
        <v>906</v>
      </c>
      <c r="ET23" s="160"/>
      <c r="EU23" s="160"/>
      <c r="EV23" s="305">
        <f t="shared" ref="EV23:EV35" si="25">EX23+(EY23*EU23)</f>
        <v>0</v>
      </c>
      <c r="EW23" s="160"/>
      <c r="EX23" s="306" t="str">
        <f>IF(ET23=0,"0",IF(ET23=1,"3","6"))</f>
        <v>0</v>
      </c>
      <c r="EY23" s="309">
        <f>4</f>
        <v>4</v>
      </c>
      <c r="FG23" s="1" t="s">
        <v>214</v>
      </c>
      <c r="FH23" s="1">
        <v>1</v>
      </c>
      <c r="FI23" s="166" t="s">
        <v>467</v>
      </c>
      <c r="FJ23" s="166" t="s">
        <v>889</v>
      </c>
      <c r="FK23" s="166" t="s">
        <v>889</v>
      </c>
      <c r="FL23" s="166"/>
      <c r="FM23" s="1" t="s">
        <v>889</v>
      </c>
      <c r="FN23" s="1" t="s">
        <v>889</v>
      </c>
      <c r="FO23" s="301">
        <f t="shared" ref="FO23:FO36" si="26">(FH23*FV23)+FR23+FS23+FT23+FU23</f>
        <v>15.3</v>
      </c>
      <c r="FP23" s="1"/>
      <c r="FQ23" s="302" t="str">
        <f>IF(FI23=0,"0",IF(FI23="5/16","3",IF(FI23="3/8","3.3",IF(FI23="1/2","4",IF(FI23="5/8","5",IF(FI23="3/4","5.5","3"))))))</f>
        <v>3.3</v>
      </c>
      <c r="FR23" s="302" t="str">
        <f t="shared" ref="FR23:FS29" si="27">IF(FJ23="Yes","3","0")</f>
        <v>3</v>
      </c>
      <c r="FS23" s="302" t="str">
        <f t="shared" si="27"/>
        <v>3</v>
      </c>
      <c r="FT23" s="302" t="str">
        <f t="shared" ref="FT23:FT36" si="28">IF(FM23="Yes","2","0")</f>
        <v>2</v>
      </c>
      <c r="FU23" s="302" t="str">
        <f>IF(FN23="Yes","4","0")</f>
        <v>4</v>
      </c>
      <c r="FV23" s="324" t="str">
        <f>IF(FL23="Yes",FQ23*2,FQ23)</f>
        <v>3.3</v>
      </c>
      <c r="FW23" s="323" t="s">
        <v>214</v>
      </c>
      <c r="FX23" s="1"/>
      <c r="FY23" s="1" t="s">
        <v>959</v>
      </c>
      <c r="FZ23" s="1"/>
      <c r="GA23" s="1">
        <f>FV23*1.1</f>
        <v>3.63</v>
      </c>
      <c r="GB23" s="1"/>
      <c r="GD23" s="166" t="s">
        <v>466</v>
      </c>
      <c r="IC23" s="314" t="s">
        <v>1039</v>
      </c>
      <c r="ID23" s="313" t="s">
        <v>1040</v>
      </c>
      <c r="IE23" s="313" t="s">
        <v>1041</v>
      </c>
      <c r="IF23" s="313" t="s">
        <v>1051</v>
      </c>
      <c r="IG23" s="313"/>
      <c r="IH23" s="325" t="s">
        <v>1050</v>
      </c>
      <c r="II23" s="325" t="s">
        <v>1048</v>
      </c>
      <c r="IJ23" s="325" t="s">
        <v>1043</v>
      </c>
      <c r="IK23" s="325" t="s">
        <v>1044</v>
      </c>
      <c r="IL23" s="326" t="s">
        <v>1046</v>
      </c>
      <c r="JB23" s="1"/>
      <c r="JC23" s="1"/>
      <c r="JD23" s="1" t="s">
        <v>1177</v>
      </c>
      <c r="JE23" s="1"/>
      <c r="JF23" s="1"/>
      <c r="JG23" s="1"/>
      <c r="JH23" s="1"/>
    </row>
    <row r="24" spans="1:323" ht="16.5" thickBot="1" x14ac:dyDescent="0.3">
      <c r="A24" s="113" t="s">
        <v>1112</v>
      </c>
      <c r="B24" s="11">
        <v>1</v>
      </c>
      <c r="C24" s="10" t="s">
        <v>1113</v>
      </c>
      <c r="D24" s="12" t="s">
        <v>84</v>
      </c>
      <c r="E24" s="24">
        <f>B24*10*36*11.16/144*2.09</f>
        <v>58.310999999999993</v>
      </c>
      <c r="F24" s="67">
        <v>40</v>
      </c>
      <c r="G24" s="203"/>
      <c r="H24" s="203"/>
      <c r="I24" s="203"/>
      <c r="J24" s="203"/>
      <c r="K24" s="203"/>
      <c r="L24" s="203"/>
      <c r="M24" s="203"/>
      <c r="N24" s="203"/>
      <c r="O24" s="203"/>
      <c r="P24" s="203"/>
      <c r="Q24" s="203"/>
      <c r="R24" s="203"/>
      <c r="S24" s="203"/>
      <c r="T24" s="203"/>
      <c r="Y24" s="10" t="s">
        <v>25</v>
      </c>
      <c r="Z24" s="11">
        <v>1</v>
      </c>
      <c r="AA24" s="10" t="s">
        <v>592</v>
      </c>
      <c r="AB24" s="12" t="s">
        <v>77</v>
      </c>
      <c r="AC24" s="145"/>
      <c r="AD24" s="50"/>
      <c r="AE24" s="95"/>
      <c r="AF24" s="32" t="s">
        <v>554</v>
      </c>
      <c r="AH24" s="10" t="s">
        <v>25</v>
      </c>
      <c r="AI24" s="11">
        <v>1</v>
      </c>
      <c r="AJ24" s="10" t="s">
        <v>609</v>
      </c>
      <c r="AK24" s="12" t="s">
        <v>77</v>
      </c>
      <c r="AL24" s="145">
        <f>AI24*18</f>
        <v>18</v>
      </c>
      <c r="AM24" s="50"/>
      <c r="AN24" s="95">
        <v>45475</v>
      </c>
      <c r="AO24" s="32" t="s">
        <v>554</v>
      </c>
      <c r="AX24" s="10" t="s">
        <v>25</v>
      </c>
      <c r="AY24" s="11">
        <v>1</v>
      </c>
      <c r="AZ24" s="10" t="s">
        <v>592</v>
      </c>
      <c r="BA24" s="12" t="s">
        <v>27</v>
      </c>
      <c r="BB24" s="145"/>
      <c r="BC24" s="26"/>
      <c r="BD24" s="95"/>
      <c r="BE24" s="23" t="s">
        <v>336</v>
      </c>
      <c r="BG24" s="10" t="s">
        <v>25</v>
      </c>
      <c r="BH24" s="11">
        <v>1</v>
      </c>
      <c r="BI24" s="10" t="s">
        <v>609</v>
      </c>
      <c r="BJ24" s="12" t="s">
        <v>27</v>
      </c>
      <c r="BK24" s="145">
        <f>BH24*27</f>
        <v>27</v>
      </c>
      <c r="BL24" s="26"/>
      <c r="BM24" s="95">
        <v>45457</v>
      </c>
      <c r="BN24" s="23" t="s">
        <v>336</v>
      </c>
      <c r="BX24" s="10" t="s">
        <v>25</v>
      </c>
      <c r="BY24" s="11">
        <v>1</v>
      </c>
      <c r="BZ24" s="10" t="s">
        <v>592</v>
      </c>
      <c r="CA24" s="12" t="s">
        <v>74</v>
      </c>
      <c r="CB24" s="145"/>
      <c r="CC24" s="26"/>
      <c r="CD24" s="95"/>
      <c r="CE24" s="32" t="s">
        <v>284</v>
      </c>
      <c r="CG24" s="10" t="s">
        <v>25</v>
      </c>
      <c r="CH24" s="11">
        <v>1</v>
      </c>
      <c r="CI24" s="10" t="s">
        <v>609</v>
      </c>
      <c r="CJ24" s="12" t="s">
        <v>74</v>
      </c>
      <c r="CK24" s="145">
        <f>CH24*39</f>
        <v>39</v>
      </c>
      <c r="CL24" s="26"/>
      <c r="CM24" s="95">
        <v>45457</v>
      </c>
      <c r="CN24" s="32" t="s">
        <v>284</v>
      </c>
      <c r="CX24" s="234" t="s">
        <v>792</v>
      </c>
      <c r="CY24" s="235" t="s">
        <v>793</v>
      </c>
      <c r="CZ24" s="243">
        <v>2</v>
      </c>
      <c r="DA24" s="237"/>
      <c r="DB24" s="226">
        <f t="shared" si="24"/>
        <v>6</v>
      </c>
      <c r="DC24" s="242">
        <v>1</v>
      </c>
      <c r="DD24" s="242">
        <v>1.5</v>
      </c>
      <c r="DE24" s="238">
        <v>1</v>
      </c>
      <c r="DF24" s="381"/>
      <c r="DG24" s="381"/>
      <c r="DH24" s="229">
        <f t="shared" si="13"/>
        <v>8</v>
      </c>
      <c r="DI24" s="242">
        <v>1</v>
      </c>
      <c r="DJ24" s="242">
        <v>1.5</v>
      </c>
      <c r="DK24" s="239">
        <v>1</v>
      </c>
      <c r="DL24" s="240">
        <f t="shared" si="14"/>
        <v>11.5</v>
      </c>
      <c r="DM24" s="240"/>
      <c r="DN24" s="229">
        <f t="shared" si="15"/>
        <v>9</v>
      </c>
      <c r="DO24" s="241">
        <v>1.5</v>
      </c>
      <c r="DP24" s="242">
        <v>1.5</v>
      </c>
      <c r="DQ24" s="230">
        <v>1.5</v>
      </c>
      <c r="DR24" s="240">
        <f t="shared" si="16"/>
        <v>13.5</v>
      </c>
      <c r="DS24" s="229">
        <f t="shared" si="23"/>
        <v>10</v>
      </c>
      <c r="DT24" s="241">
        <v>2</v>
      </c>
      <c r="DU24" s="242">
        <v>1.5</v>
      </c>
      <c r="DV24" s="230">
        <v>2</v>
      </c>
      <c r="DW24" s="240">
        <f t="shared" si="17"/>
        <v>15.5</v>
      </c>
      <c r="EB24" s="1" t="s">
        <v>908</v>
      </c>
      <c r="EC24" s="279">
        <v>3</v>
      </c>
      <c r="ED24" s="160">
        <v>4</v>
      </c>
      <c r="EE24" s="160">
        <v>5</v>
      </c>
      <c r="EF24" s="280">
        <v>6</v>
      </c>
      <c r="EG24" s="279">
        <v>4</v>
      </c>
      <c r="EH24" s="160">
        <v>5</v>
      </c>
      <c r="EI24" s="160">
        <v>6</v>
      </c>
      <c r="EJ24" s="280">
        <v>7</v>
      </c>
      <c r="EK24" s="279">
        <v>3</v>
      </c>
      <c r="EL24" s="160">
        <v>3</v>
      </c>
      <c r="EM24" s="280">
        <v>3</v>
      </c>
      <c r="EN24" s="279">
        <v>9</v>
      </c>
      <c r="EO24" s="160">
        <v>9</v>
      </c>
      <c r="EP24" s="280">
        <v>11</v>
      </c>
      <c r="ES24" s="279" t="s">
        <v>861</v>
      </c>
      <c r="ET24" s="160"/>
      <c r="EU24" s="160"/>
      <c r="EV24" s="305">
        <f t="shared" si="25"/>
        <v>0</v>
      </c>
      <c r="EW24" s="160"/>
      <c r="EX24" s="306" t="str">
        <f>IF(ET24=0,"0",IF(ET24=1,"3","6"))</f>
        <v>0</v>
      </c>
      <c r="EY24" s="309">
        <f>4</f>
        <v>4</v>
      </c>
      <c r="FG24" s="1" t="s">
        <v>218</v>
      </c>
      <c r="FH24" s="1">
        <v>1</v>
      </c>
      <c r="FI24" s="166" t="s">
        <v>467</v>
      </c>
      <c r="FJ24" s="166" t="s">
        <v>889</v>
      </c>
      <c r="FK24" s="166" t="s">
        <v>889</v>
      </c>
      <c r="FL24" s="166"/>
      <c r="FM24" s="1" t="s">
        <v>889</v>
      </c>
      <c r="FN24" s="1" t="s">
        <v>889</v>
      </c>
      <c r="FO24" s="301">
        <f t="shared" si="26"/>
        <v>15.3</v>
      </c>
      <c r="FP24" s="1"/>
      <c r="FQ24" s="302" t="str">
        <f>IF(FI24=0,"0",IF(FI24="5/16","3",IF(FI24="3/8","3.3",IF(FI24="1/2","4",IF(FI24="5/8","5",IF(FI24="3/4","5.5","3"))))))</f>
        <v>3.3</v>
      </c>
      <c r="FR24" s="302" t="str">
        <f t="shared" si="27"/>
        <v>3</v>
      </c>
      <c r="FS24" s="302" t="str">
        <f t="shared" si="27"/>
        <v>3</v>
      </c>
      <c r="FT24" s="302" t="str">
        <f t="shared" si="28"/>
        <v>2</v>
      </c>
      <c r="FU24" s="302" t="str">
        <f t="shared" ref="FU24:FU36" si="29">IF(FN24="Yes","4","0")</f>
        <v>4</v>
      </c>
      <c r="FV24" s="324" t="str">
        <f t="shared" ref="FV24:FV36" si="30">IF(FL24="Yes",FQ24*2,FQ24)</f>
        <v>3.3</v>
      </c>
      <c r="FW24" s="323" t="s">
        <v>218</v>
      </c>
      <c r="FX24" s="1"/>
      <c r="FY24" s="1" t="s">
        <v>959</v>
      </c>
      <c r="FZ24" s="1"/>
      <c r="GA24" s="1">
        <f t="shared" ref="GA24:GA36" si="31">FV24*1.1</f>
        <v>3.63</v>
      </c>
      <c r="GB24" s="1"/>
      <c r="GD24" s="166" t="s">
        <v>463</v>
      </c>
      <c r="IC24" s="279"/>
      <c r="ID24" s="160"/>
      <c r="IE24" s="160"/>
      <c r="IF24" s="305">
        <f>IH24+II24+IJ24+IK24+IL24</f>
        <v>0</v>
      </c>
      <c r="IG24" s="160"/>
      <c r="IH24" s="327">
        <f>ID24/10</f>
        <v>0</v>
      </c>
      <c r="II24" s="327">
        <f>ID24/10</f>
        <v>0</v>
      </c>
      <c r="IJ24" s="327">
        <f>ID24/10</f>
        <v>0</v>
      </c>
      <c r="IK24" s="327">
        <f>ID24/1.5</f>
        <v>0</v>
      </c>
      <c r="IL24" s="309">
        <f>IE24*1</f>
        <v>0</v>
      </c>
      <c r="JB24" s="1"/>
      <c r="JC24" s="1"/>
      <c r="JD24" s="1" t="s">
        <v>1176</v>
      </c>
      <c r="JE24" s="1"/>
      <c r="JF24" s="1"/>
      <c r="JG24" s="1"/>
      <c r="JH24" s="1"/>
    </row>
    <row r="25" spans="1:323" ht="16.5" thickBot="1" x14ac:dyDescent="0.3">
      <c r="A25" s="113" t="s">
        <v>1114</v>
      </c>
      <c r="B25" s="11">
        <v>1</v>
      </c>
      <c r="C25" s="10" t="s">
        <v>1115</v>
      </c>
      <c r="D25" s="12" t="s">
        <v>84</v>
      </c>
      <c r="E25" s="21">
        <f>B25*10*84*11.16/144*2.09</f>
        <v>136.05899999999997</v>
      </c>
      <c r="F25" s="67" t="s">
        <v>1116</v>
      </c>
      <c r="G25" s="203"/>
      <c r="H25" s="203"/>
      <c r="I25" s="203"/>
      <c r="J25" s="203"/>
      <c r="K25" s="203"/>
      <c r="L25" s="203"/>
      <c r="M25" s="203"/>
      <c r="N25" s="203"/>
      <c r="O25" s="203"/>
      <c r="P25" s="203"/>
      <c r="Q25" s="203"/>
      <c r="R25" s="203"/>
      <c r="S25" s="203"/>
      <c r="T25" s="203"/>
      <c r="Y25" s="10" t="s">
        <v>25</v>
      </c>
      <c r="Z25" s="11">
        <v>1</v>
      </c>
      <c r="AA25" s="10" t="s">
        <v>593</v>
      </c>
      <c r="AB25" s="12" t="s">
        <v>77</v>
      </c>
      <c r="AC25" s="145"/>
      <c r="AD25" s="50"/>
      <c r="AE25" s="95"/>
      <c r="AF25" s="32" t="s">
        <v>554</v>
      </c>
      <c r="AH25" s="10" t="s">
        <v>25</v>
      </c>
      <c r="AI25" s="11">
        <v>1</v>
      </c>
      <c r="AJ25" s="10" t="s">
        <v>610</v>
      </c>
      <c r="AK25" s="12" t="s">
        <v>77</v>
      </c>
      <c r="AL25" s="145">
        <f>AI25*18</f>
        <v>18</v>
      </c>
      <c r="AM25" s="50"/>
      <c r="AN25" s="95">
        <v>45475</v>
      </c>
      <c r="AO25" s="32" t="s">
        <v>554</v>
      </c>
      <c r="AX25" s="10" t="s">
        <v>25</v>
      </c>
      <c r="AY25" s="11">
        <v>1</v>
      </c>
      <c r="AZ25" s="10" t="s">
        <v>593</v>
      </c>
      <c r="BA25" s="12" t="s">
        <v>27</v>
      </c>
      <c r="BB25" s="145">
        <f>AY25*33</f>
        <v>33</v>
      </c>
      <c r="BC25" s="26"/>
      <c r="BD25" s="95">
        <v>45376</v>
      </c>
      <c r="BE25" s="23" t="s">
        <v>336</v>
      </c>
      <c r="BG25" s="10" t="s">
        <v>25</v>
      </c>
      <c r="BH25" s="11">
        <v>1</v>
      </c>
      <c r="BI25" s="10" t="s">
        <v>610</v>
      </c>
      <c r="BJ25" s="12" t="s">
        <v>27</v>
      </c>
      <c r="BK25" s="145">
        <f>BH25*30</f>
        <v>30</v>
      </c>
      <c r="BL25" s="26"/>
      <c r="BM25" s="95">
        <v>45457</v>
      </c>
      <c r="BN25" s="23" t="s">
        <v>336</v>
      </c>
      <c r="BX25" s="10" t="s">
        <v>25</v>
      </c>
      <c r="BY25" s="11">
        <v>1</v>
      </c>
      <c r="BZ25" s="10" t="s">
        <v>593</v>
      </c>
      <c r="CA25" s="12" t="s">
        <v>74</v>
      </c>
      <c r="CB25" s="110">
        <f>BY25*57.15</f>
        <v>57.15</v>
      </c>
      <c r="CC25" s="26"/>
      <c r="CD25" s="95">
        <v>45779</v>
      </c>
      <c r="CE25" s="32" t="s">
        <v>284</v>
      </c>
      <c r="CG25" s="10" t="s">
        <v>25</v>
      </c>
      <c r="CH25" s="11">
        <v>1</v>
      </c>
      <c r="CI25" s="10" t="s">
        <v>610</v>
      </c>
      <c r="CJ25" s="12" t="s">
        <v>74</v>
      </c>
      <c r="CK25" s="145">
        <f>CH25*42</f>
        <v>42</v>
      </c>
      <c r="CL25" s="26"/>
      <c r="CM25" s="95">
        <v>45457</v>
      </c>
      <c r="CN25" s="32" t="s">
        <v>284</v>
      </c>
      <c r="CX25" s="234" t="s">
        <v>794</v>
      </c>
      <c r="CY25" s="235" t="s">
        <v>795</v>
      </c>
      <c r="CZ25" s="243">
        <v>2</v>
      </c>
      <c r="DA25" s="237"/>
      <c r="DB25" s="226">
        <f t="shared" si="24"/>
        <v>6</v>
      </c>
      <c r="DC25" s="242">
        <v>1</v>
      </c>
      <c r="DD25" s="242">
        <v>1.5</v>
      </c>
      <c r="DE25" s="238">
        <v>1</v>
      </c>
      <c r="DF25" s="381"/>
      <c r="DG25" s="381"/>
      <c r="DH25" s="229">
        <f t="shared" si="13"/>
        <v>8</v>
      </c>
      <c r="DI25" s="242">
        <v>1</v>
      </c>
      <c r="DJ25" s="242">
        <v>1.5</v>
      </c>
      <c r="DK25" s="239">
        <v>1</v>
      </c>
      <c r="DL25" s="240">
        <f t="shared" si="14"/>
        <v>11.5</v>
      </c>
      <c r="DM25" s="240"/>
      <c r="DN25" s="229">
        <f t="shared" si="15"/>
        <v>9</v>
      </c>
      <c r="DO25" s="241">
        <v>1.5</v>
      </c>
      <c r="DP25" s="242">
        <v>1.5</v>
      </c>
      <c r="DQ25" s="230">
        <v>1.5</v>
      </c>
      <c r="DR25" s="240">
        <f t="shared" si="16"/>
        <v>13.5</v>
      </c>
      <c r="DS25" s="229">
        <f t="shared" si="23"/>
        <v>10</v>
      </c>
      <c r="DT25" s="241">
        <v>2</v>
      </c>
      <c r="DU25" s="242">
        <v>1.5</v>
      </c>
      <c r="DV25" s="230">
        <v>2</v>
      </c>
      <c r="DW25" s="240">
        <f t="shared" si="17"/>
        <v>15.5</v>
      </c>
      <c r="EB25" s="1" t="s">
        <v>909</v>
      </c>
      <c r="EC25" s="279">
        <v>3</v>
      </c>
      <c r="ED25" s="160">
        <v>4</v>
      </c>
      <c r="EE25" s="160">
        <v>5</v>
      </c>
      <c r="EF25" s="280">
        <v>6</v>
      </c>
      <c r="EG25" s="279">
        <v>4</v>
      </c>
      <c r="EH25" s="160">
        <v>5</v>
      </c>
      <c r="EI25" s="160">
        <v>6</v>
      </c>
      <c r="EJ25" s="280">
        <v>7</v>
      </c>
      <c r="EK25" s="279">
        <v>5</v>
      </c>
      <c r="EL25" s="160">
        <v>6</v>
      </c>
      <c r="EM25" s="280">
        <v>7</v>
      </c>
      <c r="EN25" s="279">
        <v>9</v>
      </c>
      <c r="EO25" s="160">
        <v>9</v>
      </c>
      <c r="EP25" s="280">
        <v>11</v>
      </c>
      <c r="ES25" s="279" t="s">
        <v>907</v>
      </c>
      <c r="ET25" s="160"/>
      <c r="EU25" s="160"/>
      <c r="EV25" s="305">
        <f t="shared" si="25"/>
        <v>0</v>
      </c>
      <c r="EW25" s="160"/>
      <c r="EX25" s="306" t="str">
        <f>IF(ET25=0,"0",IF(ET25=1,"3","6"))</f>
        <v>0</v>
      </c>
      <c r="EY25" s="309">
        <f>4</f>
        <v>4</v>
      </c>
      <c r="FG25" s="1" t="s">
        <v>220</v>
      </c>
      <c r="FH25" s="1">
        <v>1</v>
      </c>
      <c r="FI25" s="166" t="s">
        <v>467</v>
      </c>
      <c r="FJ25" s="166" t="s">
        <v>889</v>
      </c>
      <c r="FK25" s="166" t="s">
        <v>889</v>
      </c>
      <c r="FL25" s="166"/>
      <c r="FM25" s="1" t="s">
        <v>889</v>
      </c>
      <c r="FN25" s="1" t="s">
        <v>889</v>
      </c>
      <c r="FO25" s="301">
        <f t="shared" si="26"/>
        <v>15.3</v>
      </c>
      <c r="FP25" s="1"/>
      <c r="FQ25" s="302" t="str">
        <f>IF(FI25=0,"0",IF(FI25="5/16","3",IF(FI25="3/8","3.3",IF(FI25="1/2","4",IF(FI25="5/8","5",IF(FI25="3/4","5.5","3"))))))</f>
        <v>3.3</v>
      </c>
      <c r="FR25" s="302" t="str">
        <f t="shared" si="27"/>
        <v>3</v>
      </c>
      <c r="FS25" s="302" t="str">
        <f t="shared" si="27"/>
        <v>3</v>
      </c>
      <c r="FT25" s="302" t="str">
        <f t="shared" si="28"/>
        <v>2</v>
      </c>
      <c r="FU25" s="302" t="str">
        <f t="shared" si="29"/>
        <v>4</v>
      </c>
      <c r="FV25" s="324" t="str">
        <f t="shared" si="30"/>
        <v>3.3</v>
      </c>
      <c r="FW25" s="323" t="s">
        <v>220</v>
      </c>
      <c r="FX25" s="1"/>
      <c r="FY25" s="1" t="s">
        <v>959</v>
      </c>
      <c r="FZ25" s="1"/>
      <c r="GA25" s="1">
        <f t="shared" si="31"/>
        <v>3.63</v>
      </c>
      <c r="GB25" s="1"/>
      <c r="GD25" s="166" t="s">
        <v>464</v>
      </c>
      <c r="IC25" s="279"/>
      <c r="ID25" s="160"/>
      <c r="IE25" s="160"/>
      <c r="IF25" s="160"/>
      <c r="IG25" s="160"/>
      <c r="IH25" s="160"/>
      <c r="II25" s="160"/>
      <c r="IJ25" s="160"/>
      <c r="IK25" s="44"/>
      <c r="IL25" s="112"/>
      <c r="JB25" s="1"/>
      <c r="JC25" s="1"/>
      <c r="JD25" s="1"/>
      <c r="JE25" s="1"/>
      <c r="JF25" s="1"/>
      <c r="JG25" s="1"/>
      <c r="JH25" s="1"/>
    </row>
    <row r="26" spans="1:323" ht="15.75" customHeight="1" thickBot="1" x14ac:dyDescent="0.3">
      <c r="A26" s="113" t="s">
        <v>1117</v>
      </c>
      <c r="B26" s="11">
        <v>1</v>
      </c>
      <c r="C26" s="10" t="s">
        <v>1118</v>
      </c>
      <c r="D26" s="12" t="s">
        <v>84</v>
      </c>
      <c r="E26" s="149">
        <f>B26*48*96*26.83/144*2.69</f>
        <v>2309.5263999999997</v>
      </c>
      <c r="F26" s="67" t="s">
        <v>1116</v>
      </c>
      <c r="G26" s="203"/>
      <c r="H26" s="203"/>
      <c r="I26" s="203"/>
      <c r="J26" s="203"/>
      <c r="K26" s="203"/>
      <c r="L26" s="203"/>
      <c r="M26" s="203"/>
      <c r="N26" s="203"/>
      <c r="O26" s="203"/>
      <c r="P26" s="203"/>
      <c r="Q26" s="203"/>
      <c r="R26" s="203"/>
      <c r="S26" s="203"/>
      <c r="T26" s="203"/>
      <c r="Y26" s="10" t="s">
        <v>25</v>
      </c>
      <c r="Z26" s="11">
        <v>1</v>
      </c>
      <c r="AA26" s="10" t="s">
        <v>594</v>
      </c>
      <c r="AB26" s="12" t="s">
        <v>77</v>
      </c>
      <c r="AC26" s="149"/>
      <c r="AD26" s="53"/>
      <c r="AE26" s="95"/>
      <c r="AF26" s="32" t="s">
        <v>554</v>
      </c>
      <c r="AH26" s="10" t="s">
        <v>25</v>
      </c>
      <c r="AI26" s="11">
        <v>1</v>
      </c>
      <c r="AJ26" s="10" t="s">
        <v>611</v>
      </c>
      <c r="AK26" s="12" t="s">
        <v>77</v>
      </c>
      <c r="AL26" s="149">
        <f>AI26*38</f>
        <v>38</v>
      </c>
      <c r="AM26" s="53"/>
      <c r="AN26" s="95">
        <v>45475</v>
      </c>
      <c r="AO26" s="32" t="s">
        <v>554</v>
      </c>
      <c r="AX26" s="10" t="s">
        <v>25</v>
      </c>
      <c r="AY26" s="11">
        <v>1</v>
      </c>
      <c r="AZ26" s="10" t="s">
        <v>594</v>
      </c>
      <c r="BA26" s="12" t="s">
        <v>27</v>
      </c>
      <c r="BB26" s="149">
        <f>AY26*68.4</f>
        <v>68.400000000000006</v>
      </c>
      <c r="BC26" s="22"/>
      <c r="BD26" s="95">
        <v>45776</v>
      </c>
      <c r="BE26" s="23" t="s">
        <v>336</v>
      </c>
      <c r="BG26" s="10" t="s">
        <v>25</v>
      </c>
      <c r="BH26" s="11">
        <v>1</v>
      </c>
      <c r="BI26" s="10" t="s">
        <v>611</v>
      </c>
      <c r="BJ26" s="12" t="s">
        <v>27</v>
      </c>
      <c r="BK26" s="149">
        <f>BH26*50</f>
        <v>50</v>
      </c>
      <c r="BL26" s="22"/>
      <c r="BM26" s="95">
        <v>45457</v>
      </c>
      <c r="BN26" s="23" t="s">
        <v>336</v>
      </c>
      <c r="BX26" s="10" t="s">
        <v>25</v>
      </c>
      <c r="BY26" s="11">
        <v>1</v>
      </c>
      <c r="BZ26" s="10" t="s">
        <v>594</v>
      </c>
      <c r="CA26" s="12" t="s">
        <v>74</v>
      </c>
      <c r="CB26" s="149"/>
      <c r="CC26" s="145"/>
      <c r="CD26" s="95"/>
      <c r="CE26" s="32" t="s">
        <v>284</v>
      </c>
      <c r="CG26" s="10" t="s">
        <v>25</v>
      </c>
      <c r="CH26" s="11">
        <v>1</v>
      </c>
      <c r="CI26" s="10" t="s">
        <v>611</v>
      </c>
      <c r="CJ26" s="12" t="s">
        <v>74</v>
      </c>
      <c r="CK26" s="149">
        <f>CH26*67</f>
        <v>67</v>
      </c>
      <c r="CL26" s="145"/>
      <c r="CM26" s="95">
        <v>45457</v>
      </c>
      <c r="CN26" s="32" t="s">
        <v>284</v>
      </c>
      <c r="CX26" s="234" t="s">
        <v>796</v>
      </c>
      <c r="CY26" s="235" t="s">
        <v>797</v>
      </c>
      <c r="CZ26" s="243">
        <v>2</v>
      </c>
      <c r="DA26" s="237"/>
      <c r="DB26" s="226">
        <f t="shared" si="24"/>
        <v>6</v>
      </c>
      <c r="DC26" s="242">
        <v>1</v>
      </c>
      <c r="DD26" s="242">
        <v>1.5</v>
      </c>
      <c r="DE26" s="238">
        <v>1</v>
      </c>
      <c r="DF26" s="381"/>
      <c r="DG26" s="381"/>
      <c r="DH26" s="229">
        <f t="shared" si="13"/>
        <v>8</v>
      </c>
      <c r="DI26" s="242">
        <v>1</v>
      </c>
      <c r="DJ26" s="242">
        <v>1.5</v>
      </c>
      <c r="DK26" s="239">
        <v>1</v>
      </c>
      <c r="DL26" s="240">
        <f t="shared" si="14"/>
        <v>11.5</v>
      </c>
      <c r="DM26" s="240"/>
      <c r="DN26" s="229">
        <f t="shared" si="15"/>
        <v>9</v>
      </c>
      <c r="DO26" s="241">
        <v>1.5</v>
      </c>
      <c r="DP26" s="242">
        <v>1.5</v>
      </c>
      <c r="DQ26" s="230">
        <v>1.5</v>
      </c>
      <c r="DR26" s="240">
        <f t="shared" si="16"/>
        <v>13.5</v>
      </c>
      <c r="DS26" s="229">
        <f t="shared" si="23"/>
        <v>10</v>
      </c>
      <c r="DT26" s="241">
        <v>2</v>
      </c>
      <c r="DU26" s="242">
        <v>1.5</v>
      </c>
      <c r="DV26" s="230">
        <v>2</v>
      </c>
      <c r="DW26" s="240">
        <f t="shared" si="17"/>
        <v>15.5</v>
      </c>
      <c r="EB26" s="1" t="s">
        <v>910</v>
      </c>
      <c r="EC26" s="279">
        <v>3</v>
      </c>
      <c r="ED26" s="160">
        <v>4</v>
      </c>
      <c r="EE26" s="160">
        <v>5</v>
      </c>
      <c r="EF26" s="280">
        <v>6</v>
      </c>
      <c r="EG26" s="279">
        <v>6</v>
      </c>
      <c r="EH26" s="160">
        <v>7</v>
      </c>
      <c r="EI26" s="160">
        <v>9</v>
      </c>
      <c r="EJ26" s="280">
        <v>10</v>
      </c>
      <c r="EK26" s="279">
        <v>6</v>
      </c>
      <c r="EL26" s="160">
        <v>7</v>
      </c>
      <c r="EM26" s="280">
        <v>8</v>
      </c>
      <c r="EN26" s="279">
        <v>9</v>
      </c>
      <c r="EO26" s="160">
        <v>9</v>
      </c>
      <c r="EP26" s="280">
        <v>11</v>
      </c>
      <c r="ES26" s="279" t="s">
        <v>908</v>
      </c>
      <c r="ET26" s="160"/>
      <c r="EU26" s="160"/>
      <c r="EV26" s="305">
        <f t="shared" si="25"/>
        <v>0</v>
      </c>
      <c r="EW26" s="160"/>
      <c r="EX26" s="306" t="str">
        <f>IF(ET26=0,"0",IF(ET26=1,"3","6"))</f>
        <v>0</v>
      </c>
      <c r="EY26" s="309">
        <f>4</f>
        <v>4</v>
      </c>
      <c r="FG26" s="1" t="s">
        <v>224</v>
      </c>
      <c r="FH26" s="1">
        <v>1</v>
      </c>
      <c r="FI26" s="166" t="s">
        <v>467</v>
      </c>
      <c r="FJ26" s="166" t="s">
        <v>889</v>
      </c>
      <c r="FK26" s="166" t="s">
        <v>889</v>
      </c>
      <c r="FL26" s="166"/>
      <c r="FM26" s="1" t="s">
        <v>889</v>
      </c>
      <c r="FN26" s="1" t="s">
        <v>889</v>
      </c>
      <c r="FO26" s="301">
        <f t="shared" si="26"/>
        <v>16</v>
      </c>
      <c r="FP26" s="1"/>
      <c r="FQ26" s="302" t="str">
        <f>IF(FI26=0,"0",IF(FI26="5/16","3.5",IF(FI26="3/8","4",IF(FI26="1/2","5.5",IF(FI26="5/8","6",IF(FI26="3/4","6.5","3.5"))))))</f>
        <v>4</v>
      </c>
      <c r="FR26" s="302" t="str">
        <f t="shared" si="27"/>
        <v>3</v>
      </c>
      <c r="FS26" s="302" t="str">
        <f t="shared" si="27"/>
        <v>3</v>
      </c>
      <c r="FT26" s="302" t="str">
        <f t="shared" si="28"/>
        <v>2</v>
      </c>
      <c r="FU26" s="302" t="str">
        <f t="shared" si="29"/>
        <v>4</v>
      </c>
      <c r="FV26" s="324" t="str">
        <f t="shared" si="30"/>
        <v>4</v>
      </c>
      <c r="FW26" s="323" t="s">
        <v>224</v>
      </c>
      <c r="FX26" s="1"/>
      <c r="FY26" s="1" t="s">
        <v>959</v>
      </c>
      <c r="FZ26" s="1"/>
      <c r="GA26" s="1">
        <f t="shared" si="31"/>
        <v>4.4000000000000004</v>
      </c>
      <c r="GB26" s="1"/>
      <c r="GD26" s="166" t="s">
        <v>467</v>
      </c>
      <c r="IC26" s="283"/>
      <c r="ID26" s="284"/>
      <c r="IE26" s="284"/>
      <c r="IF26" s="284"/>
      <c r="IG26" s="284"/>
      <c r="IH26" s="284"/>
      <c r="II26" s="284"/>
      <c r="IJ26" s="284"/>
      <c r="IK26" s="182"/>
      <c r="IL26" s="115"/>
      <c r="JB26" s="1"/>
      <c r="JC26" s="1"/>
      <c r="JD26" s="1"/>
      <c r="JE26" s="1"/>
      <c r="JF26" s="1"/>
      <c r="JG26" s="1"/>
      <c r="JH26" s="1"/>
    </row>
    <row r="27" spans="1:323" ht="15.75" customHeight="1" thickBot="1" x14ac:dyDescent="0.3">
      <c r="A27" s="113" t="s">
        <v>1119</v>
      </c>
      <c r="B27" s="11">
        <v>1</v>
      </c>
      <c r="C27" s="10" t="s">
        <v>1120</v>
      </c>
      <c r="D27" s="12" t="s">
        <v>84</v>
      </c>
      <c r="E27" s="149">
        <v>0</v>
      </c>
      <c r="F27" s="183" t="s">
        <v>1116</v>
      </c>
      <c r="G27" s="203"/>
      <c r="H27" s="203"/>
      <c r="I27" s="203"/>
      <c r="J27" s="203"/>
      <c r="K27" s="203"/>
      <c r="L27" s="203"/>
      <c r="M27" s="203"/>
      <c r="N27" s="203"/>
      <c r="O27" s="203"/>
      <c r="P27" s="203"/>
      <c r="Q27" s="203"/>
      <c r="R27" s="203"/>
      <c r="S27" s="203"/>
      <c r="T27" s="203"/>
      <c r="Y27" s="10" t="s">
        <v>25</v>
      </c>
      <c r="Z27" s="11">
        <v>1</v>
      </c>
      <c r="AA27" s="10" t="s">
        <v>595</v>
      </c>
      <c r="AB27" s="12" t="s">
        <v>77</v>
      </c>
      <c r="AC27" s="149"/>
      <c r="AD27" s="53"/>
      <c r="AE27" s="95"/>
      <c r="AF27" s="32" t="s">
        <v>554</v>
      </c>
      <c r="AH27" s="10" t="s">
        <v>25</v>
      </c>
      <c r="AI27" s="11">
        <v>1</v>
      </c>
      <c r="AJ27" s="10" t="s">
        <v>612</v>
      </c>
      <c r="AK27" s="12" t="s">
        <v>77</v>
      </c>
      <c r="AL27" s="149">
        <f>AI27*22</f>
        <v>22</v>
      </c>
      <c r="AM27" s="53"/>
      <c r="AN27" s="95">
        <v>45475</v>
      </c>
      <c r="AO27" s="32" t="s">
        <v>554</v>
      </c>
      <c r="AX27" s="10" t="s">
        <v>25</v>
      </c>
      <c r="AY27" s="11">
        <v>1</v>
      </c>
      <c r="AZ27" s="10" t="s">
        <v>595</v>
      </c>
      <c r="BA27" s="12" t="s">
        <v>27</v>
      </c>
      <c r="BB27" s="149">
        <f>AY27*75</f>
        <v>75</v>
      </c>
      <c r="BC27" s="22"/>
      <c r="BD27" s="95">
        <v>45376</v>
      </c>
      <c r="BE27" s="23" t="s">
        <v>336</v>
      </c>
      <c r="BG27" s="10" t="s">
        <v>25</v>
      </c>
      <c r="BH27" s="11">
        <v>1</v>
      </c>
      <c r="BI27" s="10" t="s">
        <v>612</v>
      </c>
      <c r="BJ27" s="12" t="s">
        <v>27</v>
      </c>
      <c r="BK27" s="149">
        <f>BH27*69</f>
        <v>69</v>
      </c>
      <c r="BL27" s="22"/>
      <c r="BM27" s="95">
        <v>45457</v>
      </c>
      <c r="BN27" s="23" t="s">
        <v>336</v>
      </c>
      <c r="BX27" s="10" t="s">
        <v>25</v>
      </c>
      <c r="BY27" s="11">
        <v>1</v>
      </c>
      <c r="BZ27" s="10" t="s">
        <v>595</v>
      </c>
      <c r="CA27" s="12" t="s">
        <v>74</v>
      </c>
      <c r="CB27" s="149"/>
      <c r="CC27" s="145"/>
      <c r="CD27" s="95"/>
      <c r="CE27" s="32" t="s">
        <v>284</v>
      </c>
      <c r="CG27" s="10" t="s">
        <v>25</v>
      </c>
      <c r="CH27" s="11">
        <v>1</v>
      </c>
      <c r="CI27" s="10" t="s">
        <v>612</v>
      </c>
      <c r="CJ27" s="12" t="s">
        <v>74</v>
      </c>
      <c r="CK27" s="149">
        <f>CH27*99</f>
        <v>99</v>
      </c>
      <c r="CL27" s="145"/>
      <c r="CM27" s="95">
        <v>45457</v>
      </c>
      <c r="CN27" s="32" t="s">
        <v>284</v>
      </c>
      <c r="CX27" s="234" t="s">
        <v>798</v>
      </c>
      <c r="CY27" s="235" t="s">
        <v>799</v>
      </c>
      <c r="CZ27" s="243">
        <v>2</v>
      </c>
      <c r="DA27" s="237"/>
      <c r="DB27" s="226">
        <f>DB9*2</f>
        <v>8</v>
      </c>
      <c r="DC27" s="242">
        <v>1</v>
      </c>
      <c r="DD27" s="242">
        <v>1.5</v>
      </c>
      <c r="DE27" s="238">
        <v>1</v>
      </c>
      <c r="DF27" s="381"/>
      <c r="DG27" s="381"/>
      <c r="DH27" s="229">
        <f t="shared" si="13"/>
        <v>10</v>
      </c>
      <c r="DI27" s="242">
        <v>1</v>
      </c>
      <c r="DJ27" s="242">
        <v>1.5</v>
      </c>
      <c r="DK27" s="239">
        <v>1</v>
      </c>
      <c r="DL27" s="240">
        <f t="shared" si="14"/>
        <v>13.5</v>
      </c>
      <c r="DM27" s="240"/>
      <c r="DN27" s="229">
        <f t="shared" si="15"/>
        <v>11</v>
      </c>
      <c r="DO27" s="241">
        <v>1.5</v>
      </c>
      <c r="DP27" s="242">
        <v>1.5</v>
      </c>
      <c r="DQ27" s="230">
        <v>1.5</v>
      </c>
      <c r="DR27" s="240">
        <f t="shared" si="16"/>
        <v>15.5</v>
      </c>
      <c r="DS27" s="229">
        <f t="shared" si="23"/>
        <v>12</v>
      </c>
      <c r="DT27" s="241">
        <v>2</v>
      </c>
      <c r="DU27" s="242">
        <v>1.5</v>
      </c>
      <c r="DV27" s="230">
        <v>2</v>
      </c>
      <c r="DW27" s="240">
        <f>SUM(DS27:DV27)</f>
        <v>17.5</v>
      </c>
      <c r="EB27" s="1" t="s">
        <v>911</v>
      </c>
      <c r="EC27" s="279">
        <v>3</v>
      </c>
      <c r="ED27" s="160">
        <v>4</v>
      </c>
      <c r="EE27" s="160">
        <v>5</v>
      </c>
      <c r="EF27" s="280">
        <v>6</v>
      </c>
      <c r="EG27" s="279">
        <v>6</v>
      </c>
      <c r="EH27" s="160">
        <v>8</v>
      </c>
      <c r="EI27" s="160">
        <v>9</v>
      </c>
      <c r="EJ27" s="280">
        <v>11</v>
      </c>
      <c r="EK27" s="279">
        <v>7</v>
      </c>
      <c r="EL27" s="160">
        <v>8</v>
      </c>
      <c r="EM27" s="280">
        <v>9</v>
      </c>
      <c r="EN27" s="279">
        <v>9</v>
      </c>
      <c r="EO27" s="160">
        <v>9</v>
      </c>
      <c r="EP27" s="280">
        <v>11</v>
      </c>
      <c r="ES27" s="279" t="s">
        <v>909</v>
      </c>
      <c r="ET27" s="160"/>
      <c r="EU27" s="160"/>
      <c r="EV27" s="305">
        <f t="shared" si="25"/>
        <v>0</v>
      </c>
      <c r="EW27" s="160"/>
      <c r="EX27" s="306" t="str">
        <f>IF(ET27=0,"0",IF(ET27=1,"5","10"))</f>
        <v>0</v>
      </c>
      <c r="EY27" s="309">
        <f>4</f>
        <v>4</v>
      </c>
      <c r="FG27" s="1" t="s">
        <v>947</v>
      </c>
      <c r="FH27" s="1">
        <v>1</v>
      </c>
      <c r="FI27" s="166" t="s">
        <v>467</v>
      </c>
      <c r="FJ27" s="166" t="s">
        <v>889</v>
      </c>
      <c r="FK27" s="166" t="s">
        <v>889</v>
      </c>
      <c r="FL27" s="166"/>
      <c r="FM27" s="1" t="s">
        <v>889</v>
      </c>
      <c r="FN27" s="1" t="s">
        <v>889</v>
      </c>
      <c r="FO27" s="301">
        <f t="shared" si="26"/>
        <v>17.5</v>
      </c>
      <c r="FP27" s="1"/>
      <c r="FQ27" s="302" t="str">
        <f>IF(FI27=0,"0",IF(FI27="5/16","5",IF(FI27="3/8","5.5",IF(FI27="1/2","7.5",IF(FI27="5/8","8.5",IF(FI27="3/4","9","5"))))))</f>
        <v>5.5</v>
      </c>
      <c r="FR27" s="302" t="str">
        <f t="shared" si="27"/>
        <v>3</v>
      </c>
      <c r="FS27" s="302" t="str">
        <f t="shared" si="27"/>
        <v>3</v>
      </c>
      <c r="FT27" s="302" t="str">
        <f t="shared" si="28"/>
        <v>2</v>
      </c>
      <c r="FU27" s="302" t="str">
        <f t="shared" si="29"/>
        <v>4</v>
      </c>
      <c r="FV27" s="324" t="str">
        <f t="shared" si="30"/>
        <v>5.5</v>
      </c>
      <c r="FW27" s="323" t="s">
        <v>947</v>
      </c>
      <c r="FX27" s="1"/>
      <c r="FY27" s="1" t="s">
        <v>970</v>
      </c>
      <c r="FZ27" s="1"/>
      <c r="GA27" s="1">
        <f t="shared" si="31"/>
        <v>6.0500000000000007</v>
      </c>
      <c r="GB27" s="1"/>
      <c r="GD27" s="166" t="s">
        <v>468</v>
      </c>
      <c r="JB27" s="1"/>
      <c r="JC27" s="1"/>
      <c r="JD27" s="1"/>
      <c r="JE27" s="1" t="s">
        <v>828</v>
      </c>
      <c r="JF27" s="1">
        <f>SUM(JF22:JF25)</f>
        <v>400</v>
      </c>
      <c r="JG27" s="1"/>
      <c r="JH27" s="1"/>
    </row>
    <row r="28" spans="1:323" ht="15.75" customHeight="1" thickBot="1" x14ac:dyDescent="0.3">
      <c r="A28" s="113" t="s">
        <v>99</v>
      </c>
      <c r="B28" s="11">
        <v>1</v>
      </c>
      <c r="C28" s="10" t="s">
        <v>242</v>
      </c>
      <c r="D28" s="12" t="s">
        <v>84</v>
      </c>
      <c r="E28" s="149">
        <v>450</v>
      </c>
      <c r="F28" s="183">
        <v>6</v>
      </c>
      <c r="G28" s="203"/>
      <c r="H28" s="203"/>
      <c r="I28" s="203"/>
      <c r="J28" s="203"/>
      <c r="K28" s="203"/>
      <c r="L28" s="203"/>
      <c r="M28" s="203"/>
      <c r="N28" s="203"/>
      <c r="O28" s="203"/>
      <c r="P28" s="203"/>
      <c r="Q28" s="203"/>
      <c r="R28" s="203"/>
      <c r="S28" s="203"/>
      <c r="T28" s="203"/>
      <c r="Y28" s="10" t="s">
        <v>25</v>
      </c>
      <c r="Z28" s="11">
        <v>1</v>
      </c>
      <c r="AA28" s="10" t="s">
        <v>596</v>
      </c>
      <c r="AB28" s="12" t="s">
        <v>77</v>
      </c>
      <c r="AC28" s="149"/>
      <c r="AD28" s="53"/>
      <c r="AE28" s="95"/>
      <c r="AF28" s="32" t="s">
        <v>554</v>
      </c>
      <c r="AH28" s="10" t="s">
        <v>25</v>
      </c>
      <c r="AI28" s="11">
        <v>1</v>
      </c>
      <c r="AJ28" s="10" t="s">
        <v>613</v>
      </c>
      <c r="AK28" s="12" t="s">
        <v>77</v>
      </c>
      <c r="AL28" s="149"/>
      <c r="AM28" s="53"/>
      <c r="AN28" s="95"/>
      <c r="AO28" s="32" t="s">
        <v>554</v>
      </c>
      <c r="AX28" s="10" t="s">
        <v>25</v>
      </c>
      <c r="AY28" s="11">
        <v>1</v>
      </c>
      <c r="AZ28" s="10" t="s">
        <v>596</v>
      </c>
      <c r="BA28" s="12" t="s">
        <v>27</v>
      </c>
      <c r="BB28" s="149"/>
      <c r="BC28" s="22"/>
      <c r="BD28" s="95"/>
      <c r="BE28" s="23" t="s">
        <v>336</v>
      </c>
      <c r="BG28" s="10" t="s">
        <v>25</v>
      </c>
      <c r="BH28" s="11">
        <v>1</v>
      </c>
      <c r="BI28" s="10" t="s">
        <v>613</v>
      </c>
      <c r="BJ28" s="12" t="s">
        <v>27</v>
      </c>
      <c r="BK28" s="149"/>
      <c r="BL28" s="22"/>
      <c r="BM28" s="95"/>
      <c r="BN28" s="23" t="s">
        <v>336</v>
      </c>
      <c r="BX28" s="10" t="s">
        <v>25</v>
      </c>
      <c r="BY28" s="11">
        <v>1</v>
      </c>
      <c r="BZ28" s="10" t="s">
        <v>596</v>
      </c>
      <c r="CA28" s="12" t="s">
        <v>74</v>
      </c>
      <c r="CB28" s="149"/>
      <c r="CC28" s="53"/>
      <c r="CD28" s="95"/>
      <c r="CE28" s="32" t="s">
        <v>284</v>
      </c>
      <c r="CG28" s="10" t="s">
        <v>25</v>
      </c>
      <c r="CH28" s="11">
        <v>1</v>
      </c>
      <c r="CI28" s="10" t="s">
        <v>613</v>
      </c>
      <c r="CJ28" s="12" t="s">
        <v>74</v>
      </c>
      <c r="CK28" s="149"/>
      <c r="CL28" s="53"/>
      <c r="CM28" s="95"/>
      <c r="CN28" s="32" t="s">
        <v>284</v>
      </c>
      <c r="CX28" s="234"/>
      <c r="CY28" s="235"/>
      <c r="CZ28" s="236"/>
      <c r="DA28" s="237"/>
      <c r="DB28" s="244"/>
      <c r="DC28" s="245"/>
      <c r="DD28" s="245"/>
      <c r="DE28" s="246"/>
      <c r="DF28" s="382"/>
      <c r="DG28" s="382"/>
      <c r="DH28" s="229">
        <f t="shared" si="13"/>
        <v>0</v>
      </c>
      <c r="DI28" s="249"/>
      <c r="DJ28" s="249"/>
      <c r="DK28" s="250"/>
      <c r="DL28" s="251"/>
      <c r="DM28" s="251"/>
      <c r="DN28" s="248"/>
      <c r="DO28" s="249"/>
      <c r="DP28" s="249"/>
      <c r="DQ28" s="239"/>
      <c r="DR28" s="251"/>
      <c r="DS28" s="248"/>
      <c r="DT28" s="249"/>
      <c r="DU28" s="249"/>
      <c r="DV28" s="239"/>
      <c r="DW28" s="251"/>
      <c r="EB28" s="1" t="s">
        <v>912</v>
      </c>
      <c r="EC28" s="279">
        <v>3</v>
      </c>
      <c r="ED28" s="160">
        <v>4</v>
      </c>
      <c r="EE28" s="160">
        <v>5</v>
      </c>
      <c r="EF28" s="280">
        <v>6</v>
      </c>
      <c r="EG28" s="279">
        <v>7</v>
      </c>
      <c r="EH28" s="160">
        <v>9</v>
      </c>
      <c r="EI28" s="160">
        <v>11</v>
      </c>
      <c r="EJ28" s="280">
        <v>13</v>
      </c>
      <c r="EK28" s="279">
        <v>8</v>
      </c>
      <c r="EL28" s="160">
        <v>9</v>
      </c>
      <c r="EM28" s="280">
        <v>10</v>
      </c>
      <c r="EN28" s="279">
        <v>9</v>
      </c>
      <c r="EO28" s="160">
        <v>9</v>
      </c>
      <c r="EP28" s="280">
        <v>11</v>
      </c>
      <c r="ES28" s="279" t="s">
        <v>910</v>
      </c>
      <c r="ET28" s="160"/>
      <c r="EU28" s="160"/>
      <c r="EV28" s="305">
        <f t="shared" si="25"/>
        <v>0</v>
      </c>
      <c r="EW28" s="160"/>
      <c r="EX28" s="306" t="str">
        <f>IF(ET28=0,"0",IF(ET28=1,"6","12"))</f>
        <v>0</v>
      </c>
      <c r="EY28" s="309">
        <f>4</f>
        <v>4</v>
      </c>
      <c r="FG28" s="1" t="s">
        <v>948</v>
      </c>
      <c r="FH28" s="1">
        <v>1</v>
      </c>
      <c r="FI28" s="166" t="s">
        <v>467</v>
      </c>
      <c r="FJ28" s="166" t="s">
        <v>889</v>
      </c>
      <c r="FK28" s="166" t="s">
        <v>889</v>
      </c>
      <c r="FL28" s="166"/>
      <c r="FM28" s="1" t="s">
        <v>889</v>
      </c>
      <c r="FN28" s="1" t="s">
        <v>889</v>
      </c>
      <c r="FO28" s="301">
        <f t="shared" si="26"/>
        <v>19.5</v>
      </c>
      <c r="FP28" s="1"/>
      <c r="FQ28" s="302" t="str">
        <f>IF(FI28=0,"0",IF(FI28="5/16","7",IF(FI28="3/8","7.5",IF(FI28="1/2","9",IF(FI28="5/8","10.5",IF(FI28="3/4","11.5","7"))))))</f>
        <v>7.5</v>
      </c>
      <c r="FR28" s="302" t="str">
        <f t="shared" si="27"/>
        <v>3</v>
      </c>
      <c r="FS28" s="302" t="str">
        <f t="shared" si="27"/>
        <v>3</v>
      </c>
      <c r="FT28" s="302" t="str">
        <f t="shared" si="28"/>
        <v>2</v>
      </c>
      <c r="FU28" s="302" t="str">
        <f t="shared" si="29"/>
        <v>4</v>
      </c>
      <c r="FV28" s="324" t="str">
        <f t="shared" si="30"/>
        <v>7.5</v>
      </c>
      <c r="FW28" s="323" t="s">
        <v>948</v>
      </c>
      <c r="FX28" s="1"/>
      <c r="FY28" s="1" t="s">
        <v>971</v>
      </c>
      <c r="FZ28" s="1"/>
      <c r="GA28" s="1">
        <f t="shared" si="31"/>
        <v>8.25</v>
      </c>
      <c r="GB28" s="1"/>
      <c r="GD28" s="166" t="s">
        <v>469</v>
      </c>
    </row>
    <row r="29" spans="1:323" ht="15.75" customHeight="1" thickBot="1" x14ac:dyDescent="0.3">
      <c r="A29" s="39" t="s">
        <v>93</v>
      </c>
      <c r="B29" s="12">
        <v>1</v>
      </c>
      <c r="C29" s="14" t="s">
        <v>94</v>
      </c>
      <c r="D29" s="12"/>
      <c r="E29" s="149">
        <f>B29*350</f>
        <v>350</v>
      </c>
      <c r="F29" s="183">
        <f>B29*2</f>
        <v>2</v>
      </c>
      <c r="G29" s="203"/>
      <c r="H29" s="203"/>
      <c r="I29" s="203"/>
      <c r="J29" s="203"/>
      <c r="K29" s="203"/>
      <c r="L29" s="203"/>
      <c r="M29" s="203"/>
      <c r="N29" s="203"/>
      <c r="O29" s="203"/>
      <c r="P29" s="203"/>
      <c r="Q29" s="203"/>
      <c r="R29" s="203"/>
      <c r="S29" s="203"/>
      <c r="T29" s="203"/>
      <c r="Y29" s="10" t="s">
        <v>25</v>
      </c>
      <c r="Z29" s="11">
        <v>1</v>
      </c>
      <c r="AA29" s="10" t="s">
        <v>597</v>
      </c>
      <c r="AB29" s="12" t="s">
        <v>77</v>
      </c>
      <c r="AC29" s="149"/>
      <c r="AD29" s="53"/>
      <c r="AE29" s="95"/>
      <c r="AF29" s="32" t="s">
        <v>554</v>
      </c>
      <c r="AH29" s="10" t="s">
        <v>25</v>
      </c>
      <c r="AI29" s="11">
        <v>1</v>
      </c>
      <c r="AJ29" s="10" t="s">
        <v>614</v>
      </c>
      <c r="AK29" s="12" t="s">
        <v>77</v>
      </c>
      <c r="AL29" s="149">
        <f>AI29*40</f>
        <v>40</v>
      </c>
      <c r="AM29" s="53"/>
      <c r="AN29" s="95">
        <v>45475</v>
      </c>
      <c r="AO29" s="32" t="s">
        <v>554</v>
      </c>
      <c r="AX29" s="10" t="s">
        <v>25</v>
      </c>
      <c r="AY29" s="11">
        <v>1</v>
      </c>
      <c r="AZ29" s="10" t="s">
        <v>597</v>
      </c>
      <c r="BA29" s="12" t="s">
        <v>27</v>
      </c>
      <c r="BB29" s="149">
        <f>AY29*129</f>
        <v>129</v>
      </c>
      <c r="BC29" s="22"/>
      <c r="BD29" s="95">
        <v>45376</v>
      </c>
      <c r="BE29" s="23" t="s">
        <v>336</v>
      </c>
      <c r="BG29" s="10" t="s">
        <v>25</v>
      </c>
      <c r="BH29" s="11">
        <v>1</v>
      </c>
      <c r="BI29" s="10" t="s">
        <v>614</v>
      </c>
      <c r="BJ29" s="12" t="s">
        <v>27</v>
      </c>
      <c r="BK29" s="149">
        <f>BH29*119</f>
        <v>119</v>
      </c>
      <c r="BL29" s="22"/>
      <c r="BM29" s="95">
        <v>45457</v>
      </c>
      <c r="BN29" s="23" t="s">
        <v>336</v>
      </c>
      <c r="BX29" s="10" t="s">
        <v>25</v>
      </c>
      <c r="BY29" s="11">
        <v>1</v>
      </c>
      <c r="BZ29" s="10" t="s">
        <v>597</v>
      </c>
      <c r="CA29" s="12" t="s">
        <v>74</v>
      </c>
      <c r="CB29" s="149"/>
      <c r="CC29" s="145"/>
      <c r="CD29" s="95"/>
      <c r="CE29" s="32" t="s">
        <v>284</v>
      </c>
      <c r="CG29" s="10" t="s">
        <v>25</v>
      </c>
      <c r="CH29" s="11">
        <v>1</v>
      </c>
      <c r="CI29" s="10" t="s">
        <v>614</v>
      </c>
      <c r="CJ29" s="12" t="s">
        <v>74</v>
      </c>
      <c r="CK29" s="149">
        <f>CH29*170</f>
        <v>170</v>
      </c>
      <c r="CL29" s="145"/>
      <c r="CM29" s="95">
        <v>45457</v>
      </c>
      <c r="CN29" s="32" t="s">
        <v>284</v>
      </c>
      <c r="CX29" s="252"/>
      <c r="CY29" s="253"/>
      <c r="CZ29" s="254"/>
      <c r="DA29" s="255"/>
      <c r="DB29" s="256"/>
      <c r="DC29" s="257"/>
      <c r="DD29" s="257"/>
      <c r="DE29" s="258"/>
      <c r="DF29" s="383"/>
      <c r="DG29" s="383"/>
      <c r="DH29" s="260"/>
      <c r="DI29" s="261"/>
      <c r="DJ29" s="261"/>
      <c r="DK29" s="262"/>
      <c r="DL29" s="263"/>
      <c r="DM29" s="264"/>
      <c r="DN29" s="260"/>
      <c r="DO29" s="261"/>
      <c r="DP29" s="261"/>
      <c r="DQ29" s="262"/>
      <c r="DR29" s="263"/>
      <c r="DS29" s="260"/>
      <c r="DT29" s="261"/>
      <c r="DU29" s="261"/>
      <c r="DV29" s="262"/>
      <c r="DW29" s="263"/>
      <c r="EB29" s="1" t="s">
        <v>913</v>
      </c>
      <c r="EC29" s="279">
        <v>5</v>
      </c>
      <c r="ED29" s="160">
        <v>7</v>
      </c>
      <c r="EE29" s="160">
        <v>9</v>
      </c>
      <c r="EF29" s="280">
        <v>11</v>
      </c>
      <c r="EG29" s="279">
        <v>8</v>
      </c>
      <c r="EH29" s="160">
        <v>10</v>
      </c>
      <c r="EI29" s="160">
        <v>12</v>
      </c>
      <c r="EJ29" s="280">
        <v>14</v>
      </c>
      <c r="EK29" s="279">
        <v>9</v>
      </c>
      <c r="EL29" s="160">
        <v>10</v>
      </c>
      <c r="EM29" s="280">
        <v>11</v>
      </c>
      <c r="EN29" s="279">
        <v>10</v>
      </c>
      <c r="EO29" s="160">
        <v>10</v>
      </c>
      <c r="EP29" s="280">
        <v>12</v>
      </c>
      <c r="ES29" s="279" t="s">
        <v>911</v>
      </c>
      <c r="ET29" s="160"/>
      <c r="EU29" s="160"/>
      <c r="EV29" s="305">
        <f t="shared" si="25"/>
        <v>0</v>
      </c>
      <c r="EW29" s="160"/>
      <c r="EX29" s="306" t="str">
        <f>IF(ET29=0,"0",IF(ET29=1,"7","14"))</f>
        <v>0</v>
      </c>
      <c r="EY29" s="309">
        <f>4</f>
        <v>4</v>
      </c>
      <c r="FG29" s="1" t="s">
        <v>949</v>
      </c>
      <c r="FH29" s="1">
        <v>1</v>
      </c>
      <c r="FI29" s="166" t="s">
        <v>467</v>
      </c>
      <c r="FJ29" s="166" t="s">
        <v>889</v>
      </c>
      <c r="FK29" s="166" t="s">
        <v>889</v>
      </c>
      <c r="FL29" s="166"/>
      <c r="FM29" s="1" t="s">
        <v>889</v>
      </c>
      <c r="FN29" s="1" t="s">
        <v>889</v>
      </c>
      <c r="FO29" s="301">
        <f t="shared" si="26"/>
        <v>20.5</v>
      </c>
      <c r="FP29" s="1"/>
      <c r="FQ29" s="302" t="str">
        <f>IF(FI29=0,"0",IF(FI29="5/16","8",IF(FI29="3/8","8.5",IF(FI29="1/2","11",IF(FI29="5/8","13",IF(FI29="3/4","14","8"))))))</f>
        <v>8.5</v>
      </c>
      <c r="FR29" s="302" t="str">
        <f t="shared" si="27"/>
        <v>3</v>
      </c>
      <c r="FS29" s="302" t="str">
        <f t="shared" si="27"/>
        <v>3</v>
      </c>
      <c r="FT29" s="302" t="str">
        <f t="shared" si="28"/>
        <v>2</v>
      </c>
      <c r="FU29" s="302" t="str">
        <f t="shared" si="29"/>
        <v>4</v>
      </c>
      <c r="FV29" s="324" t="str">
        <f t="shared" si="30"/>
        <v>8.5</v>
      </c>
      <c r="FW29" s="323" t="s">
        <v>949</v>
      </c>
      <c r="FX29" s="1"/>
      <c r="FY29" s="1" t="s">
        <v>965</v>
      </c>
      <c r="FZ29" s="1"/>
      <c r="GA29" s="1">
        <f t="shared" si="31"/>
        <v>9.3500000000000014</v>
      </c>
      <c r="GB29" s="1"/>
      <c r="GD29" s="166" t="s">
        <v>470</v>
      </c>
    </row>
    <row r="30" spans="1:323" ht="15.75" customHeight="1" thickBot="1" x14ac:dyDescent="0.3">
      <c r="A30" s="113" t="s">
        <v>1121</v>
      </c>
      <c r="B30" s="11">
        <v>1</v>
      </c>
      <c r="C30" s="10" t="s">
        <v>1122</v>
      </c>
      <c r="D30" s="12" t="s">
        <v>84</v>
      </c>
      <c r="E30" s="149">
        <f>48*96*11.16/144*2.09</f>
        <v>746.38079999999991</v>
      </c>
      <c r="F30" s="183">
        <f>B30*10</f>
        <v>10</v>
      </c>
      <c r="G30" s="203"/>
      <c r="H30" s="203"/>
      <c r="I30" s="203"/>
      <c r="J30" s="203"/>
      <c r="K30" s="203"/>
      <c r="L30" s="203"/>
      <c r="M30" s="203"/>
      <c r="N30" s="203"/>
      <c r="O30" s="203"/>
      <c r="P30" s="203"/>
      <c r="Q30" s="203"/>
      <c r="R30" s="203"/>
      <c r="S30" s="203"/>
      <c r="T30" s="203"/>
      <c r="Y30" s="10" t="s">
        <v>25</v>
      </c>
      <c r="Z30" s="11">
        <v>1</v>
      </c>
      <c r="AA30" s="10" t="s">
        <v>598</v>
      </c>
      <c r="AB30" s="12" t="s">
        <v>77</v>
      </c>
      <c r="AC30" s="111"/>
      <c r="AD30" s="50"/>
      <c r="AE30" s="95"/>
      <c r="AF30" s="32" t="s">
        <v>554</v>
      </c>
      <c r="AH30" s="10" t="s">
        <v>25</v>
      </c>
      <c r="AI30" s="11">
        <v>1</v>
      </c>
      <c r="AJ30" s="10" t="s">
        <v>615</v>
      </c>
      <c r="AK30" s="12" t="s">
        <v>77</v>
      </c>
      <c r="AL30" s="111">
        <f>AI30*53</f>
        <v>53</v>
      </c>
      <c r="AM30" s="50"/>
      <c r="AN30" s="95">
        <v>45475</v>
      </c>
      <c r="AO30" s="32" t="s">
        <v>554</v>
      </c>
      <c r="AX30" s="10" t="s">
        <v>25</v>
      </c>
      <c r="AY30" s="11">
        <v>1</v>
      </c>
      <c r="AZ30" s="10" t="s">
        <v>598</v>
      </c>
      <c r="BA30" s="12" t="s">
        <v>27</v>
      </c>
      <c r="BB30" s="111">
        <f>AY30*217</f>
        <v>217</v>
      </c>
      <c r="BC30" s="26"/>
      <c r="BD30" s="95">
        <v>45413</v>
      </c>
      <c r="BE30" s="23" t="s">
        <v>336</v>
      </c>
      <c r="BG30" s="10" t="s">
        <v>25</v>
      </c>
      <c r="BH30" s="11">
        <v>1</v>
      </c>
      <c r="BI30" s="10" t="s">
        <v>615</v>
      </c>
      <c r="BJ30" s="12" t="s">
        <v>27</v>
      </c>
      <c r="BK30" s="111">
        <f>BH30*202</f>
        <v>202</v>
      </c>
      <c r="BL30" s="26"/>
      <c r="BM30" s="95">
        <v>45457</v>
      </c>
      <c r="BN30" s="23" t="s">
        <v>336</v>
      </c>
      <c r="BX30" s="10" t="s">
        <v>25</v>
      </c>
      <c r="BY30" s="11">
        <v>1</v>
      </c>
      <c r="BZ30" s="10" t="s">
        <v>598</v>
      </c>
      <c r="CA30" s="12" t="s">
        <v>74</v>
      </c>
      <c r="CB30" s="111"/>
      <c r="CC30" s="93"/>
      <c r="CD30" s="95"/>
      <c r="CE30" s="32" t="s">
        <v>284</v>
      </c>
      <c r="CG30" s="10" t="s">
        <v>25</v>
      </c>
      <c r="CH30" s="11">
        <v>1</v>
      </c>
      <c r="CI30" s="10" t="s">
        <v>615</v>
      </c>
      <c r="CJ30" s="12" t="s">
        <v>74</v>
      </c>
      <c r="CK30" s="111">
        <f>CH30*280</f>
        <v>280</v>
      </c>
      <c r="CL30" s="93"/>
      <c r="CM30" s="95">
        <v>45457</v>
      </c>
      <c r="CN30" s="32" t="s">
        <v>284</v>
      </c>
      <c r="EB30" s="1" t="s">
        <v>914</v>
      </c>
      <c r="EC30" s="279">
        <v>5</v>
      </c>
      <c r="ED30" s="160">
        <v>7</v>
      </c>
      <c r="EE30" s="160">
        <v>9</v>
      </c>
      <c r="EF30" s="280">
        <v>11</v>
      </c>
      <c r="EG30" s="279">
        <v>8</v>
      </c>
      <c r="EH30" s="160">
        <v>10</v>
      </c>
      <c r="EI30" s="160">
        <v>12</v>
      </c>
      <c r="EJ30" s="280">
        <v>14</v>
      </c>
      <c r="EK30" s="279">
        <v>10</v>
      </c>
      <c r="EL30" s="160">
        <v>11</v>
      </c>
      <c r="EM30" s="280">
        <v>12</v>
      </c>
      <c r="EN30" s="279">
        <v>12</v>
      </c>
      <c r="EO30" s="160">
        <v>12</v>
      </c>
      <c r="EP30" s="280">
        <v>15</v>
      </c>
      <c r="ES30" s="279" t="s">
        <v>912</v>
      </c>
      <c r="ET30" s="160"/>
      <c r="EU30" s="160"/>
      <c r="EV30" s="305">
        <f t="shared" si="25"/>
        <v>0</v>
      </c>
      <c r="EW30" s="160"/>
      <c r="EX30" s="306" t="str">
        <f>IF(ET30=0,"0",IF(ET30=1,"9","18"))</f>
        <v>0</v>
      </c>
      <c r="EY30" s="309">
        <f>4</f>
        <v>4</v>
      </c>
      <c r="FG30" s="1" t="s">
        <v>950</v>
      </c>
      <c r="FH30" s="1">
        <v>1</v>
      </c>
      <c r="FI30" s="166" t="s">
        <v>467</v>
      </c>
      <c r="FJ30" s="166" t="s">
        <v>889</v>
      </c>
      <c r="FK30" s="166" t="s">
        <v>889</v>
      </c>
      <c r="FL30" s="166"/>
      <c r="FM30" s="1" t="s">
        <v>889</v>
      </c>
      <c r="FN30" s="1" t="s">
        <v>889</v>
      </c>
      <c r="FO30" s="301">
        <f t="shared" si="26"/>
        <v>24.5</v>
      </c>
      <c r="FP30" s="1"/>
      <c r="FQ30" s="302" t="str">
        <f>IF(FI30=0,"0",IF(FI30="5/16","10",IF(FI30="3/8","10.5",IF(FI30="1/2","13.5",IF(FI30="5/8","15.5",IF(FI30="3/4","16","10"))))))</f>
        <v>10.5</v>
      </c>
      <c r="FR30" s="302" t="str">
        <f t="shared" ref="FR30:FS33" si="32">IF(FJ30="Yes","4","0")</f>
        <v>4</v>
      </c>
      <c r="FS30" s="302" t="str">
        <f t="shared" si="32"/>
        <v>4</v>
      </c>
      <c r="FT30" s="302" t="str">
        <f t="shared" si="28"/>
        <v>2</v>
      </c>
      <c r="FU30" s="302" t="str">
        <f t="shared" si="29"/>
        <v>4</v>
      </c>
      <c r="FV30" s="324" t="str">
        <f t="shared" si="30"/>
        <v>10.5</v>
      </c>
      <c r="FW30" s="323" t="s">
        <v>950</v>
      </c>
      <c r="FX30" s="1"/>
      <c r="FY30" s="1" t="s">
        <v>972</v>
      </c>
      <c r="FZ30" s="1"/>
      <c r="GA30" s="1">
        <f t="shared" si="31"/>
        <v>11.55</v>
      </c>
      <c r="GB30" s="1"/>
      <c r="GD30" s="166"/>
    </row>
    <row r="31" spans="1:323" ht="15.75" thickBot="1" x14ac:dyDescent="0.3">
      <c r="A31" s="203"/>
      <c r="B31" s="203"/>
      <c r="C31" s="203"/>
      <c r="D31" s="203"/>
      <c r="E31" s="203"/>
      <c r="F31" s="203"/>
      <c r="G31" s="203"/>
      <c r="H31" s="203"/>
      <c r="I31" s="203"/>
      <c r="J31" s="203"/>
      <c r="K31" s="203"/>
      <c r="L31" s="203"/>
      <c r="M31" s="203"/>
      <c r="N31" s="203"/>
      <c r="O31" s="203"/>
      <c r="P31" s="203"/>
      <c r="Q31" s="203"/>
      <c r="R31" s="203"/>
      <c r="S31" s="203"/>
      <c r="T31" s="203"/>
      <c r="Y31" s="10" t="s">
        <v>25</v>
      </c>
      <c r="Z31" s="11">
        <v>1</v>
      </c>
      <c r="AA31" s="10" t="s">
        <v>599</v>
      </c>
      <c r="AB31" s="12" t="s">
        <v>77</v>
      </c>
      <c r="AC31" s="149"/>
      <c r="AD31" s="50"/>
      <c r="AE31" s="95"/>
      <c r="AF31" s="32" t="s">
        <v>554</v>
      </c>
      <c r="AH31" s="10" t="s">
        <v>25</v>
      </c>
      <c r="AI31" s="11">
        <v>1</v>
      </c>
      <c r="AJ31" s="10" t="s">
        <v>616</v>
      </c>
      <c r="AK31" s="12" t="s">
        <v>77</v>
      </c>
      <c r="AL31" s="149">
        <f>AI31*133</f>
        <v>133</v>
      </c>
      <c r="AM31" s="50"/>
      <c r="AN31" s="95">
        <v>45475</v>
      </c>
      <c r="AO31" s="32" t="s">
        <v>554</v>
      </c>
      <c r="AX31" s="10" t="s">
        <v>25</v>
      </c>
      <c r="AY31" s="11">
        <v>1</v>
      </c>
      <c r="AZ31" s="10" t="s">
        <v>599</v>
      </c>
      <c r="BA31" s="12" t="s">
        <v>27</v>
      </c>
      <c r="BB31" s="149">
        <f>AY31*321</f>
        <v>321</v>
      </c>
      <c r="BC31" s="26"/>
      <c r="BD31" s="95">
        <v>45376</v>
      </c>
      <c r="BE31" s="23" t="s">
        <v>336</v>
      </c>
      <c r="BG31" s="10" t="s">
        <v>25</v>
      </c>
      <c r="BH31" s="11">
        <v>1</v>
      </c>
      <c r="BI31" s="10" t="s">
        <v>616</v>
      </c>
      <c r="BJ31" s="12" t="s">
        <v>27</v>
      </c>
      <c r="BK31" s="149">
        <f>BH31*298</f>
        <v>298</v>
      </c>
      <c r="BL31" s="26"/>
      <c r="BM31" s="95">
        <v>45457</v>
      </c>
      <c r="BN31" s="23" t="s">
        <v>336</v>
      </c>
      <c r="BX31" s="10" t="s">
        <v>25</v>
      </c>
      <c r="BY31" s="11">
        <v>1</v>
      </c>
      <c r="BZ31" s="10" t="s">
        <v>599</v>
      </c>
      <c r="CA31" s="12" t="s">
        <v>74</v>
      </c>
      <c r="CB31" s="149"/>
      <c r="CC31" s="93"/>
      <c r="CD31" s="95"/>
      <c r="CE31" s="32" t="s">
        <v>284</v>
      </c>
      <c r="CG31" s="10" t="s">
        <v>25</v>
      </c>
      <c r="CH31" s="11">
        <v>1</v>
      </c>
      <c r="CI31" s="10" t="s">
        <v>616</v>
      </c>
      <c r="CJ31" s="12" t="s">
        <v>74</v>
      </c>
      <c r="CK31" s="149"/>
      <c r="CL31" s="93"/>
      <c r="CM31" s="95"/>
      <c r="CN31" s="32" t="s">
        <v>284</v>
      </c>
      <c r="EB31" s="1" t="s">
        <v>915</v>
      </c>
      <c r="EC31" s="279">
        <v>5</v>
      </c>
      <c r="ED31" s="160">
        <v>7</v>
      </c>
      <c r="EE31" s="160">
        <v>9</v>
      </c>
      <c r="EF31" s="280">
        <v>11</v>
      </c>
      <c r="EG31" s="279">
        <v>8</v>
      </c>
      <c r="EH31" s="160">
        <v>10</v>
      </c>
      <c r="EI31" s="160">
        <v>12</v>
      </c>
      <c r="EJ31" s="280">
        <v>14</v>
      </c>
      <c r="EK31" s="279">
        <v>11</v>
      </c>
      <c r="EL31" s="160">
        <v>12</v>
      </c>
      <c r="EM31" s="280">
        <v>13</v>
      </c>
      <c r="EN31" s="279">
        <v>12</v>
      </c>
      <c r="EO31" s="160">
        <v>12</v>
      </c>
      <c r="EP31" s="280">
        <v>15</v>
      </c>
      <c r="ES31" s="279" t="s">
        <v>913</v>
      </c>
      <c r="ET31" s="160"/>
      <c r="EU31" s="160"/>
      <c r="EV31" s="305">
        <f t="shared" si="25"/>
        <v>0</v>
      </c>
      <c r="EW31" s="160"/>
      <c r="EX31" s="306" t="str">
        <f>IF(ET31=0,"0",IF(ET31=1,"10","20"))</f>
        <v>0</v>
      </c>
      <c r="EY31" s="309">
        <f>4</f>
        <v>4</v>
      </c>
      <c r="FG31" s="1" t="s">
        <v>951</v>
      </c>
      <c r="FH31" s="1">
        <v>1</v>
      </c>
      <c r="FI31" s="166" t="s">
        <v>467</v>
      </c>
      <c r="FJ31" s="166" t="s">
        <v>889</v>
      </c>
      <c r="FK31" s="166" t="s">
        <v>889</v>
      </c>
      <c r="FL31" s="166"/>
      <c r="FM31" s="1" t="s">
        <v>889</v>
      </c>
      <c r="FN31" s="1" t="s">
        <v>889</v>
      </c>
      <c r="FO31" s="301">
        <f t="shared" si="26"/>
        <v>27</v>
      </c>
      <c r="FP31" s="1"/>
      <c r="FQ31" s="302" t="str">
        <f>IF(FI31=0,"0",IF(FI31="5/16","12",IF(FI31="3/8","13",IF(FI31="1/2","17",IF(FI31="5/8","20",IF(FI31="3/4","22","12"))))))</f>
        <v>13</v>
      </c>
      <c r="FR31" s="302" t="str">
        <f t="shared" si="32"/>
        <v>4</v>
      </c>
      <c r="FS31" s="302" t="str">
        <f t="shared" si="32"/>
        <v>4</v>
      </c>
      <c r="FT31" s="302" t="str">
        <f t="shared" si="28"/>
        <v>2</v>
      </c>
      <c r="FU31" s="302" t="str">
        <f t="shared" si="29"/>
        <v>4</v>
      </c>
      <c r="FV31" s="324" t="str">
        <f t="shared" si="30"/>
        <v>13</v>
      </c>
      <c r="FW31" s="323" t="s">
        <v>951</v>
      </c>
      <c r="FX31" s="1"/>
      <c r="FY31" s="1" t="s">
        <v>966</v>
      </c>
      <c r="FZ31" s="1"/>
      <c r="GA31" s="1">
        <f t="shared" si="31"/>
        <v>14.3</v>
      </c>
      <c r="GB31" s="1"/>
      <c r="GD31" s="166"/>
    </row>
    <row r="32" spans="1:323" ht="15.75" thickBot="1" x14ac:dyDescent="0.3">
      <c r="A32" s="203"/>
      <c r="B32" s="203"/>
      <c r="C32" s="203"/>
      <c r="D32" s="203"/>
      <c r="E32" s="203"/>
      <c r="F32" s="203"/>
      <c r="G32" s="203"/>
      <c r="H32" s="203"/>
      <c r="I32" s="203"/>
      <c r="J32" s="203"/>
      <c r="K32" s="203"/>
      <c r="L32" s="203"/>
      <c r="M32" s="203"/>
      <c r="N32" s="203"/>
      <c r="O32" s="203"/>
      <c r="P32" s="203"/>
      <c r="Q32" s="203"/>
      <c r="R32" s="203"/>
      <c r="S32" s="203"/>
      <c r="T32" s="203"/>
      <c r="Y32" s="10" t="s">
        <v>25</v>
      </c>
      <c r="Z32" s="11">
        <v>1</v>
      </c>
      <c r="AA32" s="10" t="s">
        <v>600</v>
      </c>
      <c r="AB32" s="12" t="s">
        <v>77</v>
      </c>
      <c r="AC32" s="92"/>
      <c r="AD32" s="50"/>
      <c r="AE32" s="95"/>
      <c r="AF32" s="32" t="s">
        <v>554</v>
      </c>
      <c r="AH32" s="10" t="s">
        <v>25</v>
      </c>
      <c r="AI32" s="11">
        <v>1</v>
      </c>
      <c r="AJ32" s="10" t="s">
        <v>617</v>
      </c>
      <c r="AK32" s="12" t="s">
        <v>77</v>
      </c>
      <c r="AL32" s="92">
        <f>AI32*175</f>
        <v>175</v>
      </c>
      <c r="AM32" s="50"/>
      <c r="AN32" s="95">
        <v>45475</v>
      </c>
      <c r="AO32" s="32" t="s">
        <v>554</v>
      </c>
      <c r="AX32" s="10" t="s">
        <v>25</v>
      </c>
      <c r="AY32" s="11">
        <v>1</v>
      </c>
      <c r="AZ32" s="10" t="s">
        <v>600</v>
      </c>
      <c r="BA32" s="12" t="s">
        <v>27</v>
      </c>
      <c r="BB32" s="111">
        <f>AY32*500</f>
        <v>500</v>
      </c>
      <c r="BC32" s="26"/>
      <c r="BD32" s="95">
        <v>45376</v>
      </c>
      <c r="BE32" s="23" t="s">
        <v>336</v>
      </c>
      <c r="BG32" s="10" t="s">
        <v>25</v>
      </c>
      <c r="BH32" s="11">
        <v>1</v>
      </c>
      <c r="BI32" s="10" t="s">
        <v>617</v>
      </c>
      <c r="BJ32" s="12" t="s">
        <v>27</v>
      </c>
      <c r="BK32" s="111">
        <f>BH32*465</f>
        <v>465</v>
      </c>
      <c r="BL32" s="26"/>
      <c r="BM32" s="95">
        <v>45457</v>
      </c>
      <c r="BN32" s="23" t="s">
        <v>336</v>
      </c>
      <c r="BX32" s="10" t="s">
        <v>25</v>
      </c>
      <c r="BY32" s="11">
        <v>1</v>
      </c>
      <c r="BZ32" s="10" t="s">
        <v>600</v>
      </c>
      <c r="CA32" s="12" t="s">
        <v>74</v>
      </c>
      <c r="CB32" s="92"/>
      <c r="CC32" s="93"/>
      <c r="CD32" s="95"/>
      <c r="CE32" s="32" t="s">
        <v>284</v>
      </c>
      <c r="CG32" s="10" t="s">
        <v>25</v>
      </c>
      <c r="CH32" s="11">
        <v>1</v>
      </c>
      <c r="CI32" s="10" t="s">
        <v>617</v>
      </c>
      <c r="CJ32" s="12" t="s">
        <v>74</v>
      </c>
      <c r="CK32" s="92">
        <f>CH32*637</f>
        <v>637</v>
      </c>
      <c r="CL32" s="93"/>
      <c r="CM32" s="95">
        <v>45457</v>
      </c>
      <c r="CN32" s="32" t="s">
        <v>284</v>
      </c>
      <c r="EB32" s="1" t="s">
        <v>916</v>
      </c>
      <c r="EC32" s="279">
        <v>5</v>
      </c>
      <c r="ED32" s="160">
        <v>7</v>
      </c>
      <c r="EE32" s="160">
        <v>9</v>
      </c>
      <c r="EF32" s="280">
        <v>11</v>
      </c>
      <c r="EG32" s="279">
        <v>8</v>
      </c>
      <c r="EH32" s="160">
        <v>10</v>
      </c>
      <c r="EI32" s="160">
        <v>12</v>
      </c>
      <c r="EJ32" s="280">
        <v>14</v>
      </c>
      <c r="EK32" s="279">
        <v>12</v>
      </c>
      <c r="EL32" s="160">
        <v>13</v>
      </c>
      <c r="EM32" s="280">
        <v>14</v>
      </c>
      <c r="EN32" s="279">
        <v>13</v>
      </c>
      <c r="EO32" s="160">
        <v>13</v>
      </c>
      <c r="EP32" s="280">
        <v>16</v>
      </c>
      <c r="ES32" s="279" t="s">
        <v>914</v>
      </c>
      <c r="ET32" s="160"/>
      <c r="EU32" s="160"/>
      <c r="EV32" s="305">
        <f t="shared" si="25"/>
        <v>0</v>
      </c>
      <c r="EW32" s="160"/>
      <c r="EX32" s="306" t="str">
        <f>IF(ET32=0,"0",IF(ET32=1,"11","22"))</f>
        <v>0</v>
      </c>
      <c r="EY32" s="309">
        <f>4</f>
        <v>4</v>
      </c>
      <c r="FG32" s="1" t="s">
        <v>952</v>
      </c>
      <c r="FH32" s="1">
        <v>1</v>
      </c>
      <c r="FI32" s="166" t="s">
        <v>467</v>
      </c>
      <c r="FJ32" s="166" t="s">
        <v>889</v>
      </c>
      <c r="FK32" s="166" t="s">
        <v>889</v>
      </c>
      <c r="FL32" s="166"/>
      <c r="FM32" s="1" t="s">
        <v>889</v>
      </c>
      <c r="FN32" s="1" t="s">
        <v>889</v>
      </c>
      <c r="FO32" s="301">
        <f t="shared" si="26"/>
        <v>29</v>
      </c>
      <c r="FP32" s="1"/>
      <c r="FQ32" s="302" t="str">
        <f>IF(FI32=0,"0",IF(FI32="5/16","13",IF(FI32="3/8","15",IF(FI32="1/2","20",IF(FI32="5/8","24",IF(FI32="3/4","26","13"))))))</f>
        <v>15</v>
      </c>
      <c r="FR32" s="302" t="str">
        <f t="shared" si="32"/>
        <v>4</v>
      </c>
      <c r="FS32" s="302" t="str">
        <f t="shared" si="32"/>
        <v>4</v>
      </c>
      <c r="FT32" s="302" t="str">
        <f t="shared" si="28"/>
        <v>2</v>
      </c>
      <c r="FU32" s="302" t="str">
        <f t="shared" si="29"/>
        <v>4</v>
      </c>
      <c r="FV32" s="324" t="str">
        <f t="shared" si="30"/>
        <v>15</v>
      </c>
      <c r="FW32" s="323" t="s">
        <v>952</v>
      </c>
      <c r="FX32" s="1"/>
      <c r="FY32" s="1" t="s">
        <v>973</v>
      </c>
      <c r="FZ32" s="1"/>
      <c r="GA32" s="1">
        <f t="shared" si="31"/>
        <v>16.5</v>
      </c>
      <c r="GB32" s="1"/>
      <c r="GD32" s="1"/>
    </row>
    <row r="33" spans="1:205" ht="15.75" thickBot="1" x14ac:dyDescent="0.3">
      <c r="A33" s="203"/>
      <c r="B33" s="203"/>
      <c r="C33" s="203"/>
      <c r="D33" s="203"/>
      <c r="E33" s="203"/>
      <c r="F33" s="203"/>
      <c r="G33" s="203"/>
      <c r="H33" s="203"/>
      <c r="I33" s="203"/>
      <c r="J33" s="203"/>
      <c r="K33" s="203"/>
      <c r="L33" s="203"/>
      <c r="M33" s="203"/>
      <c r="N33" s="203"/>
      <c r="O33" s="203"/>
      <c r="P33" s="203"/>
      <c r="Q33" s="203"/>
      <c r="R33" s="203"/>
      <c r="S33" s="203"/>
      <c r="T33" s="203"/>
      <c r="Y33" s="10" t="s">
        <v>25</v>
      </c>
      <c r="Z33" s="11">
        <v>1</v>
      </c>
      <c r="AA33" s="10" t="s">
        <v>601</v>
      </c>
      <c r="AB33" s="12" t="s">
        <v>77</v>
      </c>
      <c r="AC33" s="92"/>
      <c r="AD33" s="50"/>
      <c r="AE33" s="95"/>
      <c r="AF33" s="32" t="s">
        <v>554</v>
      </c>
      <c r="AH33" s="10" t="s">
        <v>25</v>
      </c>
      <c r="AI33" s="11">
        <v>1</v>
      </c>
      <c r="AJ33" s="10" t="s">
        <v>618</v>
      </c>
      <c r="AK33" s="12" t="s">
        <v>77</v>
      </c>
      <c r="AL33" s="92"/>
      <c r="AM33" s="50"/>
      <c r="AN33" s="95"/>
      <c r="AO33" s="32" t="s">
        <v>554</v>
      </c>
      <c r="AX33" s="10" t="s">
        <v>25</v>
      </c>
      <c r="AY33" s="11">
        <v>1</v>
      </c>
      <c r="AZ33" s="10" t="s">
        <v>601</v>
      </c>
      <c r="BA33" s="12" t="s">
        <v>27</v>
      </c>
      <c r="BB33" s="92"/>
      <c r="BC33" s="26"/>
      <c r="BD33" s="95"/>
      <c r="BE33" s="23" t="s">
        <v>336</v>
      </c>
      <c r="BG33" s="10" t="s">
        <v>25</v>
      </c>
      <c r="BH33" s="11">
        <v>1</v>
      </c>
      <c r="BI33" s="10" t="s">
        <v>618</v>
      </c>
      <c r="BJ33" s="12" t="s">
        <v>27</v>
      </c>
      <c r="BK33" s="92"/>
      <c r="BL33" s="26"/>
      <c r="BM33" s="95"/>
      <c r="BN33" s="23" t="s">
        <v>336</v>
      </c>
      <c r="BX33" s="10" t="s">
        <v>25</v>
      </c>
      <c r="BY33" s="11">
        <v>1</v>
      </c>
      <c r="BZ33" s="10" t="s">
        <v>601</v>
      </c>
      <c r="CA33" s="12" t="s">
        <v>74</v>
      </c>
      <c r="CB33" s="92"/>
      <c r="CC33" s="93"/>
      <c r="CD33" s="95"/>
      <c r="CE33" s="32" t="s">
        <v>284</v>
      </c>
      <c r="CG33" s="10" t="s">
        <v>25</v>
      </c>
      <c r="CH33" s="11">
        <v>1</v>
      </c>
      <c r="CI33" s="10" t="s">
        <v>618</v>
      </c>
      <c r="CJ33" s="12" t="s">
        <v>74</v>
      </c>
      <c r="CK33" s="92"/>
      <c r="CL33" s="93"/>
      <c r="CM33" s="95"/>
      <c r="CN33" s="32" t="s">
        <v>284</v>
      </c>
      <c r="EB33" s="1" t="s">
        <v>917</v>
      </c>
      <c r="EC33" s="279">
        <v>5</v>
      </c>
      <c r="ED33" s="160">
        <v>7</v>
      </c>
      <c r="EE33" s="160">
        <v>9</v>
      </c>
      <c r="EF33" s="280">
        <v>11</v>
      </c>
      <c r="EG33" s="279">
        <v>10</v>
      </c>
      <c r="EH33" s="160">
        <v>12</v>
      </c>
      <c r="EI33" s="160">
        <v>14</v>
      </c>
      <c r="EJ33" s="280">
        <v>16</v>
      </c>
      <c r="EK33" s="279">
        <v>13</v>
      </c>
      <c r="EL33" s="160">
        <v>14</v>
      </c>
      <c r="EM33" s="280">
        <v>15</v>
      </c>
      <c r="EN33" s="279">
        <v>13</v>
      </c>
      <c r="EO33" s="160">
        <v>13</v>
      </c>
      <c r="EP33" s="280">
        <v>16</v>
      </c>
      <c r="ES33" s="279" t="s">
        <v>915</v>
      </c>
      <c r="ET33" s="160"/>
      <c r="EU33" s="160"/>
      <c r="EV33" s="305">
        <f t="shared" si="25"/>
        <v>0</v>
      </c>
      <c r="EW33" s="160"/>
      <c r="EX33" s="306" t="str">
        <f>IF(ET33=0,"0",IF(ET33=1,"13","26"))</f>
        <v>0</v>
      </c>
      <c r="EY33" s="309">
        <f>4</f>
        <v>4</v>
      </c>
      <c r="FG33" s="1" t="s">
        <v>953</v>
      </c>
      <c r="FH33" s="1">
        <v>1</v>
      </c>
      <c r="FI33" s="166" t="s">
        <v>467</v>
      </c>
      <c r="FJ33" s="166" t="s">
        <v>889</v>
      </c>
      <c r="FK33" s="166" t="s">
        <v>889</v>
      </c>
      <c r="FL33" s="166"/>
      <c r="FM33" s="1" t="s">
        <v>889</v>
      </c>
      <c r="FN33" s="1" t="s">
        <v>889</v>
      </c>
      <c r="FO33" s="301">
        <f t="shared" si="26"/>
        <v>30</v>
      </c>
      <c r="FP33" s="1"/>
      <c r="FQ33" s="302" t="str">
        <f>IF(FI33=0,"0",IF(FI33="5/16","14",IF(FI33="3/8","16",IF(FI33="1/2","22",IF(FI33="5/8","26",IF(FI33="3/4","28","14"))))))</f>
        <v>16</v>
      </c>
      <c r="FR33" s="302" t="str">
        <f t="shared" si="32"/>
        <v>4</v>
      </c>
      <c r="FS33" s="302" t="str">
        <f t="shared" si="32"/>
        <v>4</v>
      </c>
      <c r="FT33" s="302" t="str">
        <f t="shared" si="28"/>
        <v>2</v>
      </c>
      <c r="FU33" s="302" t="str">
        <f t="shared" si="29"/>
        <v>4</v>
      </c>
      <c r="FV33" s="324" t="str">
        <f t="shared" si="30"/>
        <v>16</v>
      </c>
      <c r="FW33" s="323" t="s">
        <v>953</v>
      </c>
      <c r="FX33" s="1"/>
      <c r="FY33" s="1" t="s">
        <v>967</v>
      </c>
      <c r="FZ33" s="1"/>
      <c r="GA33" s="1">
        <f t="shared" si="31"/>
        <v>17.600000000000001</v>
      </c>
      <c r="GB33" s="1"/>
      <c r="GD33" s="1"/>
    </row>
    <row r="34" spans="1:205" ht="15.75" thickBot="1" x14ac:dyDescent="0.3">
      <c r="A34" s="203"/>
      <c r="B34" s="203"/>
      <c r="C34" s="203"/>
      <c r="D34" s="203"/>
      <c r="E34" s="203"/>
      <c r="F34" s="203"/>
      <c r="G34" s="203"/>
      <c r="H34" s="203"/>
      <c r="I34" s="203"/>
      <c r="J34" s="203"/>
      <c r="K34" s="203"/>
      <c r="L34" s="203"/>
      <c r="M34" s="203"/>
      <c r="N34" s="203"/>
      <c r="O34" s="203"/>
      <c r="P34" s="203"/>
      <c r="Q34" s="203"/>
      <c r="R34" s="203"/>
      <c r="S34" s="203"/>
      <c r="T34" s="203"/>
      <c r="Y34" s="10" t="s">
        <v>25</v>
      </c>
      <c r="Z34" s="11">
        <v>1</v>
      </c>
      <c r="AA34" s="10" t="s">
        <v>602</v>
      </c>
      <c r="AB34" s="12" t="s">
        <v>77</v>
      </c>
      <c r="AC34" s="149"/>
      <c r="AD34" s="50"/>
      <c r="AE34" s="95"/>
      <c r="AF34" s="32" t="s">
        <v>554</v>
      </c>
      <c r="AH34" s="10" t="s">
        <v>25</v>
      </c>
      <c r="AI34" s="11">
        <v>1</v>
      </c>
      <c r="AJ34" s="10" t="s">
        <v>619</v>
      </c>
      <c r="AK34" s="12" t="s">
        <v>77</v>
      </c>
      <c r="AL34" s="149">
        <f>AI34*225</f>
        <v>225</v>
      </c>
      <c r="AM34" s="50"/>
      <c r="AN34" s="95">
        <v>45475</v>
      </c>
      <c r="AO34" s="32" t="s">
        <v>554</v>
      </c>
      <c r="AX34" s="10" t="s">
        <v>25</v>
      </c>
      <c r="AY34" s="11">
        <v>1</v>
      </c>
      <c r="AZ34" s="10" t="s">
        <v>602</v>
      </c>
      <c r="BA34" s="12" t="s">
        <v>27</v>
      </c>
      <c r="BB34" s="149">
        <f>AY34*695</f>
        <v>695</v>
      </c>
      <c r="BC34" s="26"/>
      <c r="BD34" s="95">
        <v>45376</v>
      </c>
      <c r="BE34" s="23" t="s">
        <v>336</v>
      </c>
      <c r="BG34" s="10" t="s">
        <v>25</v>
      </c>
      <c r="BH34" s="11">
        <v>1</v>
      </c>
      <c r="BI34" s="10" t="s">
        <v>619</v>
      </c>
      <c r="BJ34" s="12" t="s">
        <v>27</v>
      </c>
      <c r="BK34" s="149">
        <f>BH34*920</f>
        <v>920</v>
      </c>
      <c r="BL34" s="26"/>
      <c r="BM34" s="95">
        <v>45457</v>
      </c>
      <c r="BN34" s="23" t="s">
        <v>336</v>
      </c>
      <c r="BX34" s="10" t="s">
        <v>25</v>
      </c>
      <c r="BY34" s="11">
        <v>1</v>
      </c>
      <c r="BZ34" s="10" t="s">
        <v>602</v>
      </c>
      <c r="CA34" s="12" t="s">
        <v>74</v>
      </c>
      <c r="CB34" s="149"/>
      <c r="CC34" s="93"/>
      <c r="CD34" s="95"/>
      <c r="CE34" s="32" t="s">
        <v>284</v>
      </c>
      <c r="CG34" s="10" t="s">
        <v>25</v>
      </c>
      <c r="CH34" s="11">
        <v>1</v>
      </c>
      <c r="CI34" s="10" t="s">
        <v>619</v>
      </c>
      <c r="CJ34" s="12" t="s">
        <v>74</v>
      </c>
      <c r="CK34" s="149"/>
      <c r="CL34" s="93"/>
      <c r="CM34" s="95"/>
      <c r="CN34" s="32" t="s">
        <v>284</v>
      </c>
      <c r="EB34" s="1" t="s">
        <v>918</v>
      </c>
      <c r="EC34" s="279">
        <v>5</v>
      </c>
      <c r="ED34" s="160">
        <v>7</v>
      </c>
      <c r="EE34" s="160">
        <v>9</v>
      </c>
      <c r="EF34" s="280">
        <v>11</v>
      </c>
      <c r="EG34" s="279">
        <v>10</v>
      </c>
      <c r="EH34" s="160">
        <v>12</v>
      </c>
      <c r="EI34" s="160">
        <v>14</v>
      </c>
      <c r="EJ34" s="280">
        <v>16</v>
      </c>
      <c r="EK34" s="279">
        <v>14</v>
      </c>
      <c r="EL34" s="160">
        <v>15</v>
      </c>
      <c r="EM34" s="280">
        <v>16</v>
      </c>
      <c r="EN34" s="279">
        <v>14</v>
      </c>
      <c r="EO34" s="160">
        <v>14</v>
      </c>
      <c r="EP34" s="280">
        <v>17</v>
      </c>
      <c r="ES34" s="279" t="s">
        <v>916</v>
      </c>
      <c r="ET34" s="160"/>
      <c r="EU34" s="160"/>
      <c r="EV34" s="305">
        <f t="shared" si="25"/>
        <v>0</v>
      </c>
      <c r="EW34" s="160"/>
      <c r="EX34" s="306" t="str">
        <f>IF(ET34=0,"0",IF(ET34=1,"14","28"))</f>
        <v>0</v>
      </c>
      <c r="EY34" s="309">
        <f>4</f>
        <v>4</v>
      </c>
      <c r="FG34" s="1" t="s">
        <v>954</v>
      </c>
      <c r="FH34" s="1">
        <v>1</v>
      </c>
      <c r="FI34" s="166" t="s">
        <v>467</v>
      </c>
      <c r="FJ34" s="166" t="s">
        <v>889</v>
      </c>
      <c r="FK34" s="166" t="s">
        <v>889</v>
      </c>
      <c r="FL34" s="166"/>
      <c r="FM34" s="1" t="s">
        <v>889</v>
      </c>
      <c r="FN34" s="1" t="s">
        <v>889</v>
      </c>
      <c r="FO34" s="301">
        <f t="shared" si="26"/>
        <v>34</v>
      </c>
      <c r="FP34" s="1"/>
      <c r="FQ34" s="302" t="str">
        <f>IF(FI34=0,"0",IF(FI34="5/16","16",IF(FI34="3/8","18",IF(FI34="1/2","25",IF(FI34="5/8","30",IF(FI34="3/4","32","16"))))))</f>
        <v>18</v>
      </c>
      <c r="FR34" s="302" t="str">
        <f>IF(FJ34="Yes","5","0")</f>
        <v>5</v>
      </c>
      <c r="FS34" s="302" t="str">
        <f>IF(FK34="Yes","5","0")</f>
        <v>5</v>
      </c>
      <c r="FT34" s="302" t="str">
        <f t="shared" si="28"/>
        <v>2</v>
      </c>
      <c r="FU34" s="302" t="str">
        <f t="shared" si="29"/>
        <v>4</v>
      </c>
      <c r="FV34" s="324" t="str">
        <f t="shared" si="30"/>
        <v>18</v>
      </c>
      <c r="FW34" s="323" t="s">
        <v>954</v>
      </c>
      <c r="FX34" s="1"/>
      <c r="FY34" s="1" t="s">
        <v>968</v>
      </c>
      <c r="FZ34" s="1"/>
      <c r="GA34" s="1">
        <f t="shared" si="31"/>
        <v>19.8</v>
      </c>
      <c r="GB34" s="1"/>
      <c r="GD34" s="1"/>
    </row>
    <row r="35" spans="1:205" ht="15.75" thickBot="1" x14ac:dyDescent="0.3">
      <c r="A35" s="203"/>
      <c r="B35" s="203"/>
      <c r="C35" s="203"/>
      <c r="D35" s="203"/>
      <c r="E35" s="203"/>
      <c r="F35" s="203"/>
      <c r="G35" s="203"/>
      <c r="H35" s="203"/>
      <c r="I35" s="203"/>
      <c r="J35" s="203"/>
      <c r="K35" s="203"/>
      <c r="L35" s="203"/>
      <c r="M35" s="203"/>
      <c r="N35" s="203"/>
      <c r="O35" s="203"/>
      <c r="P35" s="203"/>
      <c r="Q35" s="203"/>
      <c r="R35" s="203"/>
      <c r="S35" s="203"/>
      <c r="T35" s="203"/>
      <c r="Y35" s="10" t="s">
        <v>25</v>
      </c>
      <c r="Z35" s="11">
        <v>1</v>
      </c>
      <c r="AA35" s="10" t="s">
        <v>603</v>
      </c>
      <c r="AB35" s="12" t="s">
        <v>77</v>
      </c>
      <c r="AC35" s="92"/>
      <c r="AD35" s="50"/>
      <c r="AE35" s="95"/>
      <c r="AF35" s="32" t="s">
        <v>554</v>
      </c>
      <c r="AH35" s="10" t="s">
        <v>25</v>
      </c>
      <c r="AI35" s="11">
        <v>1</v>
      </c>
      <c r="AJ35" s="10" t="s">
        <v>620</v>
      </c>
      <c r="AK35" s="12" t="s">
        <v>77</v>
      </c>
      <c r="AL35" s="92">
        <f>AI35*400</f>
        <v>400</v>
      </c>
      <c r="AM35" s="50"/>
      <c r="AN35" s="95">
        <v>45413</v>
      </c>
      <c r="AO35" s="32" t="s">
        <v>554</v>
      </c>
      <c r="AX35" s="10" t="s">
        <v>25</v>
      </c>
      <c r="AY35" s="11">
        <v>1</v>
      </c>
      <c r="AZ35" s="10" t="s">
        <v>603</v>
      </c>
      <c r="BA35" s="12" t="s">
        <v>27</v>
      </c>
      <c r="BB35" s="92"/>
      <c r="BC35" s="26"/>
      <c r="BD35" s="95"/>
      <c r="BE35" s="23" t="s">
        <v>336</v>
      </c>
      <c r="BG35" s="10" t="s">
        <v>25</v>
      </c>
      <c r="BH35" s="11">
        <v>1</v>
      </c>
      <c r="BI35" s="10" t="s">
        <v>620</v>
      </c>
      <c r="BJ35" s="12" t="s">
        <v>27</v>
      </c>
      <c r="BK35" s="92"/>
      <c r="BL35" s="26"/>
      <c r="BM35" s="95"/>
      <c r="BN35" s="23" t="s">
        <v>336</v>
      </c>
      <c r="BX35" s="10" t="s">
        <v>25</v>
      </c>
      <c r="BY35" s="11">
        <v>1</v>
      </c>
      <c r="BZ35" s="10" t="s">
        <v>603</v>
      </c>
      <c r="CA35" s="12" t="s">
        <v>74</v>
      </c>
      <c r="CB35" s="92"/>
      <c r="CC35" s="93"/>
      <c r="CD35" s="95"/>
      <c r="CE35" s="32" t="s">
        <v>284</v>
      </c>
      <c r="CG35" s="10" t="s">
        <v>25</v>
      </c>
      <c r="CH35" s="11">
        <v>1</v>
      </c>
      <c r="CI35" s="10" t="s">
        <v>620</v>
      </c>
      <c r="CJ35" s="12" t="s">
        <v>74</v>
      </c>
      <c r="CK35" s="92"/>
      <c r="CL35" s="93"/>
      <c r="CM35" s="95"/>
      <c r="CN35" s="32" t="s">
        <v>284</v>
      </c>
      <c r="EB35" s="1" t="s">
        <v>919</v>
      </c>
      <c r="EC35" s="283">
        <v>5</v>
      </c>
      <c r="ED35" s="284">
        <v>7</v>
      </c>
      <c r="EE35" s="284">
        <v>9</v>
      </c>
      <c r="EF35" s="285">
        <v>11</v>
      </c>
      <c r="EG35" s="283">
        <v>12</v>
      </c>
      <c r="EH35" s="284">
        <v>14</v>
      </c>
      <c r="EI35" s="284">
        <v>16</v>
      </c>
      <c r="EJ35" s="285">
        <v>18</v>
      </c>
      <c r="EK35" s="283">
        <v>15</v>
      </c>
      <c r="EL35" s="284">
        <v>16</v>
      </c>
      <c r="EM35" s="285">
        <v>17</v>
      </c>
      <c r="EN35" s="283">
        <v>14</v>
      </c>
      <c r="EO35" s="284">
        <v>14</v>
      </c>
      <c r="EP35" s="285">
        <v>17</v>
      </c>
      <c r="ES35" s="283" t="s">
        <v>917</v>
      </c>
      <c r="ET35" s="284"/>
      <c r="EU35" s="284"/>
      <c r="EV35" s="310">
        <f t="shared" si="25"/>
        <v>0</v>
      </c>
      <c r="EW35" s="284"/>
      <c r="EX35" s="311" t="str">
        <f>IF(ET35=0,"0",IF(ET35=1,"15","30"))</f>
        <v>0</v>
      </c>
      <c r="EY35" s="312">
        <f>4</f>
        <v>4</v>
      </c>
      <c r="FG35" s="1" t="s">
        <v>955</v>
      </c>
      <c r="FH35" s="1">
        <v>1</v>
      </c>
      <c r="FI35" s="166" t="s">
        <v>467</v>
      </c>
      <c r="FJ35" s="166" t="s">
        <v>889</v>
      </c>
      <c r="FK35" s="166" t="s">
        <v>889</v>
      </c>
      <c r="FL35" s="166"/>
      <c r="FM35" s="1" t="s">
        <v>889</v>
      </c>
      <c r="FN35" s="1" t="s">
        <v>889</v>
      </c>
      <c r="FO35" s="301">
        <f t="shared" si="26"/>
        <v>36</v>
      </c>
      <c r="FP35" s="1"/>
      <c r="FQ35" s="302" t="str">
        <f>IF(FI35=0,"0",IF(FI35="5/16","18",IF(FI35="3/8","20",IF(FI35="1/2","26",IF(FI35="5/8","32",IF(FI35="3/4","34","18"))))))</f>
        <v>20</v>
      </c>
      <c r="FR35" s="302" t="str">
        <f>IF(FJ35="Yes","5","0")</f>
        <v>5</v>
      </c>
      <c r="FS35" s="302" t="str">
        <f>IF(FK35="Yes","5","0")</f>
        <v>5</v>
      </c>
      <c r="FT35" s="302" t="str">
        <f t="shared" si="28"/>
        <v>2</v>
      </c>
      <c r="FU35" s="302" t="str">
        <f t="shared" si="29"/>
        <v>4</v>
      </c>
      <c r="FV35" s="324" t="str">
        <f t="shared" si="30"/>
        <v>20</v>
      </c>
      <c r="FW35" s="323" t="s">
        <v>955</v>
      </c>
      <c r="FX35" s="1"/>
      <c r="FY35" s="1" t="s">
        <v>974</v>
      </c>
      <c r="FZ35" s="1"/>
      <c r="GA35" s="1">
        <f t="shared" si="31"/>
        <v>22</v>
      </c>
      <c r="GB35" s="1"/>
      <c r="GD35" s="1"/>
    </row>
    <row r="36" spans="1:205" ht="15.75" thickBot="1" x14ac:dyDescent="0.3">
      <c r="A36" s="203"/>
      <c r="B36" s="203"/>
      <c r="C36" s="203"/>
      <c r="D36" s="203"/>
      <c r="E36" s="203"/>
      <c r="F36" s="203"/>
      <c r="G36" s="203"/>
      <c r="H36" s="203"/>
      <c r="I36" s="203"/>
      <c r="J36" s="203"/>
      <c r="K36" s="203"/>
      <c r="L36" s="203"/>
      <c r="M36" s="203"/>
      <c r="N36" s="203"/>
      <c r="O36" s="203"/>
      <c r="P36" s="203"/>
      <c r="Q36" s="203"/>
      <c r="R36" s="203"/>
      <c r="S36" s="203"/>
      <c r="T36" s="203"/>
      <c r="Y36" s="10" t="s">
        <v>25</v>
      </c>
      <c r="Z36" s="11">
        <v>1</v>
      </c>
      <c r="AA36" s="10" t="s">
        <v>604</v>
      </c>
      <c r="AB36" s="12" t="s">
        <v>77</v>
      </c>
      <c r="AC36" s="92"/>
      <c r="AD36" s="50"/>
      <c r="AE36" s="95"/>
      <c r="AF36" s="32" t="s">
        <v>554</v>
      </c>
      <c r="AH36" s="10" t="s">
        <v>25</v>
      </c>
      <c r="AI36" s="11">
        <v>1</v>
      </c>
      <c r="AJ36" s="10" t="s">
        <v>621</v>
      </c>
      <c r="AK36" s="12" t="s">
        <v>77</v>
      </c>
      <c r="AL36" s="92">
        <f>AI36*425</f>
        <v>425</v>
      </c>
      <c r="AM36" s="50"/>
      <c r="AN36" s="95">
        <v>45475</v>
      </c>
      <c r="AO36" s="32" t="s">
        <v>554</v>
      </c>
      <c r="AX36" s="10" t="s">
        <v>25</v>
      </c>
      <c r="AY36" s="11">
        <v>1</v>
      </c>
      <c r="AZ36" s="10" t="s">
        <v>604</v>
      </c>
      <c r="BA36" s="12" t="s">
        <v>27</v>
      </c>
      <c r="BB36" s="92"/>
      <c r="BC36" s="26"/>
      <c r="BD36" s="95"/>
      <c r="BE36" s="23" t="s">
        <v>336</v>
      </c>
      <c r="BG36" s="10" t="s">
        <v>25</v>
      </c>
      <c r="BH36" s="11">
        <v>1</v>
      </c>
      <c r="BI36" s="10" t="s">
        <v>621</v>
      </c>
      <c r="BJ36" s="12" t="s">
        <v>27</v>
      </c>
      <c r="BK36" s="92"/>
      <c r="BL36" s="26"/>
      <c r="BM36" s="95"/>
      <c r="BN36" s="23" t="s">
        <v>336</v>
      </c>
      <c r="BX36" s="10" t="s">
        <v>25</v>
      </c>
      <c r="BY36" s="11">
        <v>1</v>
      </c>
      <c r="BZ36" s="10" t="s">
        <v>604</v>
      </c>
      <c r="CA36" s="12" t="s">
        <v>74</v>
      </c>
      <c r="CB36" s="92"/>
      <c r="CC36" s="93"/>
      <c r="CD36" s="95"/>
      <c r="CE36" s="32" t="s">
        <v>284</v>
      </c>
      <c r="CG36" s="10" t="s">
        <v>25</v>
      </c>
      <c r="CH36" s="11">
        <v>1</v>
      </c>
      <c r="CI36" s="10" t="s">
        <v>621</v>
      </c>
      <c r="CJ36" s="12" t="s">
        <v>74</v>
      </c>
      <c r="CK36" s="92">
        <f>CH36*1840</f>
        <v>1840</v>
      </c>
      <c r="CL36" s="93"/>
      <c r="CM36" s="95">
        <v>45457</v>
      </c>
      <c r="CN36" s="32" t="s">
        <v>284</v>
      </c>
      <c r="FG36" s="1" t="s">
        <v>956</v>
      </c>
      <c r="FH36" s="1">
        <v>1</v>
      </c>
      <c r="FI36" s="166" t="s">
        <v>467</v>
      </c>
      <c r="FJ36" s="166" t="s">
        <v>889</v>
      </c>
      <c r="FK36" s="166" t="s">
        <v>889</v>
      </c>
      <c r="FL36" s="166"/>
      <c r="FM36" s="1" t="s">
        <v>889</v>
      </c>
      <c r="FN36" s="1" t="s">
        <v>889</v>
      </c>
      <c r="FO36" s="301">
        <f t="shared" si="26"/>
        <v>42</v>
      </c>
      <c r="FP36" s="1"/>
      <c r="FQ36" s="302" t="str">
        <f>IF(FI36=0,"0",IF(FI36="5/16","22",IF(FI36="3/8","24",IF(FI36="1/2","32",IF(FI36="5/8","36",IF(FI36="3/4","38","22"))))))</f>
        <v>24</v>
      </c>
      <c r="FR36" s="302" t="str">
        <f>IF(FJ36="Yes","6","0")</f>
        <v>6</v>
      </c>
      <c r="FS36" s="302" t="str">
        <f>IF(FK36="Yes","6","0")</f>
        <v>6</v>
      </c>
      <c r="FT36" s="302" t="str">
        <f t="shared" si="28"/>
        <v>2</v>
      </c>
      <c r="FU36" s="302" t="str">
        <f t="shared" si="29"/>
        <v>4</v>
      </c>
      <c r="FV36" s="324" t="str">
        <f t="shared" si="30"/>
        <v>24</v>
      </c>
      <c r="FW36" s="323" t="s">
        <v>956</v>
      </c>
      <c r="FX36" s="1"/>
      <c r="FY36" s="1" t="s">
        <v>975</v>
      </c>
      <c r="FZ36" s="1"/>
      <c r="GA36" s="1">
        <f t="shared" si="31"/>
        <v>26.400000000000002</v>
      </c>
      <c r="GB36" s="1"/>
      <c r="GD36" s="1"/>
    </row>
    <row r="37" spans="1:205" x14ac:dyDescent="0.25">
      <c r="A37" s="203"/>
      <c r="B37" s="203"/>
      <c r="C37" s="203"/>
      <c r="D37" s="203"/>
      <c r="E37" s="203"/>
      <c r="F37" s="203"/>
      <c r="G37" s="203"/>
      <c r="H37" s="203"/>
      <c r="I37" s="203"/>
      <c r="J37" s="203"/>
      <c r="K37" s="203"/>
      <c r="L37" s="203"/>
      <c r="M37" s="203"/>
      <c r="N37" s="203"/>
      <c r="O37" s="203"/>
      <c r="P37" s="203"/>
      <c r="Q37" s="203"/>
      <c r="R37" s="203"/>
      <c r="S37" s="203"/>
      <c r="T37" s="203"/>
      <c r="Y37" s="10" t="s">
        <v>25</v>
      </c>
      <c r="Z37" s="11">
        <v>1</v>
      </c>
      <c r="AA37" s="10" t="s">
        <v>605</v>
      </c>
      <c r="AB37" s="12" t="s">
        <v>77</v>
      </c>
      <c r="AC37" s="92"/>
      <c r="AD37" s="50"/>
      <c r="AE37" s="95"/>
      <c r="AF37" s="32" t="s">
        <v>554</v>
      </c>
      <c r="AH37" s="10" t="s">
        <v>25</v>
      </c>
      <c r="AI37" s="11">
        <v>1</v>
      </c>
      <c r="AJ37" s="10" t="s">
        <v>622</v>
      </c>
      <c r="AK37" s="12" t="s">
        <v>77</v>
      </c>
      <c r="AL37" s="92">
        <f>AI37*550</f>
        <v>550</v>
      </c>
      <c r="AM37" s="50"/>
      <c r="AN37" s="95">
        <v>45475</v>
      </c>
      <c r="AO37" s="32" t="s">
        <v>554</v>
      </c>
      <c r="AX37" s="10" t="s">
        <v>25</v>
      </c>
      <c r="AY37" s="11">
        <v>1</v>
      </c>
      <c r="AZ37" s="10" t="s">
        <v>605</v>
      </c>
      <c r="BA37" s="12" t="s">
        <v>27</v>
      </c>
      <c r="BB37" s="92"/>
      <c r="BC37" s="26"/>
      <c r="BD37" s="95"/>
      <c r="BE37" s="23" t="s">
        <v>336</v>
      </c>
      <c r="BG37" s="10" t="s">
        <v>25</v>
      </c>
      <c r="BH37" s="11">
        <v>1</v>
      </c>
      <c r="BI37" s="10" t="s">
        <v>622</v>
      </c>
      <c r="BJ37" s="12" t="s">
        <v>27</v>
      </c>
      <c r="BK37" s="92">
        <f>BH37*1840</f>
        <v>1840</v>
      </c>
      <c r="BL37" s="26"/>
      <c r="BM37" s="95">
        <v>45457</v>
      </c>
      <c r="BN37" s="23" t="s">
        <v>336</v>
      </c>
      <c r="BX37" s="10" t="s">
        <v>25</v>
      </c>
      <c r="BY37" s="11">
        <v>1</v>
      </c>
      <c r="BZ37" s="10" t="s">
        <v>605</v>
      </c>
      <c r="CA37" s="12" t="s">
        <v>74</v>
      </c>
      <c r="CB37" s="92"/>
      <c r="CC37" s="93"/>
      <c r="CD37" s="95"/>
      <c r="CE37" s="32" t="s">
        <v>284</v>
      </c>
      <c r="CG37" s="10" t="s">
        <v>25</v>
      </c>
      <c r="CH37" s="11">
        <v>1</v>
      </c>
      <c r="CI37" s="10" t="s">
        <v>622</v>
      </c>
      <c r="CJ37" s="12" t="s">
        <v>74</v>
      </c>
      <c r="CK37" s="92">
        <f>CH37*2295</f>
        <v>2295</v>
      </c>
      <c r="CL37" s="93"/>
      <c r="CM37" s="95">
        <v>45457</v>
      </c>
      <c r="CN37" s="32" t="s">
        <v>284</v>
      </c>
      <c r="FG37" s="1"/>
      <c r="FH37" s="1"/>
      <c r="FI37" s="1"/>
      <c r="FJ37" s="1"/>
      <c r="FK37" s="1"/>
      <c r="FL37" s="1"/>
      <c r="FM37" s="1"/>
      <c r="FN37" s="1"/>
      <c r="FO37" s="1"/>
      <c r="FP37" s="1"/>
      <c r="FQ37" s="1"/>
      <c r="FR37" s="1"/>
      <c r="FS37" s="1"/>
      <c r="FT37" s="302"/>
      <c r="FU37" s="302"/>
      <c r="FV37" s="302"/>
      <c r="GD37" s="1"/>
    </row>
    <row r="38" spans="1:205" x14ac:dyDescent="0.25">
      <c r="A38" s="203"/>
      <c r="B38" s="203"/>
      <c r="C38" s="203"/>
      <c r="D38" s="203"/>
      <c r="E38" s="203"/>
      <c r="F38" s="203"/>
      <c r="G38" s="203"/>
      <c r="H38" s="203"/>
      <c r="I38" s="203"/>
      <c r="J38" s="203"/>
      <c r="K38" s="203"/>
      <c r="L38" s="203"/>
      <c r="M38" s="203"/>
      <c r="N38" s="203"/>
      <c r="O38" s="203"/>
      <c r="P38" s="203"/>
      <c r="Q38" s="203"/>
      <c r="R38" s="203"/>
      <c r="S38" s="203"/>
      <c r="T38" s="203"/>
      <c r="Y38" s="10" t="s">
        <v>25</v>
      </c>
      <c r="Z38" s="11">
        <v>1</v>
      </c>
      <c r="AA38" s="10" t="s">
        <v>606</v>
      </c>
      <c r="AB38" s="12" t="s">
        <v>77</v>
      </c>
      <c r="AC38" s="92"/>
      <c r="AD38" s="26"/>
      <c r="AE38" s="95"/>
      <c r="AF38" s="32" t="s">
        <v>554</v>
      </c>
      <c r="AH38" s="10" t="s">
        <v>25</v>
      </c>
      <c r="AI38" s="11">
        <v>1</v>
      </c>
      <c r="AJ38" s="10" t="s">
        <v>623</v>
      </c>
      <c r="AK38" s="12" t="s">
        <v>77</v>
      </c>
      <c r="AL38" s="92"/>
      <c r="AM38" s="26"/>
      <c r="AN38" s="95"/>
      <c r="AO38" s="32" t="s">
        <v>554</v>
      </c>
      <c r="AX38" s="10" t="s">
        <v>25</v>
      </c>
      <c r="AY38" s="11">
        <v>1</v>
      </c>
      <c r="AZ38" s="10" t="s">
        <v>606</v>
      </c>
      <c r="BA38" s="12" t="s">
        <v>27</v>
      </c>
      <c r="BB38" s="92"/>
      <c r="BC38" s="26"/>
      <c r="BD38" s="95"/>
      <c r="BE38" s="23"/>
      <c r="BG38" s="10" t="s">
        <v>25</v>
      </c>
      <c r="BH38" s="11">
        <v>1</v>
      </c>
      <c r="BI38" s="10" t="s">
        <v>623</v>
      </c>
      <c r="BJ38" s="12" t="s">
        <v>27</v>
      </c>
      <c r="BK38" s="92"/>
      <c r="BL38" s="26"/>
      <c r="BM38" s="95"/>
      <c r="BN38" s="23"/>
      <c r="BX38" s="10" t="s">
        <v>25</v>
      </c>
      <c r="BY38" s="11">
        <v>1</v>
      </c>
      <c r="BZ38" s="10" t="s">
        <v>606</v>
      </c>
      <c r="CA38" s="12" t="s">
        <v>74</v>
      </c>
      <c r="CB38" s="110">
        <f>BY38*7300</f>
        <v>7300</v>
      </c>
      <c r="CC38" s="26"/>
      <c r="CD38" s="95">
        <v>45779</v>
      </c>
      <c r="CE38" s="32" t="s">
        <v>284</v>
      </c>
      <c r="CG38" s="10" t="s">
        <v>25</v>
      </c>
      <c r="CH38" s="11">
        <v>1</v>
      </c>
      <c r="CI38" s="10" t="s">
        <v>623</v>
      </c>
      <c r="CJ38" s="12" t="s">
        <v>74</v>
      </c>
      <c r="CK38" s="92"/>
      <c r="CL38" s="26"/>
      <c r="CM38" s="95"/>
      <c r="CN38" s="32" t="s">
        <v>284</v>
      </c>
      <c r="FG38" s="1"/>
      <c r="FH38" s="1"/>
      <c r="FI38" s="1"/>
      <c r="FJ38" s="1"/>
      <c r="FK38" s="1"/>
      <c r="FL38" s="1"/>
      <c r="FM38" s="1"/>
      <c r="FN38" s="159" t="s">
        <v>957</v>
      </c>
      <c r="FO38" s="321">
        <f>SUM(FO23:FO36)</f>
        <v>341.9</v>
      </c>
      <c r="FP38" s="1"/>
      <c r="FQ38" s="1"/>
      <c r="FR38" s="1"/>
      <c r="FS38" s="1"/>
      <c r="FT38" s="302"/>
      <c r="FU38" s="302"/>
      <c r="FV38" s="302"/>
      <c r="GD38" s="1"/>
    </row>
    <row r="39" spans="1:205" ht="15" customHeight="1" x14ac:dyDescent="1.35">
      <c r="A39" s="203"/>
      <c r="B39" s="203"/>
      <c r="C39" s="203"/>
      <c r="D39" s="203"/>
      <c r="E39" s="203"/>
      <c r="F39" s="203"/>
      <c r="G39" s="203"/>
      <c r="H39" s="203"/>
      <c r="I39" s="203"/>
      <c r="J39" s="203"/>
      <c r="K39" s="203"/>
      <c r="L39" s="203"/>
      <c r="M39" s="203"/>
      <c r="N39" s="203"/>
      <c r="O39" s="203"/>
      <c r="P39" s="203"/>
      <c r="Q39" s="203"/>
      <c r="R39" s="203"/>
      <c r="S39" s="203"/>
      <c r="T39" s="203"/>
      <c r="Y39" s="204"/>
      <c r="Z39" s="204"/>
      <c r="AA39" s="204"/>
      <c r="AB39" s="204"/>
      <c r="AC39" s="204"/>
      <c r="AD39" s="204"/>
      <c r="AE39" s="204"/>
      <c r="AF39" s="204"/>
      <c r="AG39" s="204"/>
      <c r="AH39" s="204"/>
      <c r="AI39" s="204"/>
      <c r="AJ39" s="204"/>
      <c r="AK39" s="204"/>
      <c r="AL39" s="204"/>
      <c r="AM39" s="204"/>
      <c r="AN39" s="204"/>
      <c r="AO39" s="204"/>
      <c r="AP39" s="204"/>
      <c r="AQ39" s="204"/>
      <c r="AR39" s="204"/>
      <c r="AX39" s="204"/>
      <c r="AY39" s="204"/>
      <c r="AZ39" s="204"/>
      <c r="BA39" s="204"/>
      <c r="BB39" s="204"/>
      <c r="BC39" s="204"/>
      <c r="BD39" s="204"/>
      <c r="BE39" s="204"/>
      <c r="BF39" s="204"/>
      <c r="BG39" s="204"/>
      <c r="BH39" s="204"/>
      <c r="BI39" s="204"/>
      <c r="BJ39" s="204"/>
      <c r="BK39" s="204"/>
      <c r="BL39" s="204"/>
      <c r="BM39" s="204"/>
      <c r="BN39" s="204"/>
      <c r="BO39" s="204"/>
      <c r="BP39" s="204"/>
      <c r="BQ39" s="204"/>
      <c r="BX39" s="204"/>
      <c r="BY39" s="204"/>
      <c r="BZ39" s="204"/>
      <c r="CA39" s="204"/>
      <c r="CB39" s="204"/>
      <c r="CC39" s="204"/>
      <c r="CD39" s="204"/>
      <c r="CE39" s="204"/>
      <c r="CF39" s="204"/>
      <c r="CG39" s="204"/>
      <c r="CH39" s="204"/>
      <c r="CI39" s="204"/>
      <c r="CJ39" s="204"/>
      <c r="CK39" s="204"/>
      <c r="CL39" s="204"/>
      <c r="CM39" s="204"/>
      <c r="CN39" s="204"/>
      <c r="CO39" s="204"/>
      <c r="CP39" s="204"/>
      <c r="CQ39" s="204"/>
    </row>
    <row r="40" spans="1:205" ht="15" customHeight="1" x14ac:dyDescent="1.35">
      <c r="A40" s="203"/>
      <c r="B40" s="203"/>
      <c r="C40" s="203"/>
      <c r="D40" s="203"/>
      <c r="E40" s="203"/>
      <c r="F40" s="203"/>
      <c r="G40" s="203"/>
      <c r="H40" s="203"/>
      <c r="I40" s="203"/>
      <c r="J40" s="203"/>
      <c r="K40" s="203"/>
      <c r="L40" s="203"/>
      <c r="M40" s="203"/>
      <c r="N40" s="203"/>
      <c r="O40" s="203"/>
      <c r="P40" s="203"/>
      <c r="Q40" s="203"/>
      <c r="R40" s="203"/>
      <c r="S40" s="203"/>
      <c r="T40" s="203"/>
      <c r="Y40" s="204"/>
      <c r="Z40" s="204"/>
      <c r="AA40" s="204"/>
      <c r="AB40" s="204"/>
      <c r="AC40" s="204"/>
      <c r="AD40" s="204"/>
      <c r="AE40" s="204"/>
      <c r="AF40" s="204"/>
      <c r="AG40" s="204"/>
      <c r="AH40" s="204"/>
      <c r="AI40" s="204"/>
      <c r="AJ40" s="204"/>
      <c r="AK40" s="204"/>
      <c r="AL40" s="204"/>
      <c r="AM40" s="204"/>
      <c r="AN40" s="204"/>
      <c r="AO40" s="204"/>
      <c r="AP40" s="204"/>
      <c r="AQ40" s="204"/>
      <c r="AR40" s="204"/>
      <c r="AX40" s="204"/>
      <c r="AY40" s="204"/>
      <c r="AZ40" s="204"/>
      <c r="BA40" s="204"/>
      <c r="BB40" s="204"/>
      <c r="BC40" s="204"/>
      <c r="BD40" s="204"/>
      <c r="BE40" s="204"/>
      <c r="BF40" s="204"/>
      <c r="BG40" s="204"/>
      <c r="BH40" s="204"/>
      <c r="BI40" s="204"/>
      <c r="BJ40" s="204"/>
      <c r="BK40" s="204"/>
      <c r="BL40" s="204"/>
      <c r="BM40" s="204"/>
      <c r="BN40" s="204"/>
      <c r="BO40" s="204"/>
      <c r="BP40" s="204"/>
      <c r="BQ40" s="204"/>
      <c r="BX40" s="204"/>
      <c r="BY40" s="204"/>
      <c r="BZ40" s="204"/>
      <c r="CA40" s="204"/>
      <c r="CB40" s="204"/>
      <c r="CC40" s="204"/>
      <c r="CD40" s="204"/>
      <c r="CE40" s="204"/>
      <c r="CF40" s="204"/>
      <c r="CG40" s="204"/>
      <c r="CH40" s="204"/>
      <c r="CI40" s="204"/>
      <c r="CJ40" s="204"/>
      <c r="CK40" s="204"/>
      <c r="CL40" s="204"/>
      <c r="CM40" s="204"/>
      <c r="CN40" s="204"/>
      <c r="CO40" s="204"/>
      <c r="CP40" s="204"/>
      <c r="CQ40" s="204"/>
    </row>
    <row r="41" spans="1:205" ht="15" customHeight="1" x14ac:dyDescent="1.35">
      <c r="A41" s="203"/>
      <c r="B41" s="203"/>
      <c r="C41" s="203"/>
      <c r="D41" s="203"/>
      <c r="E41" s="203"/>
      <c r="F41" s="203"/>
      <c r="G41" s="203"/>
      <c r="H41" s="203"/>
      <c r="I41" s="203"/>
      <c r="J41" s="203"/>
      <c r="K41" s="203"/>
      <c r="L41" s="203"/>
      <c r="M41" s="203"/>
      <c r="N41" s="203"/>
      <c r="O41" s="203"/>
      <c r="P41" s="203"/>
      <c r="Q41" s="203"/>
      <c r="R41" s="203"/>
      <c r="S41" s="203"/>
      <c r="T41" s="203"/>
      <c r="Y41" s="204"/>
      <c r="Z41" s="204"/>
      <c r="AA41" s="204"/>
      <c r="AB41" s="204"/>
      <c r="AC41" s="204"/>
      <c r="AD41" s="204"/>
      <c r="AE41" s="204"/>
      <c r="AF41" s="204"/>
      <c r="AG41" s="204"/>
      <c r="AH41" s="204"/>
      <c r="AI41" s="204"/>
      <c r="AJ41" s="204"/>
      <c r="AK41" s="204"/>
      <c r="AL41" s="204"/>
      <c r="AM41" s="204"/>
      <c r="AN41" s="204"/>
      <c r="AO41" s="204"/>
      <c r="AP41" s="204"/>
      <c r="AQ41" s="204"/>
      <c r="AR41" s="204"/>
      <c r="AX41" s="204"/>
      <c r="AY41" s="204"/>
      <c r="AZ41" s="204"/>
      <c r="BA41" s="204"/>
      <c r="BB41" s="204"/>
      <c r="BC41" s="204"/>
      <c r="BD41" s="204"/>
      <c r="BE41" s="204"/>
      <c r="BF41" s="204"/>
      <c r="BG41" s="204"/>
      <c r="BH41" s="204"/>
      <c r="BI41" s="204"/>
      <c r="BJ41" s="204"/>
      <c r="BK41" s="204"/>
      <c r="BL41" s="204"/>
      <c r="BM41" s="204"/>
      <c r="BN41" s="204"/>
      <c r="BO41" s="204"/>
      <c r="BP41" s="204"/>
      <c r="BQ41" s="204"/>
      <c r="BX41" s="204"/>
      <c r="BY41" s="204"/>
      <c r="BZ41" s="204"/>
      <c r="CA41" s="204"/>
      <c r="CB41" s="204"/>
      <c r="CC41" s="204"/>
      <c r="CD41" s="204"/>
      <c r="CE41" s="204"/>
      <c r="CF41" s="204"/>
      <c r="CG41" s="204"/>
      <c r="CH41" s="204"/>
      <c r="CI41" s="204"/>
      <c r="CJ41" s="204"/>
      <c r="CK41" s="204"/>
      <c r="CL41" s="204"/>
      <c r="CM41" s="204"/>
      <c r="CN41" s="204"/>
      <c r="CO41" s="204"/>
      <c r="CP41" s="204"/>
      <c r="CQ41" s="204"/>
    </row>
    <row r="42" spans="1:205" ht="15" customHeight="1" x14ac:dyDescent="1.35">
      <c r="A42" s="203"/>
      <c r="B42" s="203"/>
      <c r="C42" s="203"/>
      <c r="D42" s="203"/>
      <c r="E42" s="203"/>
      <c r="F42" s="203"/>
      <c r="G42" s="203"/>
      <c r="H42" s="203"/>
      <c r="I42" s="203"/>
      <c r="J42" s="203"/>
      <c r="K42" s="203"/>
      <c r="L42" s="203"/>
      <c r="M42" s="203"/>
      <c r="N42" s="203"/>
      <c r="O42" s="203"/>
      <c r="P42" s="203"/>
      <c r="Q42" s="203"/>
      <c r="R42" s="203"/>
      <c r="S42" s="203"/>
      <c r="T42" s="203"/>
      <c r="Y42" s="204"/>
      <c r="Z42" s="204"/>
      <c r="AA42" s="204"/>
      <c r="AB42" s="204"/>
      <c r="AC42" s="204"/>
      <c r="AD42" s="204"/>
      <c r="AE42" s="204"/>
      <c r="AF42" s="204"/>
      <c r="AG42" s="204"/>
      <c r="AH42" s="204"/>
      <c r="AI42" s="204"/>
      <c r="AJ42" s="204"/>
      <c r="AK42" s="204"/>
      <c r="AL42" s="204"/>
      <c r="AM42" s="204"/>
      <c r="AN42" s="204"/>
      <c r="AO42" s="204"/>
      <c r="AP42" s="204"/>
      <c r="AQ42" s="204"/>
      <c r="AR42" s="204"/>
      <c r="AX42" s="204"/>
      <c r="AY42" s="204"/>
      <c r="AZ42" s="204"/>
      <c r="BA42" s="204"/>
      <c r="BB42" s="204"/>
      <c r="BC42" s="204"/>
      <c r="BD42" s="204"/>
      <c r="BE42" s="204"/>
      <c r="BF42" s="204"/>
      <c r="BG42" s="204"/>
      <c r="BH42" s="204"/>
      <c r="BI42" s="204"/>
      <c r="BJ42" s="204"/>
      <c r="BK42" s="204"/>
      <c r="BL42" s="204"/>
      <c r="BM42" s="204"/>
      <c r="BN42" s="204"/>
      <c r="BO42" s="204"/>
      <c r="BP42" s="204"/>
      <c r="BQ42" s="204"/>
      <c r="BX42" s="204"/>
      <c r="BY42" s="204"/>
      <c r="BZ42" s="204"/>
      <c r="CA42" s="204"/>
      <c r="CB42" s="204"/>
      <c r="CC42" s="204"/>
      <c r="CD42" s="204"/>
      <c r="CE42" s="204"/>
      <c r="CF42" s="204"/>
      <c r="CG42" s="204"/>
      <c r="CH42" s="204"/>
      <c r="CI42" s="204"/>
      <c r="CJ42" s="204"/>
      <c r="CK42" s="204"/>
      <c r="CL42" s="204"/>
      <c r="CM42" s="204"/>
      <c r="CN42" s="204"/>
      <c r="CO42" s="204"/>
      <c r="CP42" s="204"/>
      <c r="CQ42" s="204"/>
    </row>
    <row r="43" spans="1:205" ht="15" customHeight="1" thickBot="1" x14ac:dyDescent="1.4">
      <c r="A43" s="203"/>
      <c r="B43" s="203"/>
      <c r="C43" s="203"/>
      <c r="D43" s="203"/>
      <c r="E43" s="203"/>
      <c r="F43" s="203"/>
      <c r="G43" s="203"/>
      <c r="H43" s="203"/>
      <c r="I43" s="203"/>
      <c r="J43" s="203"/>
      <c r="K43" s="203"/>
      <c r="L43" s="203"/>
      <c r="M43" s="203"/>
      <c r="N43" s="203"/>
      <c r="O43" s="203"/>
      <c r="P43" s="203"/>
      <c r="Q43" s="203"/>
      <c r="R43" s="203"/>
      <c r="S43" s="203"/>
      <c r="T43" s="203"/>
      <c r="Y43" s="204"/>
      <c r="Z43" s="204"/>
      <c r="AA43" s="204"/>
      <c r="AB43" s="204"/>
      <c r="AC43" s="204"/>
      <c r="AD43" s="204"/>
      <c r="AE43" s="204"/>
      <c r="AF43" s="204"/>
      <c r="AG43" s="204"/>
      <c r="AH43" s="204"/>
      <c r="AI43" s="204"/>
      <c r="AJ43" s="204"/>
      <c r="AK43" s="204"/>
      <c r="AL43" s="204"/>
      <c r="AM43" s="204"/>
      <c r="AN43" s="204"/>
      <c r="AO43" s="204"/>
      <c r="AP43" s="204"/>
      <c r="AQ43" s="204"/>
      <c r="AR43" s="204"/>
      <c r="AX43" s="204"/>
      <c r="AY43" s="204"/>
      <c r="AZ43" s="204"/>
      <c r="BA43" s="204"/>
      <c r="BB43" s="204"/>
      <c r="BC43" s="204"/>
      <c r="BD43" s="204"/>
      <c r="BE43" s="204"/>
      <c r="BF43" s="204"/>
      <c r="BG43" s="204"/>
      <c r="BH43" s="204"/>
      <c r="BI43" s="204"/>
      <c r="BJ43" s="204"/>
      <c r="BK43" s="204"/>
      <c r="BL43" s="204"/>
      <c r="BM43" s="204"/>
      <c r="BN43" s="204"/>
      <c r="BO43" s="204"/>
      <c r="BP43" s="204"/>
      <c r="BQ43" s="204"/>
      <c r="BX43" s="204"/>
      <c r="BY43" s="204"/>
      <c r="BZ43" s="204"/>
      <c r="CA43" s="204"/>
      <c r="CB43" s="204"/>
      <c r="CC43" s="204"/>
      <c r="CD43" s="204"/>
      <c r="CE43" s="204"/>
      <c r="CF43" s="204"/>
      <c r="CG43" s="204"/>
      <c r="CH43" s="204"/>
      <c r="CI43" s="204"/>
      <c r="CJ43" s="204"/>
      <c r="CK43" s="204"/>
      <c r="CL43" s="204"/>
      <c r="CM43" s="204"/>
      <c r="CN43" s="204"/>
      <c r="CO43" s="204"/>
      <c r="CP43" s="204"/>
      <c r="CQ43" s="204"/>
    </row>
    <row r="44" spans="1:205" ht="45" customHeight="1" x14ac:dyDescent="0.55000000000000004">
      <c r="A44" s="203"/>
      <c r="B44" s="203"/>
      <c r="C44" s="203"/>
      <c r="D44" s="203"/>
      <c r="E44" s="203"/>
      <c r="F44" s="203"/>
      <c r="G44" s="203"/>
      <c r="H44" s="203"/>
      <c r="I44" s="203"/>
      <c r="J44" s="203"/>
      <c r="K44" s="203"/>
      <c r="L44" s="203"/>
      <c r="M44" s="203"/>
      <c r="N44" s="203"/>
      <c r="O44" s="203"/>
      <c r="P44" s="203"/>
      <c r="Q44" s="203"/>
      <c r="R44" s="203"/>
      <c r="S44" s="203"/>
      <c r="T44" s="203"/>
      <c r="CX44" s="548" t="s">
        <v>734</v>
      </c>
      <c r="CY44" s="550" t="s">
        <v>735</v>
      </c>
      <c r="CZ44" s="552" t="s">
        <v>1</v>
      </c>
      <c r="DA44" s="554" t="s">
        <v>736</v>
      </c>
      <c r="DB44" s="560" t="s">
        <v>737</v>
      </c>
      <c r="DC44" s="561"/>
      <c r="DD44" s="561"/>
      <c r="DE44" s="561"/>
      <c r="DF44" s="561"/>
      <c r="DG44" s="561"/>
      <c r="DH44" s="562" t="s">
        <v>738</v>
      </c>
      <c r="DI44" s="563"/>
      <c r="DJ44" s="563"/>
      <c r="DK44" s="563"/>
      <c r="DL44" s="564"/>
      <c r="DM44" s="266"/>
      <c r="DN44" s="562" t="s">
        <v>739</v>
      </c>
      <c r="DO44" s="563"/>
      <c r="DP44" s="563"/>
      <c r="DQ44" s="563"/>
      <c r="DR44" s="565"/>
      <c r="DS44" s="562" t="s">
        <v>740</v>
      </c>
      <c r="DT44" s="563"/>
      <c r="DU44" s="563"/>
      <c r="DV44" s="563"/>
      <c r="DW44" s="565"/>
      <c r="FG44" s="531" t="s">
        <v>157</v>
      </c>
      <c r="FH44" s="531"/>
      <c r="FI44" s="531"/>
      <c r="FJ44" s="531"/>
      <c r="FK44" s="531"/>
      <c r="FL44" s="531"/>
      <c r="FM44" s="531"/>
      <c r="FN44" s="531"/>
      <c r="FO44" s="531"/>
      <c r="FP44" s="531"/>
      <c r="FQ44" s="531"/>
      <c r="FR44" s="531"/>
      <c r="FS44" s="531"/>
      <c r="FT44" s="531"/>
      <c r="FU44" s="531"/>
      <c r="FV44" s="531"/>
      <c r="FW44" s="531"/>
      <c r="FX44" s="531"/>
      <c r="FY44" s="531"/>
      <c r="FZ44" s="531"/>
      <c r="GA44" s="531"/>
      <c r="GB44" s="531"/>
      <c r="GC44" s="531"/>
      <c r="GD44" s="531"/>
    </row>
    <row r="45" spans="1:205" ht="33" thickBot="1" x14ac:dyDescent="0.45">
      <c r="A45" s="203"/>
      <c r="B45" s="203"/>
      <c r="C45" s="203"/>
      <c r="D45" s="203"/>
      <c r="E45" s="203"/>
      <c r="F45" s="203"/>
      <c r="G45" s="203"/>
      <c r="H45" s="203"/>
      <c r="I45" s="203"/>
      <c r="J45" s="203"/>
      <c r="K45" s="203"/>
      <c r="L45" s="203"/>
      <c r="M45" s="203"/>
      <c r="N45" s="203"/>
      <c r="O45" s="203"/>
      <c r="P45" s="203"/>
      <c r="Q45" s="203"/>
      <c r="R45" s="203"/>
      <c r="S45" s="203"/>
      <c r="T45" s="203"/>
      <c r="Y45" s="577" t="s">
        <v>625</v>
      </c>
      <c r="Z45" s="436"/>
      <c r="AA45" s="436"/>
      <c r="AB45" s="436"/>
      <c r="AC45" s="436"/>
      <c r="AD45" s="436"/>
      <c r="AE45" s="436"/>
      <c r="AF45" s="436"/>
      <c r="AG45" s="436"/>
      <c r="AH45" s="436"/>
      <c r="AI45" s="436"/>
      <c r="AJ45" s="436"/>
      <c r="AK45" s="436"/>
      <c r="AL45" s="436"/>
      <c r="AM45" s="436"/>
      <c r="AN45" s="436"/>
      <c r="AO45" s="436"/>
      <c r="AX45" s="577" t="s">
        <v>701</v>
      </c>
      <c r="AY45" s="436"/>
      <c r="AZ45" s="436"/>
      <c r="BA45" s="436"/>
      <c r="BB45" s="436"/>
      <c r="BC45" s="436"/>
      <c r="BD45" s="436"/>
      <c r="BE45" s="436"/>
      <c r="BF45" s="436"/>
      <c r="BG45" s="436"/>
      <c r="BH45" s="436"/>
      <c r="BI45" s="436"/>
      <c r="BJ45" s="436"/>
      <c r="BK45" s="436"/>
      <c r="BL45" s="436"/>
      <c r="BM45" s="436"/>
      <c r="BN45" s="436"/>
      <c r="BX45" s="577" t="s">
        <v>723</v>
      </c>
      <c r="BY45" s="436"/>
      <c r="BZ45" s="436"/>
      <c r="CA45" s="436"/>
      <c r="CB45" s="436"/>
      <c r="CC45" s="436"/>
      <c r="CD45" s="436"/>
      <c r="CE45" s="436"/>
      <c r="CF45" s="436"/>
      <c r="CG45" s="436"/>
      <c r="CH45" s="436"/>
      <c r="CI45" s="436"/>
      <c r="CJ45" s="436"/>
      <c r="CK45" s="436"/>
      <c r="CL45" s="436"/>
      <c r="CM45" s="436"/>
      <c r="CN45" s="436"/>
      <c r="CX45" s="549"/>
      <c r="CY45" s="551"/>
      <c r="CZ45" s="553"/>
      <c r="DA45" s="555"/>
      <c r="DB45" s="267" t="s">
        <v>741</v>
      </c>
      <c r="DC45" s="268" t="s">
        <v>742</v>
      </c>
      <c r="DD45" s="268" t="s">
        <v>743</v>
      </c>
      <c r="DE45" s="269" t="s">
        <v>744</v>
      </c>
      <c r="DF45" s="270" t="s">
        <v>745</v>
      </c>
      <c r="DG45" s="384"/>
      <c r="DH45" s="269" t="s">
        <v>746</v>
      </c>
      <c r="DI45" s="269" t="s">
        <v>742</v>
      </c>
      <c r="DJ45" s="269" t="s">
        <v>743</v>
      </c>
      <c r="DK45" s="269" t="s">
        <v>744</v>
      </c>
      <c r="DL45" s="270" t="s">
        <v>745</v>
      </c>
      <c r="DM45" s="271"/>
      <c r="DN45" s="267" t="s">
        <v>746</v>
      </c>
      <c r="DO45" s="268" t="s">
        <v>742</v>
      </c>
      <c r="DP45" s="269" t="s">
        <v>743</v>
      </c>
      <c r="DQ45" s="269" t="s">
        <v>744</v>
      </c>
      <c r="DR45" s="270" t="s">
        <v>745</v>
      </c>
      <c r="DS45" s="269" t="s">
        <v>747</v>
      </c>
      <c r="DT45" s="269" t="s">
        <v>742</v>
      </c>
      <c r="DU45" s="269" t="s">
        <v>743</v>
      </c>
      <c r="DV45" s="269" t="s">
        <v>744</v>
      </c>
      <c r="DW45" s="270" t="s">
        <v>745</v>
      </c>
      <c r="FG45" s="299" t="s">
        <v>933</v>
      </c>
      <c r="FH45" s="299" t="s">
        <v>934</v>
      </c>
      <c r="FI45" s="299" t="s">
        <v>935</v>
      </c>
      <c r="FJ45" s="299" t="s">
        <v>936</v>
      </c>
      <c r="FK45" s="299" t="s">
        <v>937</v>
      </c>
      <c r="FL45" s="299" t="s">
        <v>938</v>
      </c>
      <c r="FM45" s="299" t="s">
        <v>939</v>
      </c>
      <c r="FN45" s="299" t="s">
        <v>940</v>
      </c>
      <c r="FO45" s="299" t="s">
        <v>941</v>
      </c>
      <c r="FP45" s="299"/>
      <c r="FQ45" s="300" t="s">
        <v>942</v>
      </c>
      <c r="FR45" s="300" t="s">
        <v>943</v>
      </c>
      <c r="FS45" s="300" t="s">
        <v>858</v>
      </c>
      <c r="FT45" s="300" t="s">
        <v>944</v>
      </c>
      <c r="FU45" s="300" t="s">
        <v>945</v>
      </c>
      <c r="FV45" s="322" t="s">
        <v>946</v>
      </c>
      <c r="FW45" s="299" t="s">
        <v>933</v>
      </c>
      <c r="FX45" s="299"/>
      <c r="FY45" s="421" t="s">
        <v>555</v>
      </c>
      <c r="FZ45" s="299"/>
      <c r="GA45" s="422" t="s">
        <v>1226</v>
      </c>
      <c r="GB45" s="299"/>
      <c r="GD45" s="319" t="s">
        <v>942</v>
      </c>
    </row>
    <row r="46" spans="1:205" ht="24" thickBot="1" x14ac:dyDescent="0.4">
      <c r="A46" s="567" t="s">
        <v>250</v>
      </c>
      <c r="B46" s="567"/>
      <c r="C46" s="567"/>
      <c r="D46" s="567"/>
      <c r="E46" s="567"/>
      <c r="F46" s="567"/>
      <c r="G46" s="75"/>
      <c r="H46" s="567" t="s">
        <v>250</v>
      </c>
      <c r="I46" s="567"/>
      <c r="J46" s="567"/>
      <c r="K46" s="567"/>
      <c r="L46" s="567"/>
      <c r="M46" s="567"/>
      <c r="N46" s="75"/>
      <c r="O46" s="567" t="s">
        <v>250</v>
      </c>
      <c r="P46" s="567"/>
      <c r="Q46" s="567"/>
      <c r="R46" s="567"/>
      <c r="S46" s="567"/>
      <c r="T46" s="567"/>
      <c r="Y46" s="578" t="s">
        <v>626</v>
      </c>
      <c r="Z46" s="578"/>
      <c r="AA46" s="578"/>
      <c r="AB46" s="578"/>
      <c r="AC46" s="578"/>
      <c r="AD46" s="578"/>
      <c r="AE46" s="578"/>
      <c r="AF46" s="578"/>
      <c r="AG46" s="78"/>
      <c r="AH46" s="578" t="s">
        <v>627</v>
      </c>
      <c r="AI46" s="578"/>
      <c r="AJ46" s="578"/>
      <c r="AK46" s="578"/>
      <c r="AL46" s="578"/>
      <c r="AM46" s="578"/>
      <c r="AN46" s="578"/>
      <c r="AO46" s="578"/>
      <c r="AX46" s="578" t="s">
        <v>626</v>
      </c>
      <c r="AY46" s="578"/>
      <c r="AZ46" s="578"/>
      <c r="BA46" s="578"/>
      <c r="BB46" s="578"/>
      <c r="BC46" s="578"/>
      <c r="BD46" s="578"/>
      <c r="BE46" s="578"/>
      <c r="BF46" s="78"/>
      <c r="BG46" s="578" t="s">
        <v>627</v>
      </c>
      <c r="BH46" s="578"/>
      <c r="BI46" s="578"/>
      <c r="BJ46" s="578"/>
      <c r="BK46" s="578"/>
      <c r="BL46" s="578"/>
      <c r="BM46" s="578"/>
      <c r="BN46" s="578"/>
      <c r="BX46" s="578" t="s">
        <v>626</v>
      </c>
      <c r="BY46" s="578"/>
      <c r="BZ46" s="578"/>
      <c r="CA46" s="578"/>
      <c r="CB46" s="578"/>
      <c r="CC46" s="578"/>
      <c r="CD46" s="578"/>
      <c r="CE46" s="578"/>
      <c r="CF46" s="78"/>
      <c r="CG46" s="578" t="s">
        <v>627</v>
      </c>
      <c r="CH46" s="578"/>
      <c r="CI46" s="578"/>
      <c r="CJ46" s="578"/>
      <c r="CK46" s="578"/>
      <c r="CL46" s="578"/>
      <c r="CM46" s="578"/>
      <c r="CN46" s="578"/>
      <c r="CX46" s="222" t="s">
        <v>748</v>
      </c>
      <c r="CY46" s="223" t="s">
        <v>749</v>
      </c>
      <c r="CZ46" s="224">
        <v>1</v>
      </c>
      <c r="DA46" s="225" t="s">
        <v>750</v>
      </c>
      <c r="DB46" s="226">
        <v>0.75</v>
      </c>
      <c r="DC46" s="227">
        <v>0</v>
      </c>
      <c r="DD46" s="227">
        <v>1.75</v>
      </c>
      <c r="DE46" s="228">
        <v>1</v>
      </c>
      <c r="DF46" s="420">
        <f>SUM(DB46:DE46)</f>
        <v>3.5</v>
      </c>
      <c r="DG46" s="380"/>
      <c r="DH46" s="229">
        <f t="shared" ref="DH46:DH68" si="33">DB46+(1*CZ46)</f>
        <v>1.75</v>
      </c>
      <c r="DI46" s="227">
        <v>0</v>
      </c>
      <c r="DJ46" s="227">
        <v>1.75</v>
      </c>
      <c r="DK46" s="230">
        <v>1</v>
      </c>
      <c r="DL46" s="231">
        <f t="shared" ref="DL46:DL68" si="34">SUM(DH46:DK46)</f>
        <v>4.5</v>
      </c>
      <c r="DM46" s="232"/>
      <c r="DN46" s="229">
        <f t="shared" ref="DN46:DN68" si="35">DB46+(1.5*CZ46)</f>
        <v>2.25</v>
      </c>
      <c r="DO46" s="233">
        <v>0</v>
      </c>
      <c r="DP46" s="227">
        <v>1.75</v>
      </c>
      <c r="DQ46" s="230">
        <v>1.5</v>
      </c>
      <c r="DR46" s="231">
        <f t="shared" ref="DR46:DR68" si="36">SUM(DN46:DQ46)</f>
        <v>5.5</v>
      </c>
      <c r="DS46" s="229">
        <f t="shared" ref="DS46:DS68" si="37">DB46+(2*CZ46)</f>
        <v>2.75</v>
      </c>
      <c r="DT46" s="233">
        <v>0</v>
      </c>
      <c r="DU46" s="227">
        <v>1.75</v>
      </c>
      <c r="DV46" s="230">
        <v>2</v>
      </c>
      <c r="DW46" s="231">
        <f t="shared" ref="DW46:DW68" si="38">SUM(DS46:DV46)</f>
        <v>6.5</v>
      </c>
      <c r="FG46" s="1" t="s">
        <v>214</v>
      </c>
      <c r="FH46" s="1">
        <v>1</v>
      </c>
      <c r="FI46" s="166" t="s">
        <v>468</v>
      </c>
      <c r="FJ46" s="166" t="s">
        <v>889</v>
      </c>
      <c r="FK46" s="166" t="s">
        <v>889</v>
      </c>
      <c r="FL46" s="166"/>
      <c r="FM46" s="1" t="s">
        <v>889</v>
      </c>
      <c r="FN46" s="1" t="s">
        <v>889</v>
      </c>
      <c r="FO46" s="301">
        <f t="shared" ref="FO46:FO59" si="39">(FH46*FV46)+FR46+FS46+FT46+FU46</f>
        <v>16</v>
      </c>
      <c r="FP46" s="1"/>
      <c r="FQ46" s="302" t="str">
        <f>IF(FI46=0,"0",IF(FI46="5/16","3",IF(FI46="3/8","3.3",IF(FI46="1/2","4",IF(FI46="5/8","5",IF(FI46="3/4","5.5","3"))))))</f>
        <v>4</v>
      </c>
      <c r="FR46" s="302" t="str">
        <f t="shared" ref="FR46:FS52" si="40">IF(FJ46="Yes","3","0")</f>
        <v>3</v>
      </c>
      <c r="FS46" s="302" t="str">
        <f t="shared" si="40"/>
        <v>3</v>
      </c>
      <c r="FT46" s="302" t="str">
        <f t="shared" ref="FT46:FT59" si="41">IF(FM46="Yes","2","0")</f>
        <v>2</v>
      </c>
      <c r="FU46" s="302" t="str">
        <f>IF(FN46="Yes","4","0")</f>
        <v>4</v>
      </c>
      <c r="FV46" s="324" t="str">
        <f>IF(FL46="Yes",FQ46*2,FQ46)</f>
        <v>4</v>
      </c>
      <c r="FW46" s="323" t="s">
        <v>214</v>
      </c>
      <c r="FX46" s="1"/>
      <c r="FY46" s="1" t="s">
        <v>959</v>
      </c>
      <c r="FZ46" s="1"/>
      <c r="GA46" s="1">
        <f>FV46*1.1</f>
        <v>4.4000000000000004</v>
      </c>
      <c r="GB46" s="1"/>
      <c r="GD46" s="166" t="s">
        <v>466</v>
      </c>
    </row>
    <row r="47" spans="1:205" ht="16.5" thickBot="1" x14ac:dyDescent="0.3">
      <c r="A47" s="189"/>
      <c r="B47" s="12"/>
      <c r="C47" s="143"/>
      <c r="D47" s="12"/>
      <c r="E47" s="24"/>
      <c r="F47" s="190"/>
      <c r="G47" s="75"/>
      <c r="H47" s="189"/>
      <c r="I47" s="12"/>
      <c r="J47" s="143"/>
      <c r="K47" s="12"/>
      <c r="L47" s="24"/>
      <c r="M47" s="190"/>
      <c r="N47" s="75"/>
      <c r="O47" s="189"/>
      <c r="P47" s="12"/>
      <c r="Q47" s="143"/>
      <c r="R47" s="12"/>
      <c r="S47" s="24"/>
      <c r="T47" s="190"/>
      <c r="Y47" s="6" t="s">
        <v>0</v>
      </c>
      <c r="Z47" s="7" t="s">
        <v>1</v>
      </c>
      <c r="AA47" s="7" t="s">
        <v>2</v>
      </c>
      <c r="AB47" s="7" t="s">
        <v>24</v>
      </c>
      <c r="AC47" s="154" t="s">
        <v>7</v>
      </c>
      <c r="AD47" s="81" t="s">
        <v>9</v>
      </c>
      <c r="AE47" s="7" t="s">
        <v>133</v>
      </c>
      <c r="AF47" s="46" t="s">
        <v>134</v>
      </c>
      <c r="AG47" s="75"/>
      <c r="AH47" s="27" t="s">
        <v>0</v>
      </c>
      <c r="AI47" s="28" t="s">
        <v>1</v>
      </c>
      <c r="AJ47" s="28" t="s">
        <v>2</v>
      </c>
      <c r="AK47" s="28" t="s">
        <v>24</v>
      </c>
      <c r="AL47" s="155" t="s">
        <v>7</v>
      </c>
      <c r="AM47" s="45" t="s">
        <v>9</v>
      </c>
      <c r="AN47" s="7" t="s">
        <v>133</v>
      </c>
      <c r="AO47" s="46" t="s">
        <v>134</v>
      </c>
      <c r="AX47" s="6" t="s">
        <v>0</v>
      </c>
      <c r="AY47" s="7" t="s">
        <v>1</v>
      </c>
      <c r="AZ47" s="7" t="s">
        <v>2</v>
      </c>
      <c r="BA47" s="7" t="s">
        <v>24</v>
      </c>
      <c r="BB47" s="154" t="s">
        <v>7</v>
      </c>
      <c r="BC47" s="81" t="s">
        <v>9</v>
      </c>
      <c r="BD47" s="7" t="s">
        <v>133</v>
      </c>
      <c r="BE47" s="46" t="s">
        <v>134</v>
      </c>
      <c r="BF47" s="75"/>
      <c r="BG47" s="27" t="s">
        <v>0</v>
      </c>
      <c r="BH47" s="28" t="s">
        <v>1</v>
      </c>
      <c r="BI47" s="28" t="s">
        <v>2</v>
      </c>
      <c r="BJ47" s="28" t="s">
        <v>24</v>
      </c>
      <c r="BK47" s="155" t="s">
        <v>7</v>
      </c>
      <c r="BL47" s="45" t="s">
        <v>9</v>
      </c>
      <c r="BM47" s="7" t="s">
        <v>133</v>
      </c>
      <c r="BN47" s="46" t="s">
        <v>134</v>
      </c>
      <c r="BX47" s="6" t="s">
        <v>0</v>
      </c>
      <c r="BY47" s="7" t="s">
        <v>1</v>
      </c>
      <c r="BZ47" s="7" t="s">
        <v>2</v>
      </c>
      <c r="CA47" s="7" t="s">
        <v>24</v>
      </c>
      <c r="CB47" s="154" t="s">
        <v>7</v>
      </c>
      <c r="CC47" s="81" t="s">
        <v>9</v>
      </c>
      <c r="CD47" s="7" t="s">
        <v>133</v>
      </c>
      <c r="CE47" s="46" t="s">
        <v>134</v>
      </c>
      <c r="CF47" s="75"/>
      <c r="CG47" s="27" t="s">
        <v>0</v>
      </c>
      <c r="CH47" s="28" t="s">
        <v>1</v>
      </c>
      <c r="CI47" s="28" t="s">
        <v>2</v>
      </c>
      <c r="CJ47" s="28" t="s">
        <v>24</v>
      </c>
      <c r="CK47" s="155" t="s">
        <v>7</v>
      </c>
      <c r="CL47" s="45" t="s">
        <v>9</v>
      </c>
      <c r="CM47" s="89" t="s">
        <v>133</v>
      </c>
      <c r="CN47" s="46" t="s">
        <v>134</v>
      </c>
      <c r="CX47" s="234" t="s">
        <v>751</v>
      </c>
      <c r="CY47" s="235" t="s">
        <v>752</v>
      </c>
      <c r="CZ47" s="236">
        <v>1</v>
      </c>
      <c r="DA47" s="237" t="s">
        <v>753</v>
      </c>
      <c r="DB47" s="226">
        <v>0.75</v>
      </c>
      <c r="DC47" s="227">
        <v>0</v>
      </c>
      <c r="DD47" s="227">
        <v>1.75</v>
      </c>
      <c r="DE47" s="238">
        <v>1</v>
      </c>
      <c r="DF47" s="420">
        <f t="shared" ref="DF47:DF68" si="42">SUM(DB47:DE47)</f>
        <v>3.5</v>
      </c>
      <c r="DG47" s="381"/>
      <c r="DH47" s="229">
        <f t="shared" si="33"/>
        <v>1.75</v>
      </c>
      <c r="DI47" s="227">
        <v>0</v>
      </c>
      <c r="DJ47" s="227">
        <v>1.75</v>
      </c>
      <c r="DK47" s="239">
        <v>1</v>
      </c>
      <c r="DL47" s="240">
        <f t="shared" si="34"/>
        <v>4.5</v>
      </c>
      <c r="DM47" s="240"/>
      <c r="DN47" s="229">
        <f t="shared" si="35"/>
        <v>2.25</v>
      </c>
      <c r="DO47" s="241">
        <v>0</v>
      </c>
      <c r="DP47" s="227">
        <v>1.75</v>
      </c>
      <c r="DQ47" s="230">
        <v>1.5</v>
      </c>
      <c r="DR47" s="240">
        <f t="shared" si="36"/>
        <v>5.5</v>
      </c>
      <c r="DS47" s="229">
        <f t="shared" si="37"/>
        <v>2.75</v>
      </c>
      <c r="DT47" s="241">
        <v>0</v>
      </c>
      <c r="DU47" s="227">
        <v>1.75</v>
      </c>
      <c r="DV47" s="230">
        <v>2</v>
      </c>
      <c r="DW47" s="240">
        <f t="shared" si="38"/>
        <v>6.5</v>
      </c>
      <c r="FG47" s="1" t="s">
        <v>218</v>
      </c>
      <c r="FH47" s="1">
        <v>1</v>
      </c>
      <c r="FI47" s="166" t="s">
        <v>468</v>
      </c>
      <c r="FJ47" s="166" t="s">
        <v>889</v>
      </c>
      <c r="FK47" s="166" t="s">
        <v>889</v>
      </c>
      <c r="FL47" s="166"/>
      <c r="FM47" s="1" t="s">
        <v>889</v>
      </c>
      <c r="FN47" s="1" t="s">
        <v>889</v>
      </c>
      <c r="FO47" s="301">
        <f t="shared" si="39"/>
        <v>16</v>
      </c>
      <c r="FP47" s="1"/>
      <c r="FQ47" s="302" t="str">
        <f>IF(FI47=0,"0",IF(FI47="5/16","3",IF(FI47="3/8","3.3",IF(FI47="1/2","4",IF(FI47="5/8","5",IF(FI47="3/4","5.5","3"))))))</f>
        <v>4</v>
      </c>
      <c r="FR47" s="302" t="str">
        <f t="shared" si="40"/>
        <v>3</v>
      </c>
      <c r="FS47" s="302" t="str">
        <f t="shared" si="40"/>
        <v>3</v>
      </c>
      <c r="FT47" s="302" t="str">
        <f t="shared" si="41"/>
        <v>2</v>
      </c>
      <c r="FU47" s="302" t="str">
        <f t="shared" ref="FU47:FU59" si="43">IF(FN47="Yes","4","0")</f>
        <v>4</v>
      </c>
      <c r="FV47" s="324" t="str">
        <f t="shared" ref="FV47:FV59" si="44">IF(FL47="Yes",FQ47*2,FQ47)</f>
        <v>4</v>
      </c>
      <c r="FW47" s="323" t="s">
        <v>218</v>
      </c>
      <c r="FX47" s="1"/>
      <c r="FY47" s="1" t="s">
        <v>959</v>
      </c>
      <c r="FZ47" s="1"/>
      <c r="GA47" s="1">
        <f t="shared" ref="GA47:GA59" si="45">FV47*1.1</f>
        <v>4.4000000000000004</v>
      </c>
      <c r="GB47" s="1"/>
      <c r="GD47" s="166" t="s">
        <v>463</v>
      </c>
      <c r="GH47" s="506" t="s">
        <v>1223</v>
      </c>
      <c r="GI47" s="507"/>
      <c r="GJ47" s="507"/>
      <c r="GK47" s="508"/>
      <c r="GM47" s="506"/>
      <c r="GN47" s="507"/>
      <c r="GO47" s="507"/>
      <c r="GP47" s="507"/>
      <c r="GQ47" s="508"/>
      <c r="GS47" s="498" t="s">
        <v>1014</v>
      </c>
      <c r="GT47" s="499"/>
      <c r="GU47" s="499"/>
      <c r="GV47" s="499"/>
      <c r="GW47" s="500"/>
    </row>
    <row r="48" spans="1:205" ht="16.5" thickBot="1" x14ac:dyDescent="0.3">
      <c r="A48" s="189" t="s">
        <v>251</v>
      </c>
      <c r="B48" s="12">
        <v>1</v>
      </c>
      <c r="C48" s="86" t="s">
        <v>1240</v>
      </c>
      <c r="D48" s="12" t="s">
        <v>277</v>
      </c>
      <c r="E48" s="24"/>
      <c r="F48" s="190"/>
      <c r="G48" s="75"/>
      <c r="H48" s="189" t="s">
        <v>251</v>
      </c>
      <c r="I48" s="12">
        <v>1</v>
      </c>
      <c r="J48" s="86" t="s">
        <v>1240</v>
      </c>
      <c r="K48" s="12" t="s">
        <v>84</v>
      </c>
      <c r="L48" s="24"/>
      <c r="M48" s="190"/>
      <c r="N48" s="75"/>
      <c r="O48" s="189" t="s">
        <v>251</v>
      </c>
      <c r="P48" s="12">
        <v>1</v>
      </c>
      <c r="Q48" s="86" t="s">
        <v>1240</v>
      </c>
      <c r="R48" s="12" t="s">
        <v>80</v>
      </c>
      <c r="S48" s="24"/>
      <c r="T48" s="190"/>
      <c r="Y48" s="10" t="s">
        <v>25</v>
      </c>
      <c r="Z48" s="11">
        <v>1</v>
      </c>
      <c r="AA48" s="10" t="s">
        <v>628</v>
      </c>
      <c r="AB48" s="11" t="s">
        <v>77</v>
      </c>
      <c r="AC48" s="151">
        <f>Z48*30</f>
        <v>30</v>
      </c>
      <c r="AD48" s="152"/>
      <c r="AE48" s="95">
        <v>45775</v>
      </c>
      <c r="AF48" s="32" t="s">
        <v>554</v>
      </c>
      <c r="AG48" s="75"/>
      <c r="AH48" s="23" t="s">
        <v>181</v>
      </c>
      <c r="AI48" s="12">
        <v>1</v>
      </c>
      <c r="AJ48" s="23" t="s">
        <v>629</v>
      </c>
      <c r="AK48" s="12" t="s">
        <v>77</v>
      </c>
      <c r="AL48" s="145"/>
      <c r="AM48" s="50"/>
      <c r="AN48" s="95"/>
      <c r="AO48" s="32" t="s">
        <v>554</v>
      </c>
      <c r="AX48" s="10" t="s">
        <v>25</v>
      </c>
      <c r="AY48" s="11">
        <v>1</v>
      </c>
      <c r="AZ48" s="10" t="s">
        <v>628</v>
      </c>
      <c r="BA48" s="12" t="s">
        <v>27</v>
      </c>
      <c r="BB48" s="153"/>
      <c r="BC48" s="16"/>
      <c r="BD48" s="95"/>
      <c r="BE48" s="23" t="s">
        <v>336</v>
      </c>
      <c r="BF48" s="75"/>
      <c r="BG48" s="23" t="s">
        <v>181</v>
      </c>
      <c r="BH48" s="12">
        <v>1</v>
      </c>
      <c r="BI48" s="23" t="s">
        <v>629</v>
      </c>
      <c r="BJ48" s="88" t="s">
        <v>27</v>
      </c>
      <c r="BK48" s="145"/>
      <c r="BL48" s="93"/>
      <c r="BM48" s="95"/>
      <c r="BN48" s="106" t="s">
        <v>336</v>
      </c>
      <c r="BX48" s="10" t="s">
        <v>25</v>
      </c>
      <c r="BY48" s="11">
        <v>1</v>
      </c>
      <c r="BZ48" s="10" t="s">
        <v>628</v>
      </c>
      <c r="CA48" s="88" t="s">
        <v>74</v>
      </c>
      <c r="CB48" s="151">
        <f>BY48*28</f>
        <v>28</v>
      </c>
      <c r="CC48" s="152"/>
      <c r="CD48" s="95">
        <v>45568</v>
      </c>
      <c r="CE48" s="32" t="s">
        <v>284</v>
      </c>
      <c r="CF48" s="75"/>
      <c r="CG48" s="23" t="s">
        <v>181</v>
      </c>
      <c r="CH48" s="12">
        <v>1</v>
      </c>
      <c r="CI48" s="23" t="s">
        <v>629</v>
      </c>
      <c r="CJ48" s="12" t="s">
        <v>74</v>
      </c>
      <c r="CK48" s="145"/>
      <c r="CL48" s="93"/>
      <c r="CM48" s="95"/>
      <c r="CN48" s="32" t="s">
        <v>284</v>
      </c>
      <c r="CX48" s="234" t="s">
        <v>754</v>
      </c>
      <c r="CY48" s="235" t="s">
        <v>755</v>
      </c>
      <c r="CZ48" s="236">
        <v>1</v>
      </c>
      <c r="DA48" s="237" t="s">
        <v>756</v>
      </c>
      <c r="DB48" s="226">
        <v>0.75</v>
      </c>
      <c r="DC48" s="227">
        <v>0</v>
      </c>
      <c r="DD48" s="227">
        <v>0.75</v>
      </c>
      <c r="DE48" s="238">
        <v>1</v>
      </c>
      <c r="DF48" s="420">
        <f t="shared" si="42"/>
        <v>2.5</v>
      </c>
      <c r="DG48" s="381"/>
      <c r="DH48" s="229">
        <f t="shared" si="33"/>
        <v>1.75</v>
      </c>
      <c r="DI48" s="227">
        <v>0</v>
      </c>
      <c r="DJ48" s="227">
        <v>0.75</v>
      </c>
      <c r="DK48" s="239">
        <v>1</v>
      </c>
      <c r="DL48" s="240">
        <f t="shared" si="34"/>
        <v>3.5</v>
      </c>
      <c r="DM48" s="240"/>
      <c r="DN48" s="229">
        <f t="shared" si="35"/>
        <v>2.25</v>
      </c>
      <c r="DO48" s="241">
        <v>0</v>
      </c>
      <c r="DP48" s="227">
        <v>0.75</v>
      </c>
      <c r="DQ48" s="230">
        <v>1.5</v>
      </c>
      <c r="DR48" s="240">
        <f t="shared" si="36"/>
        <v>4.5</v>
      </c>
      <c r="DS48" s="229">
        <f t="shared" si="37"/>
        <v>2.75</v>
      </c>
      <c r="DT48" s="241">
        <v>0</v>
      </c>
      <c r="DU48" s="227">
        <v>0.75</v>
      </c>
      <c r="DV48" s="230">
        <v>2</v>
      </c>
      <c r="DW48" s="240">
        <f t="shared" si="38"/>
        <v>5.5</v>
      </c>
      <c r="FG48" s="1" t="s">
        <v>220</v>
      </c>
      <c r="FH48" s="1">
        <v>1</v>
      </c>
      <c r="FI48" s="166" t="s">
        <v>468</v>
      </c>
      <c r="FJ48" s="166" t="s">
        <v>889</v>
      </c>
      <c r="FK48" s="166" t="s">
        <v>889</v>
      </c>
      <c r="FL48" s="166"/>
      <c r="FM48" s="1" t="s">
        <v>889</v>
      </c>
      <c r="FN48" s="1" t="s">
        <v>889</v>
      </c>
      <c r="FO48" s="301">
        <f t="shared" si="39"/>
        <v>16</v>
      </c>
      <c r="FP48" s="1"/>
      <c r="FQ48" s="302" t="str">
        <f>IF(FI48=0,"0",IF(FI48="5/16","3",IF(FI48="3/8","3.3",IF(FI48="1/2","4",IF(FI48="5/8","5",IF(FI48="3/4","5.5","3"))))))</f>
        <v>4</v>
      </c>
      <c r="FR48" s="302" t="str">
        <f t="shared" si="40"/>
        <v>3</v>
      </c>
      <c r="FS48" s="302" t="str">
        <f t="shared" si="40"/>
        <v>3</v>
      </c>
      <c r="FT48" s="302" t="str">
        <f t="shared" si="41"/>
        <v>2</v>
      </c>
      <c r="FU48" s="302" t="str">
        <f t="shared" si="43"/>
        <v>4</v>
      </c>
      <c r="FV48" s="324" t="str">
        <f t="shared" si="44"/>
        <v>4</v>
      </c>
      <c r="FW48" s="323" t="s">
        <v>220</v>
      </c>
      <c r="FX48" s="1"/>
      <c r="FY48" s="1" t="s">
        <v>959</v>
      </c>
      <c r="FZ48" s="1"/>
      <c r="GA48" s="1">
        <f t="shared" si="45"/>
        <v>4.4000000000000004</v>
      </c>
      <c r="GB48" s="1"/>
      <c r="GD48" s="166" t="s">
        <v>464</v>
      </c>
      <c r="GH48" s="509"/>
      <c r="GI48" s="510"/>
      <c r="GJ48" s="510"/>
      <c r="GK48" s="511"/>
      <c r="GM48" s="509"/>
      <c r="GN48" s="510"/>
      <c r="GO48" s="510"/>
      <c r="GP48" s="510"/>
      <c r="GQ48" s="511"/>
      <c r="GS48" s="501"/>
      <c r="GT48" s="502"/>
      <c r="GU48" s="502"/>
      <c r="GV48" s="502"/>
      <c r="GW48" s="503"/>
    </row>
    <row r="49" spans="1:269" ht="16.5" thickBot="1" x14ac:dyDescent="0.3">
      <c r="A49" s="189" t="s">
        <v>82</v>
      </c>
      <c r="B49" s="12">
        <v>1</v>
      </c>
      <c r="C49" s="86" t="s">
        <v>254</v>
      </c>
      <c r="D49" s="12" t="s">
        <v>277</v>
      </c>
      <c r="E49" s="24"/>
      <c r="F49" s="190"/>
      <c r="G49" s="75"/>
      <c r="H49" s="189" t="s">
        <v>82</v>
      </c>
      <c r="I49" s="12">
        <v>1</v>
      </c>
      <c r="J49" s="86" t="s">
        <v>254</v>
      </c>
      <c r="K49" s="12" t="s">
        <v>84</v>
      </c>
      <c r="L49" s="24"/>
      <c r="M49" s="190"/>
      <c r="N49" s="75"/>
      <c r="O49" s="189" t="s">
        <v>82</v>
      </c>
      <c r="P49" s="12">
        <v>1</v>
      </c>
      <c r="Q49" s="86" t="s">
        <v>254</v>
      </c>
      <c r="R49" s="12" t="s">
        <v>80</v>
      </c>
      <c r="S49" s="24"/>
      <c r="T49" s="190"/>
      <c r="Y49" s="14" t="s">
        <v>25</v>
      </c>
      <c r="Z49" s="12">
        <v>1</v>
      </c>
      <c r="AA49" s="14" t="s">
        <v>630</v>
      </c>
      <c r="AB49" s="12" t="s">
        <v>77</v>
      </c>
      <c r="AC49" s="153">
        <f>Z49*30</f>
        <v>30</v>
      </c>
      <c r="AD49" s="96"/>
      <c r="AE49" s="95">
        <v>45775</v>
      </c>
      <c r="AF49" s="32" t="s">
        <v>554</v>
      </c>
      <c r="AG49" s="75"/>
      <c r="AH49" s="23" t="s">
        <v>181</v>
      </c>
      <c r="AI49" s="12">
        <v>1</v>
      </c>
      <c r="AJ49" s="23" t="s">
        <v>631</v>
      </c>
      <c r="AK49" s="12" t="s">
        <v>77</v>
      </c>
      <c r="AL49" s="145"/>
      <c r="AM49" s="50"/>
      <c r="AN49" s="95"/>
      <c r="AO49" s="32" t="s">
        <v>554</v>
      </c>
      <c r="AQ49" s="582" t="s">
        <v>590</v>
      </c>
      <c r="AR49" s="582"/>
      <c r="AS49" s="582"/>
      <c r="AT49" s="582"/>
      <c r="AU49" s="582"/>
      <c r="AX49" s="14" t="s">
        <v>25</v>
      </c>
      <c r="AY49" s="12">
        <v>1</v>
      </c>
      <c r="AZ49" s="14" t="s">
        <v>630</v>
      </c>
      <c r="BA49" s="12" t="s">
        <v>27</v>
      </c>
      <c r="BB49" s="153"/>
      <c r="BC49" s="96"/>
      <c r="BD49" s="95"/>
      <c r="BE49" s="23" t="s">
        <v>336</v>
      </c>
      <c r="BF49" s="75"/>
      <c r="BG49" s="23" t="s">
        <v>181</v>
      </c>
      <c r="BH49" s="12">
        <v>1</v>
      </c>
      <c r="BI49" s="23" t="s">
        <v>631</v>
      </c>
      <c r="BJ49" s="88" t="s">
        <v>27</v>
      </c>
      <c r="BK49" s="145"/>
      <c r="BL49" s="93"/>
      <c r="BM49" s="95"/>
      <c r="BN49" s="106" t="s">
        <v>336</v>
      </c>
      <c r="BP49" s="582" t="s">
        <v>590</v>
      </c>
      <c r="BQ49" s="582"/>
      <c r="BR49" s="582"/>
      <c r="BS49" s="582"/>
      <c r="BT49" s="582"/>
      <c r="BX49" s="14" t="s">
        <v>25</v>
      </c>
      <c r="BY49" s="12">
        <v>1</v>
      </c>
      <c r="BZ49" s="14" t="s">
        <v>630</v>
      </c>
      <c r="CA49" s="88" t="s">
        <v>74</v>
      </c>
      <c r="CB49" s="153"/>
      <c r="CC49" s="96"/>
      <c r="CD49" s="95"/>
      <c r="CE49" s="32" t="s">
        <v>284</v>
      </c>
      <c r="CF49" s="75"/>
      <c r="CG49" s="23" t="s">
        <v>181</v>
      </c>
      <c r="CH49" s="12">
        <v>1</v>
      </c>
      <c r="CI49" s="23" t="s">
        <v>631</v>
      </c>
      <c r="CJ49" s="12" t="s">
        <v>74</v>
      </c>
      <c r="CK49" s="145"/>
      <c r="CL49" s="26"/>
      <c r="CM49" s="95"/>
      <c r="CN49" s="32" t="s">
        <v>284</v>
      </c>
      <c r="CP49" s="582" t="s">
        <v>590</v>
      </c>
      <c r="CQ49" s="582"/>
      <c r="CR49" s="582"/>
      <c r="CS49" s="582"/>
      <c r="CT49" s="582"/>
      <c r="CX49" s="234" t="s">
        <v>757</v>
      </c>
      <c r="CY49" s="235" t="s">
        <v>758</v>
      </c>
      <c r="CZ49" s="236">
        <v>1</v>
      </c>
      <c r="DA49" s="237" t="s">
        <v>759</v>
      </c>
      <c r="DB49" s="265">
        <v>0.75</v>
      </c>
      <c r="DC49" s="242">
        <v>0</v>
      </c>
      <c r="DD49" s="242">
        <v>0.75</v>
      </c>
      <c r="DE49" s="238">
        <v>1</v>
      </c>
      <c r="DF49" s="420">
        <f t="shared" si="42"/>
        <v>2.5</v>
      </c>
      <c r="DG49" s="381"/>
      <c r="DH49" s="229">
        <f t="shared" si="33"/>
        <v>1.75</v>
      </c>
      <c r="DI49" s="242">
        <v>0</v>
      </c>
      <c r="DJ49" s="242">
        <v>0.75</v>
      </c>
      <c r="DK49" s="239">
        <v>1</v>
      </c>
      <c r="DL49" s="240">
        <f t="shared" si="34"/>
        <v>3.5</v>
      </c>
      <c r="DM49" s="240"/>
      <c r="DN49" s="229">
        <f t="shared" si="35"/>
        <v>2.25</v>
      </c>
      <c r="DO49" s="241">
        <v>0</v>
      </c>
      <c r="DP49" s="242">
        <v>0.75</v>
      </c>
      <c r="DQ49" s="230">
        <v>1.5</v>
      </c>
      <c r="DR49" s="240">
        <f t="shared" si="36"/>
        <v>4.5</v>
      </c>
      <c r="DS49" s="229">
        <f t="shared" si="37"/>
        <v>2.75</v>
      </c>
      <c r="DT49" s="241">
        <v>0</v>
      </c>
      <c r="DU49" s="242">
        <v>0.75</v>
      </c>
      <c r="DV49" s="230">
        <v>2</v>
      </c>
      <c r="DW49" s="240">
        <f t="shared" si="38"/>
        <v>5.5</v>
      </c>
      <c r="FG49" s="1" t="s">
        <v>224</v>
      </c>
      <c r="FH49" s="1">
        <v>1</v>
      </c>
      <c r="FI49" s="166" t="s">
        <v>468</v>
      </c>
      <c r="FJ49" s="166" t="s">
        <v>889</v>
      </c>
      <c r="FK49" s="166" t="s">
        <v>889</v>
      </c>
      <c r="FL49" s="166"/>
      <c r="FM49" s="1" t="s">
        <v>889</v>
      </c>
      <c r="FN49" s="1" t="s">
        <v>889</v>
      </c>
      <c r="FO49" s="301">
        <f t="shared" si="39"/>
        <v>17.5</v>
      </c>
      <c r="FP49" s="1"/>
      <c r="FQ49" s="302" t="str">
        <f>IF(FI49=0,"0",IF(FI49="5/16","3.5",IF(FI49="3/8","4",IF(FI49="1/2","5.5",IF(FI49="5/8","6",IF(FI49="3/4","6.5","3.5"))))))</f>
        <v>5.5</v>
      </c>
      <c r="FR49" s="302" t="str">
        <f t="shared" si="40"/>
        <v>3</v>
      </c>
      <c r="FS49" s="302" t="str">
        <f t="shared" si="40"/>
        <v>3</v>
      </c>
      <c r="FT49" s="302" t="str">
        <f t="shared" si="41"/>
        <v>2</v>
      </c>
      <c r="FU49" s="302" t="str">
        <f t="shared" si="43"/>
        <v>4</v>
      </c>
      <c r="FV49" s="324" t="str">
        <f t="shared" si="44"/>
        <v>5.5</v>
      </c>
      <c r="FW49" s="323" t="s">
        <v>224</v>
      </c>
      <c r="FX49" s="1"/>
      <c r="FY49" s="1" t="s">
        <v>970</v>
      </c>
      <c r="FZ49" s="1"/>
      <c r="GA49" s="1">
        <f t="shared" si="45"/>
        <v>6.0500000000000007</v>
      </c>
      <c r="GB49" s="1"/>
      <c r="GD49" s="166" t="s">
        <v>467</v>
      </c>
      <c r="GH49" s="314" t="s">
        <v>848</v>
      </c>
      <c r="GI49" s="313" t="s">
        <v>1009</v>
      </c>
      <c r="GJ49" s="313"/>
      <c r="GK49" s="326" t="s">
        <v>1010</v>
      </c>
      <c r="GM49" s="314"/>
      <c r="GN49" s="313"/>
      <c r="GO49" s="313"/>
      <c r="GP49" s="313"/>
      <c r="GQ49" s="326"/>
      <c r="GS49" s="517" t="s">
        <v>848</v>
      </c>
      <c r="GT49" s="518" t="s">
        <v>1011</v>
      </c>
      <c r="GU49" s="513" t="s">
        <v>1013</v>
      </c>
      <c r="GV49" s="513"/>
      <c r="GW49" s="496" t="s">
        <v>1011</v>
      </c>
      <c r="GX49" s="299"/>
      <c r="GY49" s="299"/>
      <c r="GZ49" s="300"/>
    </row>
    <row r="50" spans="1:269" ht="16.5" thickBot="1" x14ac:dyDescent="0.3">
      <c r="A50" s="189"/>
      <c r="B50" s="12">
        <v>1</v>
      </c>
      <c r="C50" s="86" t="s">
        <v>255</v>
      </c>
      <c r="D50" s="12" t="s">
        <v>277</v>
      </c>
      <c r="E50" s="24"/>
      <c r="F50" s="190"/>
      <c r="G50" s="75"/>
      <c r="H50" s="189"/>
      <c r="I50" s="12">
        <v>1</v>
      </c>
      <c r="J50" s="86" t="s">
        <v>255</v>
      </c>
      <c r="K50" s="12" t="s">
        <v>84</v>
      </c>
      <c r="L50" s="24"/>
      <c r="M50" s="190"/>
      <c r="N50" s="75"/>
      <c r="O50" s="189"/>
      <c r="P50" s="12">
        <v>1</v>
      </c>
      <c r="Q50" s="86" t="s">
        <v>255</v>
      </c>
      <c r="R50" s="12" t="s">
        <v>80</v>
      </c>
      <c r="S50" s="24"/>
      <c r="T50" s="190"/>
      <c r="Y50" s="14" t="s">
        <v>25</v>
      </c>
      <c r="Z50" s="12">
        <v>1</v>
      </c>
      <c r="AA50" s="14" t="s">
        <v>632</v>
      </c>
      <c r="AB50" s="12" t="s">
        <v>77</v>
      </c>
      <c r="AC50" s="153">
        <f>Z50*27</f>
        <v>27</v>
      </c>
      <c r="AD50" s="96"/>
      <c r="AE50" s="95">
        <v>45775</v>
      </c>
      <c r="AF50" s="32" t="s">
        <v>554</v>
      </c>
      <c r="AG50" s="75"/>
      <c r="AH50" s="23" t="s">
        <v>181</v>
      </c>
      <c r="AI50" s="12">
        <v>1</v>
      </c>
      <c r="AJ50" s="23" t="s">
        <v>633</v>
      </c>
      <c r="AK50" s="12" t="s">
        <v>77</v>
      </c>
      <c r="AL50" s="153">
        <f>AI50*28</f>
        <v>28</v>
      </c>
      <c r="AM50" s="50"/>
      <c r="AN50" s="95">
        <v>45775</v>
      </c>
      <c r="AO50" s="32" t="s">
        <v>554</v>
      </c>
      <c r="AQ50" s="582"/>
      <c r="AR50" s="582"/>
      <c r="AS50" s="582"/>
      <c r="AT50" s="582"/>
      <c r="AU50" s="582"/>
      <c r="AX50" s="14" t="s">
        <v>25</v>
      </c>
      <c r="AY50" s="12">
        <v>1</v>
      </c>
      <c r="AZ50" s="14" t="s">
        <v>632</v>
      </c>
      <c r="BA50" s="12" t="s">
        <v>27</v>
      </c>
      <c r="BB50" s="153"/>
      <c r="BC50" s="96"/>
      <c r="BD50" s="95"/>
      <c r="BE50" s="23" t="s">
        <v>336</v>
      </c>
      <c r="BF50" s="75"/>
      <c r="BG50" s="23" t="s">
        <v>181</v>
      </c>
      <c r="BH50" s="12">
        <v>1</v>
      </c>
      <c r="BI50" s="23" t="s">
        <v>633</v>
      </c>
      <c r="BJ50" s="88" t="s">
        <v>27</v>
      </c>
      <c r="BK50" s="145"/>
      <c r="BL50" s="93"/>
      <c r="BM50" s="95"/>
      <c r="BN50" s="106" t="s">
        <v>336</v>
      </c>
      <c r="BP50" s="582"/>
      <c r="BQ50" s="582"/>
      <c r="BR50" s="582"/>
      <c r="BS50" s="582"/>
      <c r="BT50" s="582"/>
      <c r="BX50" s="14" t="s">
        <v>25</v>
      </c>
      <c r="BY50" s="12">
        <v>1</v>
      </c>
      <c r="BZ50" s="14" t="s">
        <v>632</v>
      </c>
      <c r="CA50" s="88" t="s">
        <v>74</v>
      </c>
      <c r="CB50" s="153">
        <f>BY50*51</f>
        <v>51</v>
      </c>
      <c r="CC50" s="96"/>
      <c r="CD50" s="95">
        <v>45568</v>
      </c>
      <c r="CE50" s="32" t="s">
        <v>284</v>
      </c>
      <c r="CF50" s="75"/>
      <c r="CG50" s="23" t="s">
        <v>181</v>
      </c>
      <c r="CH50" s="12">
        <v>1</v>
      </c>
      <c r="CI50" s="23" t="s">
        <v>633</v>
      </c>
      <c r="CJ50" s="12" t="s">
        <v>74</v>
      </c>
      <c r="CK50" s="145">
        <f>CH50*44</f>
        <v>44</v>
      </c>
      <c r="CL50" s="26"/>
      <c r="CM50" s="95">
        <v>45568</v>
      </c>
      <c r="CN50" s="32" t="s">
        <v>284</v>
      </c>
      <c r="CP50" s="582"/>
      <c r="CQ50" s="582"/>
      <c r="CR50" s="582"/>
      <c r="CS50" s="582"/>
      <c r="CT50" s="582"/>
      <c r="CX50" s="234" t="s">
        <v>760</v>
      </c>
      <c r="CY50" s="235" t="s">
        <v>761</v>
      </c>
      <c r="CZ50" s="236">
        <v>1</v>
      </c>
      <c r="DA50" s="237" t="s">
        <v>801</v>
      </c>
      <c r="DB50" s="265">
        <v>0.75</v>
      </c>
      <c r="DC50" s="242">
        <v>0</v>
      </c>
      <c r="DD50" s="242">
        <v>0.75</v>
      </c>
      <c r="DE50" s="238">
        <v>1</v>
      </c>
      <c r="DF50" s="420">
        <f t="shared" si="42"/>
        <v>2.5</v>
      </c>
      <c r="DG50" s="381"/>
      <c r="DH50" s="229">
        <f t="shared" si="33"/>
        <v>1.75</v>
      </c>
      <c r="DI50" s="242">
        <v>0</v>
      </c>
      <c r="DJ50" s="242">
        <v>0.75</v>
      </c>
      <c r="DK50" s="239">
        <v>1</v>
      </c>
      <c r="DL50" s="240">
        <f t="shared" si="34"/>
        <v>3.5</v>
      </c>
      <c r="DM50" s="240"/>
      <c r="DN50" s="229">
        <f t="shared" si="35"/>
        <v>2.25</v>
      </c>
      <c r="DO50" s="241">
        <v>0</v>
      </c>
      <c r="DP50" s="242">
        <v>0.75</v>
      </c>
      <c r="DQ50" s="230">
        <v>1.5</v>
      </c>
      <c r="DR50" s="240">
        <f t="shared" si="36"/>
        <v>4.5</v>
      </c>
      <c r="DS50" s="229">
        <f t="shared" si="37"/>
        <v>2.75</v>
      </c>
      <c r="DT50" s="241">
        <v>0</v>
      </c>
      <c r="DU50" s="242">
        <v>0.75</v>
      </c>
      <c r="DV50" s="230">
        <v>2</v>
      </c>
      <c r="DW50" s="240">
        <f t="shared" si="38"/>
        <v>5.5</v>
      </c>
      <c r="FG50" s="1" t="s">
        <v>947</v>
      </c>
      <c r="FH50" s="1">
        <v>1</v>
      </c>
      <c r="FI50" s="166" t="s">
        <v>468</v>
      </c>
      <c r="FJ50" s="166" t="s">
        <v>889</v>
      </c>
      <c r="FK50" s="166" t="s">
        <v>889</v>
      </c>
      <c r="FL50" s="166"/>
      <c r="FM50" s="1" t="s">
        <v>889</v>
      </c>
      <c r="FN50" s="1" t="s">
        <v>889</v>
      </c>
      <c r="FO50" s="301">
        <f t="shared" si="39"/>
        <v>19.5</v>
      </c>
      <c r="FP50" s="1"/>
      <c r="FQ50" s="302" t="str">
        <f>IF(FI50=0,"0",IF(FI50="5/16","5",IF(FI50="3/8","5.5",IF(FI50="1/2","7.5",IF(FI50="5/8","8.5",IF(FI50="3/4","9","5"))))))</f>
        <v>7.5</v>
      </c>
      <c r="FR50" s="302" t="str">
        <f t="shared" si="40"/>
        <v>3</v>
      </c>
      <c r="FS50" s="302" t="str">
        <f t="shared" si="40"/>
        <v>3</v>
      </c>
      <c r="FT50" s="302" t="str">
        <f t="shared" si="41"/>
        <v>2</v>
      </c>
      <c r="FU50" s="302" t="str">
        <f t="shared" si="43"/>
        <v>4</v>
      </c>
      <c r="FV50" s="324" t="str">
        <f t="shared" si="44"/>
        <v>7.5</v>
      </c>
      <c r="FW50" s="323" t="s">
        <v>947</v>
      </c>
      <c r="FX50" s="1"/>
      <c r="FY50" s="1" t="s">
        <v>971</v>
      </c>
      <c r="FZ50" s="1"/>
      <c r="GA50" s="1">
        <f t="shared" si="45"/>
        <v>8.25</v>
      </c>
      <c r="GB50" s="1"/>
      <c r="GD50" s="166" t="s">
        <v>468</v>
      </c>
      <c r="GH50" s="279" t="s">
        <v>905</v>
      </c>
      <c r="GI50" s="305">
        <v>1</v>
      </c>
      <c r="GJ50" s="160"/>
      <c r="GK50" s="309" t="str">
        <f>IF(GI50=0,"0","3")</f>
        <v>3</v>
      </c>
      <c r="GM50" s="279"/>
      <c r="GN50" s="305"/>
      <c r="GO50" s="305"/>
      <c r="GP50" s="160"/>
      <c r="GQ50" s="309"/>
      <c r="GS50" s="517"/>
      <c r="GT50" s="518"/>
      <c r="GU50" s="513"/>
      <c r="GV50" s="513"/>
      <c r="GW50" s="496"/>
      <c r="GX50" s="301"/>
      <c r="GY50" s="1"/>
      <c r="GZ50" s="302"/>
    </row>
    <row r="51" spans="1:269" ht="16.5" thickBot="1" x14ac:dyDescent="0.3">
      <c r="A51" s="189"/>
      <c r="B51" s="12">
        <v>1</v>
      </c>
      <c r="C51" s="86" t="s">
        <v>256</v>
      </c>
      <c r="D51" s="12" t="s">
        <v>277</v>
      </c>
      <c r="E51" s="24"/>
      <c r="F51" s="190"/>
      <c r="G51" s="75"/>
      <c r="H51" s="189"/>
      <c r="I51" s="12">
        <v>1</v>
      </c>
      <c r="J51" s="86" t="s">
        <v>256</v>
      </c>
      <c r="K51" s="12" t="s">
        <v>84</v>
      </c>
      <c r="L51" s="24"/>
      <c r="M51" s="190"/>
      <c r="N51" s="75"/>
      <c r="O51" s="189"/>
      <c r="P51" s="12">
        <v>1</v>
      </c>
      <c r="Q51" s="86" t="s">
        <v>256</v>
      </c>
      <c r="R51" s="12" t="s">
        <v>80</v>
      </c>
      <c r="S51" s="24"/>
      <c r="T51" s="190"/>
      <c r="Y51" s="14" t="s">
        <v>25</v>
      </c>
      <c r="Z51" s="12">
        <v>1</v>
      </c>
      <c r="AA51" s="14" t="s">
        <v>634</v>
      </c>
      <c r="AB51" s="12" t="s">
        <v>77</v>
      </c>
      <c r="AC51" s="153">
        <f>Z51*35</f>
        <v>35</v>
      </c>
      <c r="AD51" s="153"/>
      <c r="AE51" s="95">
        <v>45775</v>
      </c>
      <c r="AF51" s="32" t="s">
        <v>554</v>
      </c>
      <c r="AG51" s="75"/>
      <c r="AH51" s="23" t="s">
        <v>181</v>
      </c>
      <c r="AI51" s="12">
        <v>1</v>
      </c>
      <c r="AJ51" s="23" t="s">
        <v>635</v>
      </c>
      <c r="AK51" s="12" t="s">
        <v>77</v>
      </c>
      <c r="AL51" s="149"/>
      <c r="AM51" s="53"/>
      <c r="AN51" s="95"/>
      <c r="AO51" s="32" t="s">
        <v>554</v>
      </c>
      <c r="AQ51" s="582"/>
      <c r="AR51" s="582"/>
      <c r="AS51" s="582"/>
      <c r="AT51" s="582"/>
      <c r="AU51" s="582"/>
      <c r="AX51" s="14" t="s">
        <v>25</v>
      </c>
      <c r="AY51" s="12">
        <v>1</v>
      </c>
      <c r="AZ51" s="14" t="s">
        <v>634</v>
      </c>
      <c r="BA51" s="12" t="s">
        <v>27</v>
      </c>
      <c r="BB51" s="153"/>
      <c r="BC51" s="153"/>
      <c r="BD51" s="95"/>
      <c r="BE51" s="23" t="s">
        <v>336</v>
      </c>
      <c r="BF51" s="75"/>
      <c r="BG51" s="23" t="s">
        <v>181</v>
      </c>
      <c r="BH51" s="12">
        <v>1</v>
      </c>
      <c r="BI51" s="23" t="s">
        <v>635</v>
      </c>
      <c r="BJ51" s="88" t="s">
        <v>27</v>
      </c>
      <c r="BK51" s="145"/>
      <c r="BL51" s="145"/>
      <c r="BM51" s="95"/>
      <c r="BN51" s="106" t="s">
        <v>336</v>
      </c>
      <c r="BP51" s="582"/>
      <c r="BQ51" s="582"/>
      <c r="BR51" s="582"/>
      <c r="BS51" s="582"/>
      <c r="BT51" s="582"/>
      <c r="BX51" s="14" t="s">
        <v>25</v>
      </c>
      <c r="BY51" s="12">
        <v>1</v>
      </c>
      <c r="BZ51" s="14" t="s">
        <v>634</v>
      </c>
      <c r="CA51" s="88" t="s">
        <v>74</v>
      </c>
      <c r="CB51" s="153">
        <f>BY51*101</f>
        <v>101</v>
      </c>
      <c r="CC51" s="153"/>
      <c r="CD51" s="95">
        <v>45568</v>
      </c>
      <c r="CE51" s="32" t="s">
        <v>284</v>
      </c>
      <c r="CF51" s="75"/>
      <c r="CG51" s="23" t="s">
        <v>181</v>
      </c>
      <c r="CH51" s="12">
        <v>1</v>
      </c>
      <c r="CI51" s="23" t="s">
        <v>635</v>
      </c>
      <c r="CJ51" s="12" t="s">
        <v>74</v>
      </c>
      <c r="CK51" s="149"/>
      <c r="CL51" s="22"/>
      <c r="CM51" s="95"/>
      <c r="CN51" s="32" t="s">
        <v>284</v>
      </c>
      <c r="CP51" s="582"/>
      <c r="CQ51" s="582"/>
      <c r="CR51" s="582"/>
      <c r="CS51" s="582"/>
      <c r="CT51" s="582"/>
      <c r="CX51" s="234" t="s">
        <v>763</v>
      </c>
      <c r="CY51" s="235" t="s">
        <v>764</v>
      </c>
      <c r="CZ51" s="236">
        <v>1</v>
      </c>
      <c r="DA51" s="237" t="s">
        <v>802</v>
      </c>
      <c r="DB51" s="265">
        <v>0.75</v>
      </c>
      <c r="DC51" s="242">
        <v>0</v>
      </c>
      <c r="DD51" s="242">
        <v>0.75</v>
      </c>
      <c r="DE51" s="238">
        <v>1</v>
      </c>
      <c r="DF51" s="420">
        <f t="shared" si="42"/>
        <v>2.5</v>
      </c>
      <c r="DG51" s="381"/>
      <c r="DH51" s="229">
        <f t="shared" si="33"/>
        <v>1.75</v>
      </c>
      <c r="DI51" s="242">
        <v>0</v>
      </c>
      <c r="DJ51" s="242">
        <v>0.75</v>
      </c>
      <c r="DK51" s="239">
        <v>1</v>
      </c>
      <c r="DL51" s="240">
        <f t="shared" si="34"/>
        <v>3.5</v>
      </c>
      <c r="DM51" s="240"/>
      <c r="DN51" s="229">
        <f t="shared" si="35"/>
        <v>2.25</v>
      </c>
      <c r="DO51" s="241">
        <v>0</v>
      </c>
      <c r="DP51" s="242">
        <v>0.75</v>
      </c>
      <c r="DQ51" s="230">
        <v>1.5</v>
      </c>
      <c r="DR51" s="240">
        <f t="shared" si="36"/>
        <v>4.5</v>
      </c>
      <c r="DS51" s="229">
        <f t="shared" si="37"/>
        <v>2.75</v>
      </c>
      <c r="DT51" s="241">
        <v>0</v>
      </c>
      <c r="DU51" s="242">
        <v>0.75</v>
      </c>
      <c r="DV51" s="230">
        <v>2</v>
      </c>
      <c r="DW51" s="240">
        <f t="shared" si="38"/>
        <v>5.5</v>
      </c>
      <c r="FG51" s="1" t="s">
        <v>948</v>
      </c>
      <c r="FH51" s="1">
        <v>1</v>
      </c>
      <c r="FI51" s="166" t="s">
        <v>468</v>
      </c>
      <c r="FJ51" s="166" t="s">
        <v>889</v>
      </c>
      <c r="FK51" s="166" t="s">
        <v>889</v>
      </c>
      <c r="FL51" s="166"/>
      <c r="FM51" s="1" t="s">
        <v>889</v>
      </c>
      <c r="FN51" s="1" t="s">
        <v>889</v>
      </c>
      <c r="FO51" s="301">
        <f t="shared" si="39"/>
        <v>21</v>
      </c>
      <c r="FP51" s="1"/>
      <c r="FQ51" s="302" t="str">
        <f>IF(FI51=0,"0",IF(FI51="5/16","7",IF(FI51="3/8","7.5",IF(FI51="1/2","9",IF(FI51="5/8","10.5",IF(FI51="3/4","11.5","7"))))))</f>
        <v>9</v>
      </c>
      <c r="FR51" s="302" t="str">
        <f t="shared" si="40"/>
        <v>3</v>
      </c>
      <c r="FS51" s="302" t="str">
        <f t="shared" si="40"/>
        <v>3</v>
      </c>
      <c r="FT51" s="302" t="str">
        <f t="shared" si="41"/>
        <v>2</v>
      </c>
      <c r="FU51" s="302" t="str">
        <f t="shared" si="43"/>
        <v>4</v>
      </c>
      <c r="FV51" s="324" t="str">
        <f t="shared" si="44"/>
        <v>9</v>
      </c>
      <c r="FW51" s="323" t="s">
        <v>948</v>
      </c>
      <c r="FX51" s="1"/>
      <c r="FY51" s="1" t="s">
        <v>976</v>
      </c>
      <c r="FZ51" s="1"/>
      <c r="GA51" s="1">
        <f t="shared" si="45"/>
        <v>9.9</v>
      </c>
      <c r="GB51" s="1"/>
      <c r="GD51" s="166" t="s">
        <v>469</v>
      </c>
      <c r="GH51" s="279" t="s">
        <v>906</v>
      </c>
      <c r="GI51" s="305">
        <v>1</v>
      </c>
      <c r="GJ51" s="160"/>
      <c r="GK51" s="309" t="str">
        <f>IF(GI51=0,"0","4")</f>
        <v>4</v>
      </c>
      <c r="GM51" s="279"/>
      <c r="GN51" s="305"/>
      <c r="GO51" s="305"/>
      <c r="GP51" s="160"/>
      <c r="GQ51" s="309"/>
      <c r="GS51" s="279" t="s">
        <v>905</v>
      </c>
      <c r="GT51" s="305" t="s">
        <v>468</v>
      </c>
      <c r="GU51" s="516" t="str">
        <f>GW51</f>
        <v>3</v>
      </c>
      <c r="GV51" s="516"/>
      <c r="GW51" s="309" t="str">
        <f>IF(GT51=0,"0",IF(GT51="1/2","3",IF(GT51="3/4","3","3")))</f>
        <v>3</v>
      </c>
      <c r="GX51" s="301"/>
      <c r="GY51" s="1"/>
      <c r="GZ51" s="302"/>
    </row>
    <row r="52" spans="1:269" ht="16.5" thickBot="1" x14ac:dyDescent="0.3">
      <c r="A52" s="189"/>
      <c r="B52" s="12">
        <v>1</v>
      </c>
      <c r="C52" s="86" t="s">
        <v>90</v>
      </c>
      <c r="D52" s="12" t="s">
        <v>277</v>
      </c>
      <c r="E52" s="24"/>
      <c r="F52" s="190"/>
      <c r="G52" s="75"/>
      <c r="H52" s="189"/>
      <c r="I52" s="12">
        <v>1</v>
      </c>
      <c r="J52" s="86" t="s">
        <v>90</v>
      </c>
      <c r="K52" s="12" t="s">
        <v>84</v>
      </c>
      <c r="L52" s="24"/>
      <c r="M52" s="190"/>
      <c r="N52" s="75"/>
      <c r="O52" s="189"/>
      <c r="P52" s="12">
        <v>1</v>
      </c>
      <c r="Q52" s="86" t="s">
        <v>90</v>
      </c>
      <c r="R52" s="12" t="s">
        <v>80</v>
      </c>
      <c r="S52" s="24"/>
      <c r="T52" s="190"/>
      <c r="Y52" s="14" t="s">
        <v>25</v>
      </c>
      <c r="Z52" s="12">
        <v>1</v>
      </c>
      <c r="AA52" s="14" t="s">
        <v>636</v>
      </c>
      <c r="AB52" s="12" t="s">
        <v>77</v>
      </c>
      <c r="AC52" s="153">
        <f>Z52*46</f>
        <v>46</v>
      </c>
      <c r="AD52" s="153"/>
      <c r="AE52" s="95">
        <v>45775</v>
      </c>
      <c r="AF52" s="32" t="s">
        <v>554</v>
      </c>
      <c r="AG52" s="75"/>
      <c r="AH52" s="23" t="s">
        <v>181</v>
      </c>
      <c r="AI52" s="12">
        <v>1</v>
      </c>
      <c r="AJ52" s="23" t="s">
        <v>637</v>
      </c>
      <c r="AK52" s="12" t="s">
        <v>77</v>
      </c>
      <c r="AL52" s="149"/>
      <c r="AM52" s="53"/>
      <c r="AN52" s="95"/>
      <c r="AO52" s="32" t="s">
        <v>554</v>
      </c>
      <c r="AQ52" s="582"/>
      <c r="AR52" s="582"/>
      <c r="AS52" s="582"/>
      <c r="AT52" s="582"/>
      <c r="AU52" s="582"/>
      <c r="AX52" s="14" t="s">
        <v>25</v>
      </c>
      <c r="AY52" s="12">
        <v>1</v>
      </c>
      <c r="AZ52" s="14" t="s">
        <v>636</v>
      </c>
      <c r="BA52" s="12" t="s">
        <v>27</v>
      </c>
      <c r="BB52" s="153"/>
      <c r="BC52" s="24"/>
      <c r="BD52" s="95"/>
      <c r="BE52" s="23" t="s">
        <v>336</v>
      </c>
      <c r="BF52" s="75"/>
      <c r="BG52" s="23" t="s">
        <v>181</v>
      </c>
      <c r="BH52" s="12">
        <v>1</v>
      </c>
      <c r="BI52" s="23" t="s">
        <v>637</v>
      </c>
      <c r="BJ52" s="88" t="s">
        <v>27</v>
      </c>
      <c r="BK52" s="149"/>
      <c r="BL52" s="145"/>
      <c r="BM52" s="95"/>
      <c r="BN52" s="106" t="s">
        <v>336</v>
      </c>
      <c r="BP52" s="582"/>
      <c r="BQ52" s="582"/>
      <c r="BR52" s="582"/>
      <c r="BS52" s="582"/>
      <c r="BT52" s="582"/>
      <c r="BX52" s="14" t="s">
        <v>25</v>
      </c>
      <c r="BY52" s="12">
        <v>1</v>
      </c>
      <c r="BZ52" s="14" t="s">
        <v>636</v>
      </c>
      <c r="CA52" s="88" t="s">
        <v>74</v>
      </c>
      <c r="CB52" s="153">
        <f>BY52*143</f>
        <v>143</v>
      </c>
      <c r="CC52" s="153"/>
      <c r="CD52" s="95">
        <v>45568</v>
      </c>
      <c r="CE52" s="32" t="s">
        <v>284</v>
      </c>
      <c r="CF52" s="75"/>
      <c r="CG52" s="23" t="s">
        <v>181</v>
      </c>
      <c r="CH52" s="12">
        <v>1</v>
      </c>
      <c r="CI52" s="23" t="s">
        <v>637</v>
      </c>
      <c r="CJ52" s="12" t="s">
        <v>74</v>
      </c>
      <c r="CK52" s="149">
        <f>CH52*144</f>
        <v>144</v>
      </c>
      <c r="CL52" s="22"/>
      <c r="CM52" s="95">
        <v>45568</v>
      </c>
      <c r="CN52" s="32" t="s">
        <v>284</v>
      </c>
      <c r="CP52" s="582"/>
      <c r="CQ52" s="582"/>
      <c r="CR52" s="582"/>
      <c r="CS52" s="582"/>
      <c r="CT52" s="582"/>
      <c r="CX52" s="234" t="s">
        <v>765</v>
      </c>
      <c r="CY52" s="235" t="s">
        <v>766</v>
      </c>
      <c r="CZ52" s="236">
        <v>1</v>
      </c>
      <c r="DA52" s="237" t="s">
        <v>803</v>
      </c>
      <c r="DB52" s="265">
        <v>0.75</v>
      </c>
      <c r="DC52" s="242">
        <v>0</v>
      </c>
      <c r="DD52" s="242">
        <v>1</v>
      </c>
      <c r="DE52" s="238">
        <v>1</v>
      </c>
      <c r="DF52" s="420">
        <f t="shared" si="42"/>
        <v>2.75</v>
      </c>
      <c r="DG52" s="381"/>
      <c r="DH52" s="229">
        <f t="shared" si="33"/>
        <v>1.75</v>
      </c>
      <c r="DI52" s="242">
        <v>0</v>
      </c>
      <c r="DJ52" s="242">
        <v>1</v>
      </c>
      <c r="DK52" s="239">
        <v>1</v>
      </c>
      <c r="DL52" s="240">
        <f t="shared" si="34"/>
        <v>3.75</v>
      </c>
      <c r="DM52" s="240"/>
      <c r="DN52" s="229">
        <f t="shared" si="35"/>
        <v>2.25</v>
      </c>
      <c r="DO52" s="241">
        <v>0</v>
      </c>
      <c r="DP52" s="242">
        <v>1</v>
      </c>
      <c r="DQ52" s="230">
        <v>1.5</v>
      </c>
      <c r="DR52" s="240">
        <f t="shared" si="36"/>
        <v>4.75</v>
      </c>
      <c r="DS52" s="229">
        <f t="shared" si="37"/>
        <v>2.75</v>
      </c>
      <c r="DT52" s="241">
        <v>0</v>
      </c>
      <c r="DU52" s="242">
        <v>1</v>
      </c>
      <c r="DV52" s="230">
        <v>2</v>
      </c>
      <c r="DW52" s="240">
        <f t="shared" si="38"/>
        <v>5.75</v>
      </c>
      <c r="FG52" s="1" t="s">
        <v>949</v>
      </c>
      <c r="FH52" s="1">
        <v>1</v>
      </c>
      <c r="FI52" s="166" t="s">
        <v>468</v>
      </c>
      <c r="FJ52" s="166" t="s">
        <v>889</v>
      </c>
      <c r="FK52" s="166" t="s">
        <v>889</v>
      </c>
      <c r="FL52" s="166"/>
      <c r="FM52" s="1" t="s">
        <v>889</v>
      </c>
      <c r="FN52" s="1" t="s">
        <v>889</v>
      </c>
      <c r="FO52" s="301">
        <f t="shared" si="39"/>
        <v>23</v>
      </c>
      <c r="FP52" s="1"/>
      <c r="FQ52" s="302" t="str">
        <f>IF(FI52=0,"0",IF(FI52="5/16","8",IF(FI52="3/8","8.5",IF(FI52="1/2","11",IF(FI52="5/8","13",IF(FI52="3/4","14","8"))))))</f>
        <v>11</v>
      </c>
      <c r="FR52" s="302" t="str">
        <f t="shared" si="40"/>
        <v>3</v>
      </c>
      <c r="FS52" s="302" t="str">
        <f t="shared" si="40"/>
        <v>3</v>
      </c>
      <c r="FT52" s="302" t="str">
        <f t="shared" si="41"/>
        <v>2</v>
      </c>
      <c r="FU52" s="302" t="str">
        <f t="shared" si="43"/>
        <v>4</v>
      </c>
      <c r="FV52" s="324" t="str">
        <f t="shared" si="44"/>
        <v>11</v>
      </c>
      <c r="FW52" s="323" t="s">
        <v>949</v>
      </c>
      <c r="FX52" s="1"/>
      <c r="FY52" s="1" t="s">
        <v>977</v>
      </c>
      <c r="FZ52" s="1"/>
      <c r="GA52" s="1">
        <f t="shared" si="45"/>
        <v>12.100000000000001</v>
      </c>
      <c r="GB52" s="1"/>
      <c r="GD52" s="166" t="s">
        <v>470</v>
      </c>
      <c r="GH52" s="279" t="s">
        <v>861</v>
      </c>
      <c r="GI52" s="305">
        <v>1</v>
      </c>
      <c r="GJ52" s="160"/>
      <c r="GK52" s="309" t="str">
        <f>IF(GI52=0,"0","5")</f>
        <v>5</v>
      </c>
      <c r="GM52" s="279"/>
      <c r="GN52" s="305"/>
      <c r="GO52" s="305"/>
      <c r="GP52" s="160"/>
      <c r="GQ52" s="309"/>
      <c r="GS52" s="279" t="s">
        <v>906</v>
      </c>
      <c r="GT52" s="305" t="s">
        <v>468</v>
      </c>
      <c r="GU52" s="516" t="str">
        <f t="shared" ref="GU52:GU64" si="46">GW52</f>
        <v>3</v>
      </c>
      <c r="GV52" s="516"/>
      <c r="GW52" s="309" t="str">
        <f t="shared" ref="GW52:GW55" si="47">IF(GT52=0,"0",IF(GT52="1/2","3",IF(GT52="3/4","3","3")))</f>
        <v>3</v>
      </c>
      <c r="GX52" s="301"/>
      <c r="GY52" s="1"/>
      <c r="GZ52" s="302"/>
    </row>
    <row r="53" spans="1:269" ht="16.5" thickBot="1" x14ac:dyDescent="0.3">
      <c r="A53" s="189" t="s">
        <v>252</v>
      </c>
      <c r="B53" s="12">
        <v>1</v>
      </c>
      <c r="C53" s="86" t="s">
        <v>1241</v>
      </c>
      <c r="D53" s="12" t="s">
        <v>277</v>
      </c>
      <c r="E53" s="24"/>
      <c r="F53" s="190"/>
      <c r="G53" s="75"/>
      <c r="H53" s="189" t="s">
        <v>252</v>
      </c>
      <c r="I53" s="12">
        <v>1</v>
      </c>
      <c r="J53" s="86" t="s">
        <v>1241</v>
      </c>
      <c r="K53" s="12" t="s">
        <v>84</v>
      </c>
      <c r="L53" s="24"/>
      <c r="M53" s="190"/>
      <c r="N53" s="75"/>
      <c r="O53" s="189" t="s">
        <v>252</v>
      </c>
      <c r="P53" s="12">
        <v>1</v>
      </c>
      <c r="Q53" s="86" t="s">
        <v>1241</v>
      </c>
      <c r="R53" s="12" t="s">
        <v>80</v>
      </c>
      <c r="S53" s="24"/>
      <c r="T53" s="190"/>
      <c r="Y53" s="14" t="s">
        <v>25</v>
      </c>
      <c r="Z53" s="12">
        <v>1</v>
      </c>
      <c r="AA53" s="14" t="s">
        <v>638</v>
      </c>
      <c r="AB53" s="12" t="s">
        <v>77</v>
      </c>
      <c r="AC53" s="153"/>
      <c r="AD53" s="153"/>
      <c r="AE53" s="95"/>
      <c r="AF53" s="32" t="s">
        <v>554</v>
      </c>
      <c r="AG53" s="75"/>
      <c r="AH53" s="23" t="s">
        <v>181</v>
      </c>
      <c r="AI53" s="12">
        <v>1</v>
      </c>
      <c r="AJ53" s="23" t="s">
        <v>639</v>
      </c>
      <c r="AK53" s="12" t="s">
        <v>77</v>
      </c>
      <c r="AL53" s="149"/>
      <c r="AM53" s="53"/>
      <c r="AN53" s="95"/>
      <c r="AO53" s="32" t="s">
        <v>554</v>
      </c>
      <c r="AQ53" s="582"/>
      <c r="AR53" s="582"/>
      <c r="AS53" s="582"/>
      <c r="AT53" s="582"/>
      <c r="AU53" s="582"/>
      <c r="AX53" s="14" t="s">
        <v>25</v>
      </c>
      <c r="AY53" s="12">
        <v>1</v>
      </c>
      <c r="AZ53" s="14" t="s">
        <v>638</v>
      </c>
      <c r="BA53" s="12" t="s">
        <v>27</v>
      </c>
      <c r="BB53" s="153"/>
      <c r="BC53" s="24"/>
      <c r="BD53" s="95"/>
      <c r="BE53" s="23" t="s">
        <v>336</v>
      </c>
      <c r="BF53" s="75"/>
      <c r="BG53" s="23" t="s">
        <v>181</v>
      </c>
      <c r="BH53" s="12">
        <v>1</v>
      </c>
      <c r="BI53" s="23" t="s">
        <v>639</v>
      </c>
      <c r="BJ53" s="88" t="s">
        <v>27</v>
      </c>
      <c r="BK53" s="149"/>
      <c r="BL53" s="145"/>
      <c r="BM53" s="95"/>
      <c r="BN53" s="106" t="s">
        <v>336</v>
      </c>
      <c r="BP53" s="582"/>
      <c r="BQ53" s="582"/>
      <c r="BR53" s="582"/>
      <c r="BS53" s="582"/>
      <c r="BT53" s="582"/>
      <c r="BX53" s="14" t="s">
        <v>25</v>
      </c>
      <c r="BY53" s="12">
        <v>1</v>
      </c>
      <c r="BZ53" s="14" t="s">
        <v>638</v>
      </c>
      <c r="CA53" s="88" t="s">
        <v>74</v>
      </c>
      <c r="CB53" s="153"/>
      <c r="CC53" s="153"/>
      <c r="CD53" s="95"/>
      <c r="CE53" s="32" t="s">
        <v>284</v>
      </c>
      <c r="CF53" s="75"/>
      <c r="CG53" s="23" t="s">
        <v>181</v>
      </c>
      <c r="CH53" s="12">
        <v>1</v>
      </c>
      <c r="CI53" s="23" t="s">
        <v>639</v>
      </c>
      <c r="CJ53" s="12" t="s">
        <v>74</v>
      </c>
      <c r="CK53" s="149"/>
      <c r="CL53" s="22"/>
      <c r="CM53" s="95"/>
      <c r="CN53" s="32" t="s">
        <v>284</v>
      </c>
      <c r="CP53" s="582"/>
      <c r="CQ53" s="582"/>
      <c r="CR53" s="582"/>
      <c r="CS53" s="582"/>
      <c r="CT53" s="582"/>
      <c r="CX53" s="234" t="s">
        <v>767</v>
      </c>
      <c r="CY53" s="235" t="s">
        <v>768</v>
      </c>
      <c r="CZ53" s="236">
        <v>1</v>
      </c>
      <c r="DA53" s="237" t="s">
        <v>804</v>
      </c>
      <c r="DB53" s="265">
        <v>0.75</v>
      </c>
      <c r="DC53" s="242">
        <v>0</v>
      </c>
      <c r="DD53" s="242">
        <v>1</v>
      </c>
      <c r="DE53" s="238">
        <v>1</v>
      </c>
      <c r="DF53" s="420">
        <f t="shared" si="42"/>
        <v>2.75</v>
      </c>
      <c r="DG53" s="381"/>
      <c r="DH53" s="229">
        <f t="shared" si="33"/>
        <v>1.75</v>
      </c>
      <c r="DI53" s="242">
        <v>0</v>
      </c>
      <c r="DJ53" s="242">
        <v>1</v>
      </c>
      <c r="DK53" s="239">
        <v>1</v>
      </c>
      <c r="DL53" s="240">
        <f t="shared" si="34"/>
        <v>3.75</v>
      </c>
      <c r="DM53" s="240"/>
      <c r="DN53" s="229">
        <f t="shared" si="35"/>
        <v>2.25</v>
      </c>
      <c r="DO53" s="241">
        <v>0</v>
      </c>
      <c r="DP53" s="242">
        <v>1</v>
      </c>
      <c r="DQ53" s="230">
        <v>1.5</v>
      </c>
      <c r="DR53" s="240">
        <f t="shared" si="36"/>
        <v>4.75</v>
      </c>
      <c r="DS53" s="229">
        <f t="shared" si="37"/>
        <v>2.75</v>
      </c>
      <c r="DT53" s="241">
        <v>0</v>
      </c>
      <c r="DU53" s="242">
        <v>1</v>
      </c>
      <c r="DV53" s="230">
        <v>2</v>
      </c>
      <c r="DW53" s="240">
        <f t="shared" si="38"/>
        <v>5.75</v>
      </c>
      <c r="FG53" s="1" t="s">
        <v>950</v>
      </c>
      <c r="FH53" s="1">
        <v>1</v>
      </c>
      <c r="FI53" s="166" t="s">
        <v>468</v>
      </c>
      <c r="FJ53" s="166" t="s">
        <v>889</v>
      </c>
      <c r="FK53" s="166" t="s">
        <v>889</v>
      </c>
      <c r="FL53" s="166"/>
      <c r="FM53" s="1" t="s">
        <v>889</v>
      </c>
      <c r="FN53" s="1" t="s">
        <v>889</v>
      </c>
      <c r="FO53" s="301">
        <f t="shared" si="39"/>
        <v>27.5</v>
      </c>
      <c r="FP53" s="1"/>
      <c r="FQ53" s="302" t="str">
        <f>IF(FI53=0,"0",IF(FI53="5/16","10",IF(FI53="3/8","10.5",IF(FI53="1/2","13.5",IF(FI53="5/8","15.5",IF(FI53="3/4","16","10"))))))</f>
        <v>13.5</v>
      </c>
      <c r="FR53" s="302" t="str">
        <f t="shared" ref="FR53:FS56" si="48">IF(FJ53="Yes","4","0")</f>
        <v>4</v>
      </c>
      <c r="FS53" s="302" t="str">
        <f t="shared" si="48"/>
        <v>4</v>
      </c>
      <c r="FT53" s="302" t="str">
        <f t="shared" si="41"/>
        <v>2</v>
      </c>
      <c r="FU53" s="302" t="str">
        <f t="shared" si="43"/>
        <v>4</v>
      </c>
      <c r="FV53" s="324" t="str">
        <f t="shared" si="44"/>
        <v>13.5</v>
      </c>
      <c r="FW53" s="323" t="s">
        <v>950</v>
      </c>
      <c r="FX53" s="1"/>
      <c r="FY53" s="1" t="s">
        <v>978</v>
      </c>
      <c r="FZ53" s="1"/>
      <c r="GA53" s="1">
        <f t="shared" si="45"/>
        <v>14.850000000000001</v>
      </c>
      <c r="GB53" s="1"/>
      <c r="GD53" s="166"/>
      <c r="GH53" s="279" t="s">
        <v>907</v>
      </c>
      <c r="GI53" s="305">
        <v>1</v>
      </c>
      <c r="GJ53" s="160"/>
      <c r="GK53" s="309" t="str">
        <f>IF(GI53=0,"0","5")</f>
        <v>5</v>
      </c>
      <c r="GM53" s="279"/>
      <c r="GN53" s="305"/>
      <c r="GO53" s="305"/>
      <c r="GP53" s="160"/>
      <c r="GQ53" s="309"/>
      <c r="GS53" s="279" t="s">
        <v>861</v>
      </c>
      <c r="GT53" s="305" t="s">
        <v>468</v>
      </c>
      <c r="GU53" s="516" t="str">
        <f t="shared" si="46"/>
        <v>3</v>
      </c>
      <c r="GV53" s="516"/>
      <c r="GW53" s="309" t="str">
        <f t="shared" si="47"/>
        <v>3</v>
      </c>
      <c r="GX53" s="301"/>
      <c r="GY53" s="1"/>
      <c r="GZ53" s="302"/>
    </row>
    <row r="54" spans="1:269" ht="16.5" thickBot="1" x14ac:dyDescent="0.3">
      <c r="A54" s="189" t="s">
        <v>367</v>
      </c>
      <c r="B54" s="12">
        <v>2</v>
      </c>
      <c r="C54" s="86" t="s">
        <v>1236</v>
      </c>
      <c r="D54" s="12" t="s">
        <v>91</v>
      </c>
      <c r="E54" s="24"/>
      <c r="F54" s="191"/>
      <c r="G54" s="75"/>
      <c r="H54" s="189" t="s">
        <v>367</v>
      </c>
      <c r="I54" s="12">
        <v>2</v>
      </c>
      <c r="J54" s="86" t="s">
        <v>1236</v>
      </c>
      <c r="K54" s="12" t="s">
        <v>84</v>
      </c>
      <c r="L54" s="24"/>
      <c r="M54" s="191"/>
      <c r="N54" s="75"/>
      <c r="O54" s="189" t="s">
        <v>367</v>
      </c>
      <c r="P54" s="12">
        <v>2</v>
      </c>
      <c r="Q54" s="86" t="s">
        <v>1236</v>
      </c>
      <c r="R54" s="12" t="s">
        <v>84</v>
      </c>
      <c r="S54" s="24"/>
      <c r="T54" s="191"/>
      <c r="Y54" s="14" t="s">
        <v>25</v>
      </c>
      <c r="Z54" s="12">
        <v>1</v>
      </c>
      <c r="AA54" s="14" t="s">
        <v>640</v>
      </c>
      <c r="AB54" s="12" t="s">
        <v>77</v>
      </c>
      <c r="AC54" s="153"/>
      <c r="AD54" s="153"/>
      <c r="AE54" s="95"/>
      <c r="AF54" s="32" t="s">
        <v>554</v>
      </c>
      <c r="AG54" s="75"/>
      <c r="AH54" s="23" t="s">
        <v>181</v>
      </c>
      <c r="AI54" s="12">
        <v>1</v>
      </c>
      <c r="AJ54" s="23" t="s">
        <v>641</v>
      </c>
      <c r="AK54" s="12" t="s">
        <v>77</v>
      </c>
      <c r="AL54" s="149"/>
      <c r="AM54" s="53"/>
      <c r="AN54" s="95"/>
      <c r="AO54" s="32" t="s">
        <v>554</v>
      </c>
      <c r="AX54" s="14" t="s">
        <v>25</v>
      </c>
      <c r="AY54" s="12">
        <v>1</v>
      </c>
      <c r="AZ54" s="14" t="s">
        <v>640</v>
      </c>
      <c r="BA54" s="12" t="s">
        <v>27</v>
      </c>
      <c r="BB54" s="153"/>
      <c r="BC54" s="24"/>
      <c r="BD54" s="95"/>
      <c r="BE54" s="23" t="s">
        <v>336</v>
      </c>
      <c r="BF54" s="75"/>
      <c r="BG54" s="23" t="s">
        <v>181</v>
      </c>
      <c r="BH54" s="12">
        <v>1</v>
      </c>
      <c r="BI54" s="23" t="s">
        <v>641</v>
      </c>
      <c r="BJ54" s="88" t="s">
        <v>27</v>
      </c>
      <c r="BK54" s="149"/>
      <c r="BL54" s="145"/>
      <c r="BM54" s="95"/>
      <c r="BN54" s="106" t="s">
        <v>336</v>
      </c>
      <c r="BX54" s="14" t="s">
        <v>25</v>
      </c>
      <c r="BY54" s="12">
        <v>1</v>
      </c>
      <c r="BZ54" s="14" t="s">
        <v>640</v>
      </c>
      <c r="CA54" s="88" t="s">
        <v>74</v>
      </c>
      <c r="CB54" s="153"/>
      <c r="CC54" s="153"/>
      <c r="CD54" s="95"/>
      <c r="CE54" s="32" t="s">
        <v>284</v>
      </c>
      <c r="CF54" s="75"/>
      <c r="CG54" s="23" t="s">
        <v>181</v>
      </c>
      <c r="CH54" s="12">
        <v>1</v>
      </c>
      <c r="CI54" s="23" t="s">
        <v>641</v>
      </c>
      <c r="CJ54" s="12" t="s">
        <v>74</v>
      </c>
      <c r="CK54" s="149"/>
      <c r="CL54" s="145"/>
      <c r="CM54" s="95"/>
      <c r="CN54" s="32" t="s">
        <v>284</v>
      </c>
      <c r="CX54" s="234" t="s">
        <v>769</v>
      </c>
      <c r="CY54" s="235" t="s">
        <v>770</v>
      </c>
      <c r="CZ54" s="243">
        <v>2</v>
      </c>
      <c r="DA54" s="237" t="s">
        <v>805</v>
      </c>
      <c r="DB54" s="265">
        <v>1.5</v>
      </c>
      <c r="DC54" s="242">
        <v>1</v>
      </c>
      <c r="DD54" s="242">
        <v>1</v>
      </c>
      <c r="DE54" s="238">
        <v>1</v>
      </c>
      <c r="DF54" s="420">
        <f t="shared" si="42"/>
        <v>4.5</v>
      </c>
      <c r="DG54" s="381"/>
      <c r="DH54" s="229">
        <f t="shared" si="33"/>
        <v>3.5</v>
      </c>
      <c r="DI54" s="242">
        <v>1</v>
      </c>
      <c r="DJ54" s="242">
        <v>1</v>
      </c>
      <c r="DK54" s="239">
        <v>1</v>
      </c>
      <c r="DL54" s="240">
        <f t="shared" si="34"/>
        <v>6.5</v>
      </c>
      <c r="DM54" s="240"/>
      <c r="DN54" s="229">
        <f t="shared" si="35"/>
        <v>4.5</v>
      </c>
      <c r="DO54" s="241">
        <v>1.5</v>
      </c>
      <c r="DP54" s="242">
        <v>1</v>
      </c>
      <c r="DQ54" s="230">
        <v>1.5</v>
      </c>
      <c r="DR54" s="240">
        <f t="shared" si="36"/>
        <v>8.5</v>
      </c>
      <c r="DS54" s="229">
        <f t="shared" si="37"/>
        <v>5.5</v>
      </c>
      <c r="DT54" s="241">
        <v>2</v>
      </c>
      <c r="DU54" s="242">
        <v>1</v>
      </c>
      <c r="DV54" s="230">
        <v>2</v>
      </c>
      <c r="DW54" s="240">
        <f>SUM(DS54:DV54)</f>
        <v>10.5</v>
      </c>
      <c r="FG54" s="1" t="s">
        <v>951</v>
      </c>
      <c r="FH54" s="1">
        <v>1</v>
      </c>
      <c r="FI54" s="166" t="s">
        <v>468</v>
      </c>
      <c r="FJ54" s="166" t="s">
        <v>889</v>
      </c>
      <c r="FK54" s="166" t="s">
        <v>889</v>
      </c>
      <c r="FL54" s="166"/>
      <c r="FM54" s="1" t="s">
        <v>889</v>
      </c>
      <c r="FN54" s="1" t="s">
        <v>889</v>
      </c>
      <c r="FO54" s="301">
        <f t="shared" si="39"/>
        <v>31</v>
      </c>
      <c r="FP54" s="1"/>
      <c r="FQ54" s="302" t="str">
        <f>IF(FI54=0,"0",IF(FI54="5/16","12",IF(FI54="3/8","13",IF(FI54="1/2","17",IF(FI54="5/8","20",IF(FI54="3/4","22","12"))))))</f>
        <v>17</v>
      </c>
      <c r="FR54" s="302" t="str">
        <f t="shared" si="48"/>
        <v>4</v>
      </c>
      <c r="FS54" s="302" t="str">
        <f t="shared" si="48"/>
        <v>4</v>
      </c>
      <c r="FT54" s="302" t="str">
        <f t="shared" si="41"/>
        <v>2</v>
      </c>
      <c r="FU54" s="302" t="str">
        <f t="shared" si="43"/>
        <v>4</v>
      </c>
      <c r="FV54" s="324" t="str">
        <f t="shared" si="44"/>
        <v>17</v>
      </c>
      <c r="FW54" s="323" t="s">
        <v>951</v>
      </c>
      <c r="FX54" s="1"/>
      <c r="FY54" s="1" t="s">
        <v>979</v>
      </c>
      <c r="FZ54" s="1"/>
      <c r="GA54" s="1">
        <f t="shared" si="45"/>
        <v>18.700000000000003</v>
      </c>
      <c r="GB54" s="1"/>
      <c r="GD54" s="166"/>
      <c r="GH54" s="279" t="s">
        <v>908</v>
      </c>
      <c r="GI54" s="305">
        <v>1</v>
      </c>
      <c r="GJ54" s="160"/>
      <c r="GK54" s="309" t="str">
        <f>IF(GI54=0,"0","5")</f>
        <v>5</v>
      </c>
      <c r="GM54" s="279"/>
      <c r="GN54" s="305"/>
      <c r="GO54" s="305"/>
      <c r="GP54" s="160"/>
      <c r="GQ54" s="309"/>
      <c r="GS54" s="279" t="s">
        <v>907</v>
      </c>
      <c r="GT54" s="305" t="s">
        <v>468</v>
      </c>
      <c r="GU54" s="516" t="str">
        <f t="shared" si="46"/>
        <v>3</v>
      </c>
      <c r="GV54" s="516"/>
      <c r="GW54" s="309" t="str">
        <f t="shared" si="47"/>
        <v>3</v>
      </c>
      <c r="GX54" s="301"/>
      <c r="GY54" s="1"/>
      <c r="GZ54" s="302"/>
    </row>
    <row r="55" spans="1:269" ht="16.5" thickBot="1" x14ac:dyDescent="0.3">
      <c r="A55" s="189" t="s">
        <v>114</v>
      </c>
      <c r="B55" s="12">
        <v>1</v>
      </c>
      <c r="C55" s="86" t="s">
        <v>242</v>
      </c>
      <c r="D55" s="12" t="s">
        <v>91</v>
      </c>
      <c r="E55" s="24">
        <v>25</v>
      </c>
      <c r="F55" s="191">
        <v>1</v>
      </c>
      <c r="G55" s="75"/>
      <c r="H55" s="189" t="s">
        <v>114</v>
      </c>
      <c r="I55" s="12">
        <v>1</v>
      </c>
      <c r="J55" s="86" t="s">
        <v>242</v>
      </c>
      <c r="K55" s="12" t="s">
        <v>84</v>
      </c>
      <c r="L55" s="24">
        <v>30</v>
      </c>
      <c r="M55" s="191">
        <v>1</v>
      </c>
      <c r="N55" s="75"/>
      <c r="O55" s="189" t="s">
        <v>114</v>
      </c>
      <c r="P55" s="12">
        <v>1</v>
      </c>
      <c r="Q55" s="86" t="s">
        <v>242</v>
      </c>
      <c r="R55" s="12" t="s">
        <v>84</v>
      </c>
      <c r="S55" s="24">
        <v>30</v>
      </c>
      <c r="T55" s="191">
        <v>1</v>
      </c>
      <c r="Y55" s="14" t="s">
        <v>25</v>
      </c>
      <c r="Z55" s="12">
        <v>1</v>
      </c>
      <c r="AA55" s="14" t="s">
        <v>642</v>
      </c>
      <c r="AB55" s="12" t="s">
        <v>77</v>
      </c>
      <c r="AC55" s="153">
        <f>Z55*168</f>
        <v>168</v>
      </c>
      <c r="AD55" s="153"/>
      <c r="AE55" s="95">
        <v>45775</v>
      </c>
      <c r="AF55" s="32" t="s">
        <v>554</v>
      </c>
      <c r="AG55" s="75"/>
      <c r="AH55" s="23" t="s">
        <v>181</v>
      </c>
      <c r="AI55" s="12">
        <v>1</v>
      </c>
      <c r="AJ55" s="23" t="s">
        <v>643</v>
      </c>
      <c r="AK55" s="12" t="s">
        <v>77</v>
      </c>
      <c r="AL55" s="153">
        <f>AI55*200</f>
        <v>200</v>
      </c>
      <c r="AM55" s="50"/>
      <c r="AN55" s="95">
        <v>45775</v>
      </c>
      <c r="AO55" s="32" t="s">
        <v>554</v>
      </c>
      <c r="AX55" s="14" t="s">
        <v>25</v>
      </c>
      <c r="AY55" s="12">
        <v>1</v>
      </c>
      <c r="AZ55" s="14" t="s">
        <v>642</v>
      </c>
      <c r="BA55" s="12" t="s">
        <v>27</v>
      </c>
      <c r="BB55" s="153"/>
      <c r="BC55" s="153"/>
      <c r="BD55" s="95"/>
      <c r="BE55" s="23" t="s">
        <v>336</v>
      </c>
      <c r="BF55" s="75"/>
      <c r="BG55" s="23" t="s">
        <v>181</v>
      </c>
      <c r="BH55" s="12">
        <v>1</v>
      </c>
      <c r="BI55" s="23" t="s">
        <v>643</v>
      </c>
      <c r="BJ55" s="88" t="s">
        <v>27</v>
      </c>
      <c r="BK55" s="111"/>
      <c r="BL55" s="93"/>
      <c r="BM55" s="95"/>
      <c r="BN55" s="106" t="s">
        <v>336</v>
      </c>
      <c r="BX55" s="14" t="s">
        <v>25</v>
      </c>
      <c r="BY55" s="12">
        <v>1</v>
      </c>
      <c r="BZ55" s="14" t="s">
        <v>642</v>
      </c>
      <c r="CA55" s="88" t="s">
        <v>74</v>
      </c>
      <c r="CB55" s="153"/>
      <c r="CC55" s="153"/>
      <c r="CD55" s="95"/>
      <c r="CE55" s="32" t="s">
        <v>284</v>
      </c>
      <c r="CF55" s="75"/>
      <c r="CG55" s="23" t="s">
        <v>181</v>
      </c>
      <c r="CH55" s="12">
        <v>1</v>
      </c>
      <c r="CI55" s="23" t="s">
        <v>643</v>
      </c>
      <c r="CJ55" s="12" t="s">
        <v>74</v>
      </c>
      <c r="CK55" s="111"/>
      <c r="CL55" s="26"/>
      <c r="CM55" s="95"/>
      <c r="CN55" s="32" t="s">
        <v>284</v>
      </c>
      <c r="CX55" s="234" t="s">
        <v>771</v>
      </c>
      <c r="CY55" s="235" t="s">
        <v>772</v>
      </c>
      <c r="CZ55" s="243">
        <v>2</v>
      </c>
      <c r="DA55" s="237" t="s">
        <v>806</v>
      </c>
      <c r="DB55" s="265">
        <v>1.5</v>
      </c>
      <c r="DC55" s="242">
        <v>1</v>
      </c>
      <c r="DD55" s="242">
        <v>1</v>
      </c>
      <c r="DE55" s="238">
        <v>1</v>
      </c>
      <c r="DF55" s="420">
        <f t="shared" si="42"/>
        <v>4.5</v>
      </c>
      <c r="DG55" s="381"/>
      <c r="DH55" s="229">
        <f t="shared" si="33"/>
        <v>3.5</v>
      </c>
      <c r="DI55" s="242">
        <v>1</v>
      </c>
      <c r="DJ55" s="242">
        <v>1</v>
      </c>
      <c r="DK55" s="239">
        <v>1</v>
      </c>
      <c r="DL55" s="240">
        <f t="shared" si="34"/>
        <v>6.5</v>
      </c>
      <c r="DM55" s="240"/>
      <c r="DN55" s="229">
        <f t="shared" si="35"/>
        <v>4.5</v>
      </c>
      <c r="DO55" s="241">
        <v>1.5</v>
      </c>
      <c r="DP55" s="242">
        <v>1</v>
      </c>
      <c r="DQ55" s="230">
        <v>1.5</v>
      </c>
      <c r="DR55" s="240">
        <f t="shared" si="36"/>
        <v>8.5</v>
      </c>
      <c r="DS55" s="229">
        <f t="shared" si="37"/>
        <v>5.5</v>
      </c>
      <c r="DT55" s="241">
        <v>2</v>
      </c>
      <c r="DU55" s="242">
        <v>1</v>
      </c>
      <c r="DV55" s="230">
        <v>2</v>
      </c>
      <c r="DW55" s="240">
        <f t="shared" si="38"/>
        <v>10.5</v>
      </c>
      <c r="FG55" s="1" t="s">
        <v>952</v>
      </c>
      <c r="FH55" s="1">
        <v>1</v>
      </c>
      <c r="FI55" s="166" t="s">
        <v>468</v>
      </c>
      <c r="FJ55" s="166" t="s">
        <v>889</v>
      </c>
      <c r="FK55" s="166" t="s">
        <v>889</v>
      </c>
      <c r="FL55" s="166"/>
      <c r="FM55" s="1" t="s">
        <v>889</v>
      </c>
      <c r="FN55" s="1" t="s">
        <v>889</v>
      </c>
      <c r="FO55" s="301">
        <f t="shared" si="39"/>
        <v>34</v>
      </c>
      <c r="FP55" s="1"/>
      <c r="FQ55" s="302" t="str">
        <f>IF(FI55=0,"0",IF(FI55="5/16","13",IF(FI55="3/8","15",IF(FI55="1/2","20",IF(FI55="5/8","24",IF(FI55="3/4","26","13"))))))</f>
        <v>20</v>
      </c>
      <c r="FR55" s="302" t="str">
        <f t="shared" si="48"/>
        <v>4</v>
      </c>
      <c r="FS55" s="302" t="str">
        <f t="shared" si="48"/>
        <v>4</v>
      </c>
      <c r="FT55" s="302" t="str">
        <f t="shared" si="41"/>
        <v>2</v>
      </c>
      <c r="FU55" s="302" t="str">
        <f t="shared" si="43"/>
        <v>4</v>
      </c>
      <c r="FV55" s="324" t="str">
        <f t="shared" si="44"/>
        <v>20</v>
      </c>
      <c r="FW55" s="323" t="s">
        <v>952</v>
      </c>
      <c r="FX55" s="1"/>
      <c r="FY55" s="1" t="s">
        <v>974</v>
      </c>
      <c r="FZ55" s="1"/>
      <c r="GA55" s="1">
        <f t="shared" si="45"/>
        <v>22</v>
      </c>
      <c r="GB55" s="1"/>
      <c r="GD55" s="1"/>
      <c r="GH55" s="279" t="s">
        <v>909</v>
      </c>
      <c r="GI55" s="305">
        <v>1</v>
      </c>
      <c r="GJ55" s="160"/>
      <c r="GK55" s="309" t="str">
        <f>IF(GI55=0,"0","7")</f>
        <v>7</v>
      </c>
      <c r="GM55" s="279"/>
      <c r="GN55" s="305"/>
      <c r="GO55" s="305"/>
      <c r="GP55" s="160"/>
      <c r="GQ55" s="309"/>
      <c r="GS55" s="279" t="s">
        <v>908</v>
      </c>
      <c r="GT55" s="305" t="s">
        <v>468</v>
      </c>
      <c r="GU55" s="516" t="str">
        <f t="shared" si="46"/>
        <v>3</v>
      </c>
      <c r="GV55" s="516"/>
      <c r="GW55" s="309" t="str">
        <f t="shared" si="47"/>
        <v>3</v>
      </c>
      <c r="GX55" s="301"/>
      <c r="GY55" s="1"/>
      <c r="GZ55" s="302"/>
    </row>
    <row r="56" spans="1:269" ht="16.5" thickBot="1" x14ac:dyDescent="0.3">
      <c r="A56" s="189" t="s">
        <v>85</v>
      </c>
      <c r="B56" s="12">
        <v>1</v>
      </c>
      <c r="C56" s="86" t="s">
        <v>253</v>
      </c>
      <c r="D56" s="12" t="s">
        <v>91</v>
      </c>
      <c r="E56" s="24"/>
      <c r="F56" s="192">
        <f>B56*1</f>
        <v>1</v>
      </c>
      <c r="G56" s="75"/>
      <c r="H56" s="189" t="s">
        <v>85</v>
      </c>
      <c r="I56" s="12">
        <v>1</v>
      </c>
      <c r="J56" s="86" t="s">
        <v>253</v>
      </c>
      <c r="K56" s="12" t="s">
        <v>84</v>
      </c>
      <c r="L56" s="24"/>
      <c r="M56" s="192">
        <f>I56*1</f>
        <v>1</v>
      </c>
      <c r="N56" s="75"/>
      <c r="O56" s="189" t="s">
        <v>85</v>
      </c>
      <c r="P56" s="12">
        <v>1</v>
      </c>
      <c r="Q56" s="86" t="s">
        <v>253</v>
      </c>
      <c r="R56" s="12" t="s">
        <v>84</v>
      </c>
      <c r="S56" s="24"/>
      <c r="T56" s="192">
        <f>P56*1</f>
        <v>1</v>
      </c>
      <c r="Y56" s="14" t="s">
        <v>25</v>
      </c>
      <c r="Z56" s="12">
        <v>1</v>
      </c>
      <c r="AA56" s="14" t="s">
        <v>644</v>
      </c>
      <c r="AB56" s="12" t="s">
        <v>77</v>
      </c>
      <c r="AC56" s="153">
        <f>Z56*300</f>
        <v>300</v>
      </c>
      <c r="AD56" s="96"/>
      <c r="AE56" s="95"/>
      <c r="AF56" s="32" t="s">
        <v>554</v>
      </c>
      <c r="AG56" s="75"/>
      <c r="AH56" s="23" t="s">
        <v>181</v>
      </c>
      <c r="AI56" s="12">
        <v>1</v>
      </c>
      <c r="AJ56" s="23" t="s">
        <v>645</v>
      </c>
      <c r="AK56" s="12" t="s">
        <v>77</v>
      </c>
      <c r="AL56" s="149"/>
      <c r="AM56" s="50"/>
      <c r="AN56" s="95"/>
      <c r="AO56" s="32" t="s">
        <v>554</v>
      </c>
      <c r="AX56" s="14" t="s">
        <v>25</v>
      </c>
      <c r="AY56" s="12">
        <v>1</v>
      </c>
      <c r="AZ56" s="14" t="s">
        <v>644</v>
      </c>
      <c r="BA56" s="12" t="s">
        <v>27</v>
      </c>
      <c r="BB56" s="153"/>
      <c r="BC56" s="96"/>
      <c r="BD56" s="95"/>
      <c r="BE56" s="23" t="s">
        <v>336</v>
      </c>
      <c r="BF56" s="75"/>
      <c r="BG56" s="23" t="s">
        <v>181</v>
      </c>
      <c r="BH56" s="12">
        <v>1</v>
      </c>
      <c r="BI56" s="23" t="s">
        <v>645</v>
      </c>
      <c r="BJ56" s="88" t="s">
        <v>27</v>
      </c>
      <c r="BK56" s="149"/>
      <c r="BL56" s="93"/>
      <c r="BM56" s="95"/>
      <c r="BN56" s="106" t="s">
        <v>336</v>
      </c>
      <c r="BX56" s="14" t="s">
        <v>25</v>
      </c>
      <c r="BY56" s="12">
        <v>1</v>
      </c>
      <c r="BZ56" s="14" t="s">
        <v>644</v>
      </c>
      <c r="CA56" s="88" t="s">
        <v>74</v>
      </c>
      <c r="CB56" s="153"/>
      <c r="CC56" s="96"/>
      <c r="CD56" s="95"/>
      <c r="CE56" s="32" t="s">
        <v>284</v>
      </c>
      <c r="CF56" s="75"/>
      <c r="CG56" s="23" t="s">
        <v>181</v>
      </c>
      <c r="CH56" s="12">
        <v>1</v>
      </c>
      <c r="CI56" s="23" t="s">
        <v>645</v>
      </c>
      <c r="CJ56" s="88" t="s">
        <v>74</v>
      </c>
      <c r="CK56" s="149"/>
      <c r="CL56" s="93"/>
      <c r="CM56" s="95"/>
      <c r="CN56" s="32" t="s">
        <v>284</v>
      </c>
      <c r="CX56" s="234" t="s">
        <v>773</v>
      </c>
      <c r="CY56" s="235" t="s">
        <v>774</v>
      </c>
      <c r="CZ56" s="243">
        <v>2</v>
      </c>
      <c r="DA56" s="237" t="s">
        <v>807</v>
      </c>
      <c r="DB56" s="265">
        <v>1.5</v>
      </c>
      <c r="DC56" s="242">
        <v>1</v>
      </c>
      <c r="DD56" s="242">
        <v>1</v>
      </c>
      <c r="DE56" s="238">
        <v>1</v>
      </c>
      <c r="DF56" s="420">
        <f t="shared" si="42"/>
        <v>4.5</v>
      </c>
      <c r="DG56" s="381"/>
      <c r="DH56" s="229">
        <f t="shared" si="33"/>
        <v>3.5</v>
      </c>
      <c r="DI56" s="242">
        <v>1</v>
      </c>
      <c r="DJ56" s="242">
        <v>1</v>
      </c>
      <c r="DK56" s="239">
        <v>1</v>
      </c>
      <c r="DL56" s="240">
        <f t="shared" si="34"/>
        <v>6.5</v>
      </c>
      <c r="DM56" s="240"/>
      <c r="DN56" s="229">
        <f t="shared" si="35"/>
        <v>4.5</v>
      </c>
      <c r="DO56" s="241">
        <v>1.5</v>
      </c>
      <c r="DP56" s="242">
        <v>1</v>
      </c>
      <c r="DQ56" s="230">
        <v>1.5</v>
      </c>
      <c r="DR56" s="240">
        <f t="shared" si="36"/>
        <v>8.5</v>
      </c>
      <c r="DS56" s="229">
        <f t="shared" si="37"/>
        <v>5.5</v>
      </c>
      <c r="DT56" s="241">
        <v>2</v>
      </c>
      <c r="DU56" s="242">
        <v>1</v>
      </c>
      <c r="DV56" s="230">
        <v>2</v>
      </c>
      <c r="DW56" s="240">
        <f t="shared" si="38"/>
        <v>10.5</v>
      </c>
      <c r="FG56" s="1" t="s">
        <v>953</v>
      </c>
      <c r="FH56" s="1">
        <v>1</v>
      </c>
      <c r="FI56" s="166" t="s">
        <v>468</v>
      </c>
      <c r="FJ56" s="166" t="s">
        <v>889</v>
      </c>
      <c r="FK56" s="166" t="s">
        <v>889</v>
      </c>
      <c r="FL56" s="166"/>
      <c r="FM56" s="1" t="s">
        <v>889</v>
      </c>
      <c r="FN56" s="1" t="s">
        <v>889</v>
      </c>
      <c r="FO56" s="301">
        <f t="shared" si="39"/>
        <v>36</v>
      </c>
      <c r="FP56" s="1"/>
      <c r="FQ56" s="302" t="str">
        <f>IF(FI56=0,"0",IF(FI56="5/16","14",IF(FI56="3/8","16",IF(FI56="1/2","22",IF(FI56="5/8","26",IF(FI56="3/4","28","14"))))))</f>
        <v>22</v>
      </c>
      <c r="FR56" s="302" t="str">
        <f t="shared" si="48"/>
        <v>4</v>
      </c>
      <c r="FS56" s="302" t="str">
        <f t="shared" si="48"/>
        <v>4</v>
      </c>
      <c r="FT56" s="302" t="str">
        <f t="shared" si="41"/>
        <v>2</v>
      </c>
      <c r="FU56" s="302" t="str">
        <f t="shared" si="43"/>
        <v>4</v>
      </c>
      <c r="FV56" s="324" t="str">
        <f t="shared" si="44"/>
        <v>22</v>
      </c>
      <c r="FW56" s="323" t="s">
        <v>953</v>
      </c>
      <c r="FX56" s="1"/>
      <c r="FY56" s="1" t="s">
        <v>969</v>
      </c>
      <c r="FZ56" s="1"/>
      <c r="GA56" s="1">
        <f t="shared" si="45"/>
        <v>24.200000000000003</v>
      </c>
      <c r="GB56" s="1"/>
      <c r="GD56" s="1"/>
      <c r="GH56" s="279" t="s">
        <v>910</v>
      </c>
      <c r="GI56" s="305">
        <v>1</v>
      </c>
      <c r="GJ56" s="160"/>
      <c r="GK56" s="309" t="str">
        <f>IF(GI56=0,"0","7")</f>
        <v>7</v>
      </c>
      <c r="GM56" s="279"/>
      <c r="GN56" s="305"/>
      <c r="GO56" s="305"/>
      <c r="GP56" s="160"/>
      <c r="GQ56" s="309"/>
      <c r="GS56" s="279" t="s">
        <v>909</v>
      </c>
      <c r="GT56" s="305" t="s">
        <v>468</v>
      </c>
      <c r="GU56" s="516" t="str">
        <f t="shared" si="46"/>
        <v>5</v>
      </c>
      <c r="GV56" s="516"/>
      <c r="GW56" s="309" t="str">
        <f>IF(GT56=0,"0",IF(GT56="1/2","5",IF(GT56="3/4","6","7")))</f>
        <v>5</v>
      </c>
      <c r="GX56" s="301"/>
      <c r="GY56" s="1"/>
      <c r="GZ56" s="302"/>
    </row>
    <row r="57" spans="1:269" ht="16.5" thickBot="1" x14ac:dyDescent="0.3">
      <c r="A57" s="189" t="s">
        <v>321</v>
      </c>
      <c r="B57" s="12">
        <v>4</v>
      </c>
      <c r="C57" s="86" t="s">
        <v>322</v>
      </c>
      <c r="D57" s="12" t="s">
        <v>91</v>
      </c>
      <c r="E57" s="24"/>
      <c r="F57" s="192"/>
      <c r="G57" s="75"/>
      <c r="H57" s="189" t="s">
        <v>321</v>
      </c>
      <c r="I57" s="12">
        <v>4</v>
      </c>
      <c r="J57" s="86" t="s">
        <v>322</v>
      </c>
      <c r="K57" s="12" t="s">
        <v>84</v>
      </c>
      <c r="L57" s="24"/>
      <c r="M57" s="192"/>
      <c r="N57" s="75"/>
      <c r="O57" s="189" t="s">
        <v>321</v>
      </c>
      <c r="P57" s="12">
        <v>4</v>
      </c>
      <c r="Q57" s="86" t="s">
        <v>322</v>
      </c>
      <c r="R57" s="12" t="s">
        <v>84</v>
      </c>
      <c r="S57" s="24"/>
      <c r="T57" s="192"/>
      <c r="Y57" s="14" t="s">
        <v>25</v>
      </c>
      <c r="Z57" s="12">
        <v>1</v>
      </c>
      <c r="AA57" s="14" t="s">
        <v>646</v>
      </c>
      <c r="AB57" s="12" t="s">
        <v>77</v>
      </c>
      <c r="AC57" s="110"/>
      <c r="AD57" s="96"/>
      <c r="AE57" s="95"/>
      <c r="AF57" s="32" t="s">
        <v>554</v>
      </c>
      <c r="AG57" s="75"/>
      <c r="AH57" s="23" t="s">
        <v>181</v>
      </c>
      <c r="AI57" s="12">
        <v>1</v>
      </c>
      <c r="AJ57" s="23" t="s">
        <v>647</v>
      </c>
      <c r="AK57" s="12" t="s">
        <v>77</v>
      </c>
      <c r="AL57" s="111"/>
      <c r="AM57" s="50"/>
      <c r="AN57" s="95"/>
      <c r="AO57" s="32" t="s">
        <v>554</v>
      </c>
      <c r="AX57" s="14" t="s">
        <v>25</v>
      </c>
      <c r="AY57" s="12">
        <v>1</v>
      </c>
      <c r="AZ57" s="14" t="s">
        <v>646</v>
      </c>
      <c r="BA57" s="12" t="s">
        <v>27</v>
      </c>
      <c r="BB57" s="96"/>
      <c r="BC57" s="13"/>
      <c r="BD57" s="95"/>
      <c r="BE57" s="23" t="s">
        <v>336</v>
      </c>
      <c r="BF57" s="75"/>
      <c r="BG57" s="23" t="s">
        <v>181</v>
      </c>
      <c r="BH57" s="12">
        <v>1</v>
      </c>
      <c r="BI57" s="23" t="s">
        <v>647</v>
      </c>
      <c r="BJ57" s="88" t="s">
        <v>27</v>
      </c>
      <c r="BK57" s="92"/>
      <c r="BL57" s="93"/>
      <c r="BM57" s="95"/>
      <c r="BN57" s="106" t="s">
        <v>336</v>
      </c>
      <c r="BX57" s="14" t="s">
        <v>25</v>
      </c>
      <c r="BY57" s="12">
        <v>1</v>
      </c>
      <c r="BZ57" s="14" t="s">
        <v>646</v>
      </c>
      <c r="CA57" s="88" t="s">
        <v>74</v>
      </c>
      <c r="CB57" s="96"/>
      <c r="CC57" s="96"/>
      <c r="CD57" s="95"/>
      <c r="CE57" s="32" t="s">
        <v>284</v>
      </c>
      <c r="CF57" s="75"/>
      <c r="CG57" s="23" t="s">
        <v>181</v>
      </c>
      <c r="CH57" s="12">
        <v>1</v>
      </c>
      <c r="CI57" s="23" t="s">
        <v>647</v>
      </c>
      <c r="CJ57" s="88" t="s">
        <v>74</v>
      </c>
      <c r="CK57" s="92"/>
      <c r="CL57" s="93"/>
      <c r="CM57" s="95"/>
      <c r="CN57" s="32" t="s">
        <v>284</v>
      </c>
      <c r="CX57" s="234" t="s">
        <v>776</v>
      </c>
      <c r="CY57" s="235" t="s">
        <v>777</v>
      </c>
      <c r="CZ57" s="243">
        <v>2</v>
      </c>
      <c r="DA57" s="237" t="s">
        <v>808</v>
      </c>
      <c r="DB57" s="265">
        <v>1.5</v>
      </c>
      <c r="DC57" s="242">
        <v>1</v>
      </c>
      <c r="DD57" s="242">
        <v>1</v>
      </c>
      <c r="DE57" s="238">
        <v>1</v>
      </c>
      <c r="DF57" s="420">
        <f t="shared" si="42"/>
        <v>4.5</v>
      </c>
      <c r="DG57" s="381"/>
      <c r="DH57" s="229">
        <f t="shared" si="33"/>
        <v>3.5</v>
      </c>
      <c r="DI57" s="242">
        <v>1</v>
      </c>
      <c r="DJ57" s="242">
        <v>1</v>
      </c>
      <c r="DK57" s="239">
        <v>1</v>
      </c>
      <c r="DL57" s="240">
        <f t="shared" si="34"/>
        <v>6.5</v>
      </c>
      <c r="DM57" s="240"/>
      <c r="DN57" s="229">
        <f t="shared" si="35"/>
        <v>4.5</v>
      </c>
      <c r="DO57" s="241">
        <v>1.5</v>
      </c>
      <c r="DP57" s="242">
        <v>1</v>
      </c>
      <c r="DQ57" s="230">
        <v>1.5</v>
      </c>
      <c r="DR57" s="240">
        <f t="shared" si="36"/>
        <v>8.5</v>
      </c>
      <c r="DS57" s="229">
        <f t="shared" si="37"/>
        <v>5.5</v>
      </c>
      <c r="DT57" s="241">
        <v>2</v>
      </c>
      <c r="DU57" s="242">
        <v>1</v>
      </c>
      <c r="DV57" s="230">
        <v>2</v>
      </c>
      <c r="DW57" s="240">
        <f t="shared" si="38"/>
        <v>10.5</v>
      </c>
      <c r="FG57" s="1" t="s">
        <v>954</v>
      </c>
      <c r="FH57" s="1">
        <v>1</v>
      </c>
      <c r="FI57" s="166" t="s">
        <v>468</v>
      </c>
      <c r="FJ57" s="166" t="s">
        <v>889</v>
      </c>
      <c r="FK57" s="166" t="s">
        <v>889</v>
      </c>
      <c r="FL57" s="166"/>
      <c r="FM57" s="1" t="s">
        <v>889</v>
      </c>
      <c r="FN57" s="1" t="s">
        <v>889</v>
      </c>
      <c r="FO57" s="301">
        <f t="shared" si="39"/>
        <v>41</v>
      </c>
      <c r="FP57" s="1"/>
      <c r="FQ57" s="302" t="str">
        <f>IF(FI57=0,"0",IF(FI57="5/16","16",IF(FI57="3/8","18",IF(FI57="1/2","25",IF(FI57="5/8","30",IF(FI57="3/4","32","16"))))))</f>
        <v>25</v>
      </c>
      <c r="FR57" s="302" t="str">
        <f>IF(FJ57="Yes","5","0")</f>
        <v>5</v>
      </c>
      <c r="FS57" s="302" t="str">
        <f>IF(FK57="Yes","5","0")</f>
        <v>5</v>
      </c>
      <c r="FT57" s="302" t="str">
        <f t="shared" si="41"/>
        <v>2</v>
      </c>
      <c r="FU57" s="302" t="str">
        <f t="shared" si="43"/>
        <v>4</v>
      </c>
      <c r="FV57" s="324" t="str">
        <f t="shared" si="44"/>
        <v>25</v>
      </c>
      <c r="FW57" s="323" t="s">
        <v>954</v>
      </c>
      <c r="FX57" s="1"/>
      <c r="FY57" s="1" t="s">
        <v>980</v>
      </c>
      <c r="FZ57" s="1"/>
      <c r="GA57" s="1">
        <f t="shared" si="45"/>
        <v>27.500000000000004</v>
      </c>
      <c r="GB57" s="1"/>
      <c r="GD57" s="1"/>
      <c r="GH57" s="279" t="s">
        <v>911</v>
      </c>
      <c r="GI57" s="305">
        <v>1</v>
      </c>
      <c r="GJ57" s="160"/>
      <c r="GK57" s="309" t="str">
        <f>IF(GI57=0,"0","8")</f>
        <v>8</v>
      </c>
      <c r="GM57" s="279"/>
      <c r="GN57" s="305"/>
      <c r="GO57" s="305"/>
      <c r="GP57" s="160"/>
      <c r="GQ57" s="309"/>
      <c r="GS57" s="279" t="s">
        <v>910</v>
      </c>
      <c r="GT57" s="305" t="s">
        <v>468</v>
      </c>
      <c r="GU57" s="516" t="str">
        <f t="shared" si="46"/>
        <v>6</v>
      </c>
      <c r="GV57" s="516"/>
      <c r="GW57" s="309" t="str">
        <f>IF(GT57=0,"0",IF(GT57="1/2","6",IF(GT57="3/4","7","8")))</f>
        <v>6</v>
      </c>
      <c r="GX57" s="301"/>
      <c r="GY57" s="1"/>
      <c r="GZ57" s="302"/>
    </row>
    <row r="58" spans="1:269" ht="16.5" thickBot="1" x14ac:dyDescent="0.3">
      <c r="A58" s="189" t="s">
        <v>323</v>
      </c>
      <c r="B58" s="12">
        <v>4</v>
      </c>
      <c r="C58" s="86" t="s">
        <v>324</v>
      </c>
      <c r="D58" s="12" t="s">
        <v>91</v>
      </c>
      <c r="E58" s="24"/>
      <c r="F58" s="192"/>
      <c r="G58" s="75"/>
      <c r="H58" s="189" t="s">
        <v>323</v>
      </c>
      <c r="I58" s="12">
        <v>4</v>
      </c>
      <c r="J58" s="86" t="s">
        <v>324</v>
      </c>
      <c r="K58" s="12" t="s">
        <v>84</v>
      </c>
      <c r="L58" s="24"/>
      <c r="M58" s="192"/>
      <c r="N58" s="75"/>
      <c r="O58" s="189" t="s">
        <v>323</v>
      </c>
      <c r="P58" s="12">
        <v>4</v>
      </c>
      <c r="Q58" s="86" t="s">
        <v>324</v>
      </c>
      <c r="R58" s="12" t="s">
        <v>84</v>
      </c>
      <c r="S58" s="24"/>
      <c r="T58" s="192"/>
      <c r="Y58" s="14" t="s">
        <v>25</v>
      </c>
      <c r="Z58" s="12">
        <v>1</v>
      </c>
      <c r="AA58" s="14" t="s">
        <v>648</v>
      </c>
      <c r="AB58" s="12" t="s">
        <v>77</v>
      </c>
      <c r="AC58" s="153">
        <f>Z58*700</f>
        <v>700</v>
      </c>
      <c r="AD58" s="96"/>
      <c r="AE58" s="95">
        <v>45775</v>
      </c>
      <c r="AF58" s="32" t="s">
        <v>554</v>
      </c>
      <c r="AG58" s="75"/>
      <c r="AH58" s="23" t="s">
        <v>181</v>
      </c>
      <c r="AI58" s="12">
        <v>1</v>
      </c>
      <c r="AJ58" s="23" t="s">
        <v>649</v>
      </c>
      <c r="AK58" s="12" t="s">
        <v>77</v>
      </c>
      <c r="AL58" s="111"/>
      <c r="AM58" s="50"/>
      <c r="AN58" s="95"/>
      <c r="AO58" s="32" t="s">
        <v>554</v>
      </c>
      <c r="AX58" s="14" t="s">
        <v>25</v>
      </c>
      <c r="AY58" s="12">
        <v>1</v>
      </c>
      <c r="AZ58" s="14" t="s">
        <v>648</v>
      </c>
      <c r="BA58" s="12" t="s">
        <v>27</v>
      </c>
      <c r="BB58" s="96"/>
      <c r="BC58" s="96"/>
      <c r="BD58" s="95"/>
      <c r="BE58" s="23" t="s">
        <v>336</v>
      </c>
      <c r="BF58" s="75"/>
      <c r="BG58" s="23" t="s">
        <v>181</v>
      </c>
      <c r="BH58" s="12">
        <v>1</v>
      </c>
      <c r="BI58" s="23" t="s">
        <v>649</v>
      </c>
      <c r="BJ58" s="88" t="s">
        <v>27</v>
      </c>
      <c r="BK58" s="92"/>
      <c r="BL58" s="93"/>
      <c r="BM58" s="95"/>
      <c r="BN58" s="106" t="s">
        <v>336</v>
      </c>
      <c r="BX58" s="14" t="s">
        <v>25</v>
      </c>
      <c r="BY58" s="12">
        <v>1</v>
      </c>
      <c r="BZ58" s="14" t="s">
        <v>648</v>
      </c>
      <c r="CA58" s="88" t="s">
        <v>74</v>
      </c>
      <c r="CB58" s="96"/>
      <c r="CC58" s="96"/>
      <c r="CD58" s="95"/>
      <c r="CE58" s="32" t="s">
        <v>284</v>
      </c>
      <c r="CF58" s="75"/>
      <c r="CG58" s="23" t="s">
        <v>181</v>
      </c>
      <c r="CH58" s="12">
        <v>1</v>
      </c>
      <c r="CI58" s="23" t="s">
        <v>649</v>
      </c>
      <c r="CJ58" s="88" t="s">
        <v>74</v>
      </c>
      <c r="CK58" s="92"/>
      <c r="CL58" s="93"/>
      <c r="CM58" s="95"/>
      <c r="CN58" s="32" t="s">
        <v>284</v>
      </c>
      <c r="CX58" s="234" t="s">
        <v>778</v>
      </c>
      <c r="CY58" s="235" t="s">
        <v>779</v>
      </c>
      <c r="CZ58" s="243">
        <v>2</v>
      </c>
      <c r="DA58" s="237" t="s">
        <v>809</v>
      </c>
      <c r="DB58" s="265">
        <v>1.5</v>
      </c>
      <c r="DC58" s="242">
        <v>1</v>
      </c>
      <c r="DD58" s="242">
        <v>1</v>
      </c>
      <c r="DE58" s="238">
        <v>1</v>
      </c>
      <c r="DF58" s="420">
        <f t="shared" si="42"/>
        <v>4.5</v>
      </c>
      <c r="DG58" s="381"/>
      <c r="DH58" s="229">
        <f t="shared" si="33"/>
        <v>3.5</v>
      </c>
      <c r="DI58" s="242">
        <v>1</v>
      </c>
      <c r="DJ58" s="242">
        <v>1</v>
      </c>
      <c r="DK58" s="239">
        <v>1</v>
      </c>
      <c r="DL58" s="240">
        <f t="shared" si="34"/>
        <v>6.5</v>
      </c>
      <c r="DM58" s="240"/>
      <c r="DN58" s="229">
        <f t="shared" si="35"/>
        <v>4.5</v>
      </c>
      <c r="DO58" s="241">
        <v>1.5</v>
      </c>
      <c r="DP58" s="242">
        <v>1</v>
      </c>
      <c r="DQ58" s="230">
        <v>1.5</v>
      </c>
      <c r="DR58" s="240">
        <f t="shared" si="36"/>
        <v>8.5</v>
      </c>
      <c r="DS58" s="229">
        <f t="shared" si="37"/>
        <v>5.5</v>
      </c>
      <c r="DT58" s="241">
        <v>2</v>
      </c>
      <c r="DU58" s="242">
        <v>1</v>
      </c>
      <c r="DV58" s="230">
        <v>2</v>
      </c>
      <c r="DW58" s="240">
        <f t="shared" si="38"/>
        <v>10.5</v>
      </c>
      <c r="FG58" s="1" t="s">
        <v>955</v>
      </c>
      <c r="FH58" s="1">
        <v>1</v>
      </c>
      <c r="FI58" s="166" t="s">
        <v>468</v>
      </c>
      <c r="FJ58" s="166" t="s">
        <v>889</v>
      </c>
      <c r="FK58" s="166" t="s">
        <v>889</v>
      </c>
      <c r="FL58" s="166"/>
      <c r="FM58" s="1" t="s">
        <v>889</v>
      </c>
      <c r="FN58" s="1" t="s">
        <v>889</v>
      </c>
      <c r="FO58" s="301">
        <f t="shared" si="39"/>
        <v>42</v>
      </c>
      <c r="FP58" s="1"/>
      <c r="FQ58" s="302" t="str">
        <f>IF(FI58=0,"0",IF(FI58="5/16","18",IF(FI58="3/8","20",IF(FI58="1/2","26",IF(FI58="5/8","32",IF(FI58="3/4","34","18"))))))</f>
        <v>26</v>
      </c>
      <c r="FR58" s="302" t="str">
        <f>IF(FJ58="Yes","5","0")</f>
        <v>5</v>
      </c>
      <c r="FS58" s="302" t="str">
        <f>IF(FK58="Yes","5","0")</f>
        <v>5</v>
      </c>
      <c r="FT58" s="302" t="str">
        <f t="shared" si="41"/>
        <v>2</v>
      </c>
      <c r="FU58" s="302" t="str">
        <f t="shared" si="43"/>
        <v>4</v>
      </c>
      <c r="FV58" s="324" t="str">
        <f t="shared" si="44"/>
        <v>26</v>
      </c>
      <c r="FW58" s="323" t="s">
        <v>955</v>
      </c>
      <c r="FX58" s="1"/>
      <c r="FY58" s="1" t="s">
        <v>981</v>
      </c>
      <c r="FZ58" s="1"/>
      <c r="GA58" s="1">
        <f t="shared" si="45"/>
        <v>28.6</v>
      </c>
      <c r="GB58" s="1"/>
      <c r="GD58" s="1"/>
      <c r="GH58" s="279" t="s">
        <v>912</v>
      </c>
      <c r="GI58" s="305">
        <v>1</v>
      </c>
      <c r="GJ58" s="160"/>
      <c r="GK58" s="309" t="str">
        <f>IF(GI58=0,"0","9")</f>
        <v>9</v>
      </c>
      <c r="GM58" s="279"/>
      <c r="GN58" s="305"/>
      <c r="GO58" s="305"/>
      <c r="GP58" s="160"/>
      <c r="GQ58" s="309"/>
      <c r="GS58" s="279" t="s">
        <v>911</v>
      </c>
      <c r="GT58" s="305" t="s">
        <v>468</v>
      </c>
      <c r="GU58" s="516" t="str">
        <f t="shared" si="46"/>
        <v>7</v>
      </c>
      <c r="GV58" s="516"/>
      <c r="GW58" s="309" t="str">
        <f>IF(GT58=0,"0",IF(GT58="1/2","7",IF(GT58="3/4","8","9")))</f>
        <v>7</v>
      </c>
      <c r="GX58" s="301"/>
      <c r="GY58" s="1"/>
      <c r="GZ58" s="302"/>
    </row>
    <row r="59" spans="1:269" ht="16.5" thickBot="1" x14ac:dyDescent="0.3">
      <c r="A59" s="189" t="s">
        <v>325</v>
      </c>
      <c r="B59" s="12">
        <v>4</v>
      </c>
      <c r="C59" s="86" t="s">
        <v>326</v>
      </c>
      <c r="D59" s="12" t="s">
        <v>91</v>
      </c>
      <c r="E59" s="24"/>
      <c r="F59" s="192"/>
      <c r="G59" s="75"/>
      <c r="H59" s="189" t="s">
        <v>325</v>
      </c>
      <c r="I59" s="12">
        <v>4</v>
      </c>
      <c r="J59" s="86" t="s">
        <v>326</v>
      </c>
      <c r="K59" s="12" t="s">
        <v>84</v>
      </c>
      <c r="L59" s="24"/>
      <c r="M59" s="192"/>
      <c r="N59" s="75"/>
      <c r="O59" s="189" t="s">
        <v>325</v>
      </c>
      <c r="P59" s="12">
        <v>4</v>
      </c>
      <c r="Q59" s="86" t="s">
        <v>326</v>
      </c>
      <c r="R59" s="12" t="s">
        <v>84</v>
      </c>
      <c r="S59" s="24"/>
      <c r="T59" s="192"/>
      <c r="Y59" s="14" t="s">
        <v>25</v>
      </c>
      <c r="Z59" s="12">
        <v>1</v>
      </c>
      <c r="AA59" s="14" t="s">
        <v>650</v>
      </c>
      <c r="AB59" s="12" t="s">
        <v>77</v>
      </c>
      <c r="AC59" s="153"/>
      <c r="AD59" s="96"/>
      <c r="AE59" s="95"/>
      <c r="AF59" s="32" t="s">
        <v>554</v>
      </c>
      <c r="AG59" s="75"/>
      <c r="AH59" s="23" t="s">
        <v>181</v>
      </c>
      <c r="AI59" s="12">
        <v>1</v>
      </c>
      <c r="AJ59" s="23" t="s">
        <v>651</v>
      </c>
      <c r="AK59" s="12" t="s">
        <v>77</v>
      </c>
      <c r="AL59" s="149"/>
      <c r="AM59" s="50"/>
      <c r="AN59" s="95"/>
      <c r="AO59" s="32" t="s">
        <v>554</v>
      </c>
      <c r="AX59" s="14" t="s">
        <v>25</v>
      </c>
      <c r="AY59" s="12">
        <v>1</v>
      </c>
      <c r="AZ59" s="14" t="s">
        <v>650</v>
      </c>
      <c r="BA59" s="12" t="s">
        <v>27</v>
      </c>
      <c r="BB59" s="153"/>
      <c r="BC59" s="13"/>
      <c r="BD59" s="95"/>
      <c r="BE59" s="23" t="s">
        <v>336</v>
      </c>
      <c r="BF59" s="75"/>
      <c r="BG59" s="23" t="s">
        <v>181</v>
      </c>
      <c r="BH59" s="12">
        <v>1</v>
      </c>
      <c r="BI59" s="23" t="s">
        <v>651</v>
      </c>
      <c r="BJ59" s="88" t="s">
        <v>27</v>
      </c>
      <c r="BK59" s="149"/>
      <c r="BL59" s="93"/>
      <c r="BM59" s="95"/>
      <c r="BN59" s="106" t="s">
        <v>336</v>
      </c>
      <c r="BX59" s="14" t="s">
        <v>25</v>
      </c>
      <c r="BY59" s="12">
        <v>1</v>
      </c>
      <c r="BZ59" s="14" t="s">
        <v>650</v>
      </c>
      <c r="CA59" s="88" t="s">
        <v>74</v>
      </c>
      <c r="CB59" s="153"/>
      <c r="CC59" s="96"/>
      <c r="CD59" s="95"/>
      <c r="CE59" s="32" t="s">
        <v>284</v>
      </c>
      <c r="CF59" s="75"/>
      <c r="CG59" s="23" t="s">
        <v>181</v>
      </c>
      <c r="CH59" s="12">
        <v>1</v>
      </c>
      <c r="CI59" s="23" t="s">
        <v>651</v>
      </c>
      <c r="CJ59" s="88" t="s">
        <v>74</v>
      </c>
      <c r="CK59" s="149"/>
      <c r="CL59" s="93"/>
      <c r="CM59" s="95"/>
      <c r="CN59" s="32" t="s">
        <v>284</v>
      </c>
      <c r="CX59" s="234" t="s">
        <v>780</v>
      </c>
      <c r="CY59" s="235" t="s">
        <v>781</v>
      </c>
      <c r="CZ59" s="243">
        <v>2</v>
      </c>
      <c r="DA59" s="237" t="s">
        <v>810</v>
      </c>
      <c r="DB59" s="265">
        <v>1.5</v>
      </c>
      <c r="DC59" s="242">
        <v>1</v>
      </c>
      <c r="DD59" s="242">
        <v>1</v>
      </c>
      <c r="DE59" s="238">
        <v>1</v>
      </c>
      <c r="DF59" s="420">
        <f t="shared" si="42"/>
        <v>4.5</v>
      </c>
      <c r="DG59" s="381"/>
      <c r="DH59" s="229">
        <f t="shared" si="33"/>
        <v>3.5</v>
      </c>
      <c r="DI59" s="242">
        <v>1</v>
      </c>
      <c r="DJ59" s="242">
        <v>1</v>
      </c>
      <c r="DK59" s="239">
        <v>1</v>
      </c>
      <c r="DL59" s="240">
        <f t="shared" si="34"/>
        <v>6.5</v>
      </c>
      <c r="DM59" s="240"/>
      <c r="DN59" s="229">
        <f t="shared" si="35"/>
        <v>4.5</v>
      </c>
      <c r="DO59" s="241">
        <v>1.5</v>
      </c>
      <c r="DP59" s="242">
        <v>1</v>
      </c>
      <c r="DQ59" s="230">
        <v>1.5</v>
      </c>
      <c r="DR59" s="240">
        <f t="shared" si="36"/>
        <v>8.5</v>
      </c>
      <c r="DS59" s="229">
        <f t="shared" si="37"/>
        <v>5.5</v>
      </c>
      <c r="DT59" s="241">
        <v>2</v>
      </c>
      <c r="DU59" s="242">
        <v>1</v>
      </c>
      <c r="DV59" s="230">
        <v>2</v>
      </c>
      <c r="DW59" s="240">
        <f t="shared" si="38"/>
        <v>10.5</v>
      </c>
      <c r="FG59" s="1" t="s">
        <v>956</v>
      </c>
      <c r="FH59" s="1">
        <v>1</v>
      </c>
      <c r="FI59" s="166" t="s">
        <v>468</v>
      </c>
      <c r="FJ59" s="166" t="s">
        <v>889</v>
      </c>
      <c r="FK59" s="166" t="s">
        <v>889</v>
      </c>
      <c r="FL59" s="166"/>
      <c r="FM59" s="1" t="s">
        <v>889</v>
      </c>
      <c r="FN59" s="1" t="s">
        <v>889</v>
      </c>
      <c r="FO59" s="301">
        <f t="shared" si="39"/>
        <v>50</v>
      </c>
      <c r="FP59" s="1"/>
      <c r="FQ59" s="302" t="str">
        <f>IF(FI59=0,"0",IF(FI59="5/16","22",IF(FI59="3/8","24",IF(FI59="1/2","32",IF(FI59="5/8","36",IF(FI59="3/4","38","22"))))))</f>
        <v>32</v>
      </c>
      <c r="FR59" s="302" t="str">
        <f>IF(FJ59="Yes","6","0")</f>
        <v>6</v>
      </c>
      <c r="FS59" s="302" t="str">
        <f>IF(FK59="Yes","6","0")</f>
        <v>6</v>
      </c>
      <c r="FT59" s="302" t="str">
        <f t="shared" si="41"/>
        <v>2</v>
      </c>
      <c r="FU59" s="302" t="str">
        <f t="shared" si="43"/>
        <v>4</v>
      </c>
      <c r="FV59" s="324" t="str">
        <f t="shared" si="44"/>
        <v>32</v>
      </c>
      <c r="FW59" s="323" t="s">
        <v>956</v>
      </c>
      <c r="FX59" s="1"/>
      <c r="FY59" s="1" t="s">
        <v>982</v>
      </c>
      <c r="FZ59" s="1"/>
      <c r="GA59" s="1">
        <f t="shared" si="45"/>
        <v>35.200000000000003</v>
      </c>
      <c r="GB59" s="1"/>
      <c r="GD59" s="1"/>
      <c r="GH59" s="279" t="s">
        <v>913</v>
      </c>
      <c r="GI59" s="305">
        <v>1</v>
      </c>
      <c r="GJ59" s="160"/>
      <c r="GK59" s="309" t="str">
        <f>IF(GI59=0,"0","10")</f>
        <v>10</v>
      </c>
      <c r="GM59" s="279"/>
      <c r="GN59" s="305"/>
      <c r="GO59" s="305"/>
      <c r="GP59" s="160"/>
      <c r="GQ59" s="309"/>
      <c r="GS59" s="279" t="s">
        <v>912</v>
      </c>
      <c r="GT59" s="305" t="s">
        <v>468</v>
      </c>
      <c r="GU59" s="516" t="str">
        <f t="shared" si="46"/>
        <v>8</v>
      </c>
      <c r="GV59" s="516"/>
      <c r="GW59" s="309" t="str">
        <f>IF(GT59=0,"0",IF(GT59="1/2","8",IF(GT59="3/4","9","10")))</f>
        <v>8</v>
      </c>
      <c r="GX59" s="301"/>
      <c r="GY59" s="1"/>
      <c r="GZ59" s="302"/>
    </row>
    <row r="60" spans="1:269" ht="15.75" x14ac:dyDescent="0.25">
      <c r="A60" s="189" t="s">
        <v>327</v>
      </c>
      <c r="B60" s="12">
        <v>4</v>
      </c>
      <c r="C60" s="86" t="s">
        <v>328</v>
      </c>
      <c r="D60" s="12" t="s">
        <v>91</v>
      </c>
      <c r="E60" s="24"/>
      <c r="F60" s="192"/>
      <c r="G60" s="75"/>
      <c r="H60" s="189" t="s">
        <v>327</v>
      </c>
      <c r="I60" s="12">
        <v>4</v>
      </c>
      <c r="J60" s="86" t="s">
        <v>328</v>
      </c>
      <c r="K60" s="12" t="s">
        <v>84</v>
      </c>
      <c r="L60" s="24"/>
      <c r="M60" s="192"/>
      <c r="N60" s="75"/>
      <c r="O60" s="189" t="s">
        <v>327</v>
      </c>
      <c r="P60" s="12">
        <v>4</v>
      </c>
      <c r="Q60" s="86" t="s">
        <v>328</v>
      </c>
      <c r="R60" s="12" t="s">
        <v>84</v>
      </c>
      <c r="S60" s="24"/>
      <c r="T60" s="192"/>
      <c r="Y60" s="14" t="s">
        <v>25</v>
      </c>
      <c r="Z60" s="12">
        <v>1</v>
      </c>
      <c r="AA60" s="14" t="s">
        <v>652</v>
      </c>
      <c r="AB60" s="12" t="s">
        <v>77</v>
      </c>
      <c r="AC60" s="153">
        <f>Z60*1000</f>
        <v>1000</v>
      </c>
      <c r="AD60" s="96"/>
      <c r="AE60" s="95">
        <v>45775</v>
      </c>
      <c r="AF60" s="32" t="s">
        <v>554</v>
      </c>
      <c r="AG60" s="75"/>
      <c r="AH60" s="23" t="s">
        <v>181</v>
      </c>
      <c r="AI60" s="12">
        <v>1</v>
      </c>
      <c r="AJ60" s="23" t="s">
        <v>653</v>
      </c>
      <c r="AK60" s="12" t="s">
        <v>77</v>
      </c>
      <c r="AL60" s="153">
        <f>AI60*1300</f>
        <v>1300</v>
      </c>
      <c r="AM60" s="50"/>
      <c r="AN60" s="95">
        <v>45775</v>
      </c>
      <c r="AO60" s="32" t="s">
        <v>554</v>
      </c>
      <c r="AX60" s="14" t="s">
        <v>25</v>
      </c>
      <c r="AY60" s="12">
        <v>1</v>
      </c>
      <c r="AZ60" s="14" t="s">
        <v>652</v>
      </c>
      <c r="BA60" s="12" t="s">
        <v>27</v>
      </c>
      <c r="BB60" s="96"/>
      <c r="BC60" s="13"/>
      <c r="BD60" s="95"/>
      <c r="BE60" s="23" t="s">
        <v>336</v>
      </c>
      <c r="BF60" s="75"/>
      <c r="BG60" s="23" t="s">
        <v>181</v>
      </c>
      <c r="BH60" s="12">
        <v>1</v>
      </c>
      <c r="BI60" s="23" t="s">
        <v>653</v>
      </c>
      <c r="BJ60" s="88" t="s">
        <v>27</v>
      </c>
      <c r="BK60" s="92"/>
      <c r="BL60" s="93"/>
      <c r="BM60" s="95"/>
      <c r="BN60" s="106" t="s">
        <v>336</v>
      </c>
      <c r="BX60" s="14" t="s">
        <v>25</v>
      </c>
      <c r="BY60" s="12">
        <v>1</v>
      </c>
      <c r="BZ60" s="14" t="s">
        <v>652</v>
      </c>
      <c r="CA60" s="88" t="s">
        <v>74</v>
      </c>
      <c r="CB60" s="96"/>
      <c r="CC60" s="96"/>
      <c r="CD60" s="95"/>
      <c r="CE60" s="32" t="s">
        <v>284</v>
      </c>
      <c r="CF60" s="75"/>
      <c r="CG60" s="23" t="s">
        <v>181</v>
      </c>
      <c r="CH60" s="12">
        <v>1</v>
      </c>
      <c r="CI60" s="23" t="s">
        <v>653</v>
      </c>
      <c r="CJ60" s="88" t="s">
        <v>74</v>
      </c>
      <c r="CK60" s="92"/>
      <c r="CL60" s="93"/>
      <c r="CM60" s="95"/>
      <c r="CN60" s="32" t="s">
        <v>284</v>
      </c>
      <c r="CX60" s="234" t="s">
        <v>782</v>
      </c>
      <c r="CY60" s="235" t="s">
        <v>783</v>
      </c>
      <c r="CZ60" s="243">
        <v>2</v>
      </c>
      <c r="DA60" s="237" t="s">
        <v>759</v>
      </c>
      <c r="DB60" s="265">
        <v>1.5</v>
      </c>
      <c r="DC60" s="242">
        <v>1</v>
      </c>
      <c r="DD60" s="242">
        <v>1</v>
      </c>
      <c r="DE60" s="238">
        <v>1</v>
      </c>
      <c r="DF60" s="420">
        <f t="shared" si="42"/>
        <v>4.5</v>
      </c>
      <c r="DG60" s="381"/>
      <c r="DH60" s="229">
        <f t="shared" si="33"/>
        <v>3.5</v>
      </c>
      <c r="DI60" s="242">
        <v>1</v>
      </c>
      <c r="DJ60" s="242">
        <v>1</v>
      </c>
      <c r="DK60" s="239">
        <v>1</v>
      </c>
      <c r="DL60" s="240">
        <f t="shared" si="34"/>
        <v>6.5</v>
      </c>
      <c r="DM60" s="240"/>
      <c r="DN60" s="229">
        <f t="shared" si="35"/>
        <v>4.5</v>
      </c>
      <c r="DO60" s="241">
        <v>1.5</v>
      </c>
      <c r="DP60" s="242">
        <v>1</v>
      </c>
      <c r="DQ60" s="230">
        <v>1.5</v>
      </c>
      <c r="DR60" s="240">
        <f t="shared" si="36"/>
        <v>8.5</v>
      </c>
      <c r="DS60" s="229">
        <f t="shared" si="37"/>
        <v>5.5</v>
      </c>
      <c r="DT60" s="241">
        <v>2</v>
      </c>
      <c r="DU60" s="242">
        <v>1</v>
      </c>
      <c r="DV60" s="230">
        <v>2</v>
      </c>
      <c r="DW60" s="240">
        <f t="shared" si="38"/>
        <v>10.5</v>
      </c>
      <c r="FG60" s="1"/>
      <c r="FH60" s="1"/>
      <c r="FI60" s="1"/>
      <c r="FJ60" s="1"/>
      <c r="FK60" s="1"/>
      <c r="FL60" s="1"/>
      <c r="FM60" s="1"/>
      <c r="FN60" s="1"/>
      <c r="FO60" s="1"/>
      <c r="FP60" s="1"/>
      <c r="FQ60" s="1"/>
      <c r="FR60" s="1"/>
      <c r="FS60" s="1"/>
      <c r="FT60" s="302"/>
      <c r="FU60" s="302"/>
      <c r="FV60" s="302"/>
      <c r="GD60" s="1"/>
      <c r="GH60" s="279" t="s">
        <v>914</v>
      </c>
      <c r="GI60" s="305">
        <v>1</v>
      </c>
      <c r="GJ60" s="160"/>
      <c r="GK60" s="309" t="str">
        <f>IF(GI60=0,"0","10")</f>
        <v>10</v>
      </c>
      <c r="GM60" s="279"/>
      <c r="GN60" s="305"/>
      <c r="GO60" s="305"/>
      <c r="GP60" s="160"/>
      <c r="GQ60" s="309"/>
      <c r="GS60" s="279" t="s">
        <v>913</v>
      </c>
      <c r="GT60" s="305" t="s">
        <v>468</v>
      </c>
      <c r="GU60" s="516" t="str">
        <f t="shared" si="46"/>
        <v>9</v>
      </c>
      <c r="GV60" s="516"/>
      <c r="GW60" s="309" t="str">
        <f>IF(GT60=0,"0",IF(GT60="1/2","9",IF(GT60="3/4","10","11")))</f>
        <v>9</v>
      </c>
      <c r="GX60" s="301"/>
      <c r="GY60" s="1"/>
      <c r="GZ60" s="302"/>
    </row>
    <row r="61" spans="1:269" ht="15.75" x14ac:dyDescent="0.25">
      <c r="A61" s="189"/>
      <c r="B61" s="12"/>
      <c r="C61" s="86"/>
      <c r="D61" s="12"/>
      <c r="E61" s="24"/>
      <c r="F61" s="192"/>
      <c r="G61" s="75"/>
      <c r="H61" s="189"/>
      <c r="I61" s="12"/>
      <c r="J61" s="86"/>
      <c r="K61" s="12"/>
      <c r="L61" s="24"/>
      <c r="M61" s="192"/>
      <c r="N61" s="75"/>
      <c r="O61" s="189"/>
      <c r="P61" s="12"/>
      <c r="Q61" s="86"/>
      <c r="R61" s="12"/>
      <c r="S61" s="24"/>
      <c r="T61" s="192"/>
      <c r="Y61" s="14" t="s">
        <v>25</v>
      </c>
      <c r="Z61" s="12">
        <v>1</v>
      </c>
      <c r="AA61" s="14" t="s">
        <v>654</v>
      </c>
      <c r="AB61" s="12" t="s">
        <v>77</v>
      </c>
      <c r="AC61" s="110"/>
      <c r="AD61" s="96"/>
      <c r="AE61" s="95"/>
      <c r="AF61" s="32" t="s">
        <v>554</v>
      </c>
      <c r="AG61" s="75"/>
      <c r="AH61" s="23" t="s">
        <v>181</v>
      </c>
      <c r="AI61" s="12">
        <v>1</v>
      </c>
      <c r="AJ61" s="23" t="s">
        <v>655</v>
      </c>
      <c r="AK61" s="12" t="s">
        <v>77</v>
      </c>
      <c r="AL61" s="111"/>
      <c r="AM61" s="50"/>
      <c r="AN61" s="95"/>
      <c r="AO61" s="32" t="s">
        <v>554</v>
      </c>
      <c r="AX61" s="14" t="s">
        <v>25</v>
      </c>
      <c r="AY61" s="12">
        <v>1</v>
      </c>
      <c r="AZ61" s="14" t="s">
        <v>654</v>
      </c>
      <c r="BA61" s="12" t="s">
        <v>27</v>
      </c>
      <c r="BB61" s="96"/>
      <c r="BC61" s="13"/>
      <c r="BD61" s="95"/>
      <c r="BE61" s="23" t="s">
        <v>336</v>
      </c>
      <c r="BF61" s="75"/>
      <c r="BG61" s="23" t="s">
        <v>181</v>
      </c>
      <c r="BH61" s="12">
        <v>1</v>
      </c>
      <c r="BI61" s="23" t="s">
        <v>655</v>
      </c>
      <c r="BJ61" s="88" t="s">
        <v>27</v>
      </c>
      <c r="BK61" s="92"/>
      <c r="BL61" s="93"/>
      <c r="BM61" s="95"/>
      <c r="BN61" s="106" t="s">
        <v>336</v>
      </c>
      <c r="BX61" s="14" t="s">
        <v>25</v>
      </c>
      <c r="BY61" s="12">
        <v>1</v>
      </c>
      <c r="BZ61" s="14" t="s">
        <v>654</v>
      </c>
      <c r="CA61" s="88" t="s">
        <v>74</v>
      </c>
      <c r="CB61" s="96"/>
      <c r="CC61" s="96"/>
      <c r="CD61" s="95"/>
      <c r="CE61" s="32" t="s">
        <v>284</v>
      </c>
      <c r="CF61" s="75"/>
      <c r="CG61" s="23" t="s">
        <v>181</v>
      </c>
      <c r="CH61" s="12">
        <v>1</v>
      </c>
      <c r="CI61" s="23" t="s">
        <v>655</v>
      </c>
      <c r="CJ61" s="88" t="s">
        <v>74</v>
      </c>
      <c r="CK61" s="92"/>
      <c r="CL61" s="93"/>
      <c r="CM61" s="95"/>
      <c r="CN61" s="32" t="s">
        <v>284</v>
      </c>
      <c r="CX61" s="234" t="s">
        <v>784</v>
      </c>
      <c r="CY61" s="235" t="s">
        <v>785</v>
      </c>
      <c r="CZ61" s="243">
        <v>2</v>
      </c>
      <c r="DA61" s="237" t="s">
        <v>759</v>
      </c>
      <c r="DB61" s="265">
        <v>1.5</v>
      </c>
      <c r="DC61" s="242">
        <v>1</v>
      </c>
      <c r="DD61" s="242">
        <v>1.5</v>
      </c>
      <c r="DE61" s="238">
        <v>1</v>
      </c>
      <c r="DF61" s="420">
        <f t="shared" si="42"/>
        <v>5</v>
      </c>
      <c r="DG61" s="381"/>
      <c r="DH61" s="229">
        <f t="shared" si="33"/>
        <v>3.5</v>
      </c>
      <c r="DI61" s="242">
        <v>1</v>
      </c>
      <c r="DJ61" s="242">
        <v>1.5</v>
      </c>
      <c r="DK61" s="239">
        <v>1</v>
      </c>
      <c r="DL61" s="240">
        <f t="shared" si="34"/>
        <v>7</v>
      </c>
      <c r="DM61" s="240"/>
      <c r="DN61" s="229">
        <f t="shared" si="35"/>
        <v>4.5</v>
      </c>
      <c r="DO61" s="241">
        <v>1.5</v>
      </c>
      <c r="DP61" s="242">
        <v>1.5</v>
      </c>
      <c r="DQ61" s="230">
        <v>1.5</v>
      </c>
      <c r="DR61" s="240">
        <f t="shared" si="36"/>
        <v>9</v>
      </c>
      <c r="DS61" s="229">
        <f t="shared" si="37"/>
        <v>5.5</v>
      </c>
      <c r="DT61" s="241">
        <v>2</v>
      </c>
      <c r="DU61" s="242">
        <v>1.5</v>
      </c>
      <c r="DV61" s="230">
        <v>2</v>
      </c>
      <c r="DW61" s="240">
        <f t="shared" si="38"/>
        <v>11</v>
      </c>
      <c r="FG61" s="1"/>
      <c r="FH61" s="1"/>
      <c r="FI61" s="1"/>
      <c r="FJ61" s="1"/>
      <c r="FK61" s="1"/>
      <c r="FL61" s="1"/>
      <c r="FM61" s="1"/>
      <c r="FN61" s="159" t="s">
        <v>957</v>
      </c>
      <c r="FO61" s="321">
        <f>SUM(FO46:FO59)</f>
        <v>390.5</v>
      </c>
      <c r="FP61" s="1"/>
      <c r="FQ61" s="1"/>
      <c r="FR61" s="1"/>
      <c r="FS61" s="1"/>
      <c r="FT61" s="302"/>
      <c r="FU61" s="302"/>
      <c r="FV61" s="302"/>
      <c r="GD61" s="1"/>
      <c r="GH61" s="279" t="s">
        <v>915</v>
      </c>
      <c r="GI61" s="305">
        <v>1</v>
      </c>
      <c r="GJ61" s="160"/>
      <c r="GK61" s="309" t="str">
        <f>IF(GI61=0,"0","10")</f>
        <v>10</v>
      </c>
      <c r="GM61" s="279"/>
      <c r="GN61" s="305"/>
      <c r="GO61" s="305"/>
      <c r="GP61" s="160"/>
      <c r="GQ61" s="309"/>
      <c r="GS61" s="279" t="s">
        <v>914</v>
      </c>
      <c r="GT61" s="305" t="s">
        <v>468</v>
      </c>
      <c r="GU61" s="516" t="str">
        <f t="shared" si="46"/>
        <v>10</v>
      </c>
      <c r="GV61" s="516"/>
      <c r="GW61" s="309" t="str">
        <f>IF(GT61=0,"0",IF(GT61="1/2","10",IF(GT61="3/4","11","12")))</f>
        <v>10</v>
      </c>
      <c r="GX61" s="301"/>
      <c r="GY61" s="1"/>
      <c r="GZ61" s="302"/>
    </row>
    <row r="62" spans="1:269" ht="16.5" thickBot="1" x14ac:dyDescent="0.3">
      <c r="A62" s="189" t="s">
        <v>368</v>
      </c>
      <c r="B62" s="12">
        <v>4</v>
      </c>
      <c r="C62" s="86" t="s">
        <v>256</v>
      </c>
      <c r="D62" s="12" t="s">
        <v>277</v>
      </c>
      <c r="E62" s="24"/>
      <c r="F62" s="192"/>
      <c r="G62" s="75"/>
      <c r="H62" s="189" t="s">
        <v>368</v>
      </c>
      <c r="I62" s="12">
        <v>4</v>
      </c>
      <c r="J62" s="86" t="s">
        <v>256</v>
      </c>
      <c r="K62" s="12" t="s">
        <v>84</v>
      </c>
      <c r="L62" s="24"/>
      <c r="M62" s="192"/>
      <c r="N62" s="75"/>
      <c r="O62" s="189" t="s">
        <v>368</v>
      </c>
      <c r="P62" s="12">
        <v>4</v>
      </c>
      <c r="Q62" s="86" t="s">
        <v>256</v>
      </c>
      <c r="R62" s="12" t="s">
        <v>80</v>
      </c>
      <c r="S62" s="24"/>
      <c r="T62" s="192"/>
      <c r="Y62" s="14" t="s">
        <v>25</v>
      </c>
      <c r="Z62" s="12">
        <v>1</v>
      </c>
      <c r="AA62" s="14" t="s">
        <v>656</v>
      </c>
      <c r="AB62" s="12" t="s">
        <v>77</v>
      </c>
      <c r="AC62" s="110"/>
      <c r="AD62" s="96"/>
      <c r="AE62" s="95"/>
      <c r="AF62" s="32" t="s">
        <v>554</v>
      </c>
      <c r="AG62" s="75"/>
      <c r="AH62" s="23" t="s">
        <v>181</v>
      </c>
      <c r="AI62" s="12">
        <v>1</v>
      </c>
      <c r="AJ62" s="23" t="s">
        <v>657</v>
      </c>
      <c r="AK62" s="12" t="s">
        <v>77</v>
      </c>
      <c r="AL62" s="111"/>
      <c r="AM62" s="50"/>
      <c r="AN62" s="95"/>
      <c r="AO62" s="32" t="s">
        <v>554</v>
      </c>
      <c r="AX62" s="14" t="s">
        <v>25</v>
      </c>
      <c r="AY62" s="12">
        <v>1</v>
      </c>
      <c r="AZ62" s="14" t="s">
        <v>656</v>
      </c>
      <c r="BA62" s="12" t="s">
        <v>27</v>
      </c>
      <c r="BB62" s="96"/>
      <c r="BC62" s="96"/>
      <c r="BD62" s="95"/>
      <c r="BE62" s="23" t="s">
        <v>336</v>
      </c>
      <c r="BF62" s="75"/>
      <c r="BG62" s="23" t="s">
        <v>181</v>
      </c>
      <c r="BH62" s="12">
        <v>1</v>
      </c>
      <c r="BI62" s="23" t="s">
        <v>657</v>
      </c>
      <c r="BJ62" s="88" t="s">
        <v>27</v>
      </c>
      <c r="BK62" s="92"/>
      <c r="BL62" s="93"/>
      <c r="BM62" s="95"/>
      <c r="BN62" s="106" t="s">
        <v>336</v>
      </c>
      <c r="BX62" s="14" t="s">
        <v>25</v>
      </c>
      <c r="BY62" s="12">
        <v>1</v>
      </c>
      <c r="BZ62" s="14" t="s">
        <v>656</v>
      </c>
      <c r="CA62" s="88" t="s">
        <v>74</v>
      </c>
      <c r="CB62" s="96">
        <f>BY62*3235</f>
        <v>3235</v>
      </c>
      <c r="CC62" s="96"/>
      <c r="CD62" s="95">
        <v>45568</v>
      </c>
      <c r="CE62" s="32" t="s">
        <v>284</v>
      </c>
      <c r="CF62" s="75"/>
      <c r="CG62" s="23" t="s">
        <v>181</v>
      </c>
      <c r="CH62" s="12">
        <v>1</v>
      </c>
      <c r="CI62" s="23" t="s">
        <v>657</v>
      </c>
      <c r="CJ62" s="88" t="s">
        <v>74</v>
      </c>
      <c r="CK62" s="92">
        <f>CH62*5500</f>
        <v>5500</v>
      </c>
      <c r="CL62" s="93"/>
      <c r="CM62" s="95">
        <v>45568</v>
      </c>
      <c r="CN62" s="32" t="s">
        <v>284</v>
      </c>
      <c r="CX62" s="234" t="s">
        <v>786</v>
      </c>
      <c r="CY62" s="235" t="s">
        <v>787</v>
      </c>
      <c r="CZ62" s="243">
        <v>2</v>
      </c>
      <c r="DA62" s="237" t="s">
        <v>811</v>
      </c>
      <c r="DB62" s="265">
        <v>1.5</v>
      </c>
      <c r="DC62" s="242">
        <v>1</v>
      </c>
      <c r="DD62" s="242">
        <v>1.5</v>
      </c>
      <c r="DE62" s="238">
        <v>1</v>
      </c>
      <c r="DF62" s="420">
        <f t="shared" si="42"/>
        <v>5</v>
      </c>
      <c r="DG62" s="381"/>
      <c r="DH62" s="229">
        <f t="shared" si="33"/>
        <v>3.5</v>
      </c>
      <c r="DI62" s="242">
        <v>1</v>
      </c>
      <c r="DJ62" s="242">
        <v>1.5</v>
      </c>
      <c r="DK62" s="239">
        <v>1</v>
      </c>
      <c r="DL62" s="240">
        <f t="shared" si="34"/>
        <v>7</v>
      </c>
      <c r="DM62" s="240"/>
      <c r="DN62" s="229">
        <f t="shared" si="35"/>
        <v>4.5</v>
      </c>
      <c r="DO62" s="241">
        <v>1.5</v>
      </c>
      <c r="DP62" s="242">
        <v>1.5</v>
      </c>
      <c r="DQ62" s="230">
        <v>1.5</v>
      </c>
      <c r="DR62" s="240">
        <f t="shared" si="36"/>
        <v>9</v>
      </c>
      <c r="DS62" s="229">
        <f t="shared" si="37"/>
        <v>5.5</v>
      </c>
      <c r="DT62" s="241">
        <v>2</v>
      </c>
      <c r="DU62" s="242">
        <v>1.5</v>
      </c>
      <c r="DV62" s="230">
        <v>2</v>
      </c>
      <c r="DW62" s="240">
        <f t="shared" si="38"/>
        <v>11</v>
      </c>
      <c r="GH62" s="279" t="s">
        <v>916</v>
      </c>
      <c r="GI62" s="305">
        <v>1</v>
      </c>
      <c r="GJ62" s="160"/>
      <c r="GK62" s="309" t="str">
        <f>IF(GI62=0,"0","12")</f>
        <v>12</v>
      </c>
      <c r="GM62" s="279"/>
      <c r="GN62" s="305"/>
      <c r="GO62" s="305"/>
      <c r="GP62" s="160"/>
      <c r="GQ62" s="309"/>
      <c r="GS62" s="279" t="s">
        <v>915</v>
      </c>
      <c r="GT62" s="305" t="s">
        <v>468</v>
      </c>
      <c r="GU62" s="516" t="str">
        <f t="shared" si="46"/>
        <v>11</v>
      </c>
      <c r="GV62" s="516"/>
      <c r="GW62" s="309" t="str">
        <f>IF(GT62=0,"0",IF(GT62="1/2","11",IF(GT62="3/4","12","13")))</f>
        <v>11</v>
      </c>
      <c r="GX62" s="301"/>
      <c r="GY62" s="1"/>
      <c r="GZ62" s="302"/>
    </row>
    <row r="63" spans="1:269" ht="16.5" thickBot="1" x14ac:dyDescent="0.3">
      <c r="A63" s="189" t="s">
        <v>369</v>
      </c>
      <c r="B63" s="12">
        <v>16</v>
      </c>
      <c r="C63" s="86" t="s">
        <v>370</v>
      </c>
      <c r="D63" s="12" t="s">
        <v>277</v>
      </c>
      <c r="E63" s="24"/>
      <c r="F63" s="192"/>
      <c r="G63" s="75"/>
      <c r="H63" s="189" t="s">
        <v>369</v>
      </c>
      <c r="I63" s="12">
        <v>16</v>
      </c>
      <c r="J63" s="86" t="s">
        <v>370</v>
      </c>
      <c r="K63" s="12" t="s">
        <v>84</v>
      </c>
      <c r="L63" s="24"/>
      <c r="M63" s="192"/>
      <c r="N63" s="75"/>
      <c r="O63" s="189" t="s">
        <v>369</v>
      </c>
      <c r="P63" s="12">
        <v>16</v>
      </c>
      <c r="Q63" s="86" t="s">
        <v>370</v>
      </c>
      <c r="R63" s="12" t="s">
        <v>80</v>
      </c>
      <c r="S63" s="24"/>
      <c r="T63" s="192"/>
      <c r="Y63" s="14" t="s">
        <v>25</v>
      </c>
      <c r="Z63" s="12">
        <v>1</v>
      </c>
      <c r="AA63" s="14" t="s">
        <v>658</v>
      </c>
      <c r="AB63" s="12" t="s">
        <v>77</v>
      </c>
      <c r="AC63" s="96"/>
      <c r="AD63" s="13"/>
      <c r="AE63" s="95"/>
      <c r="AF63" s="32" t="s">
        <v>554</v>
      </c>
      <c r="AG63" s="75"/>
      <c r="AH63" s="14" t="s">
        <v>181</v>
      </c>
      <c r="AI63" s="12">
        <v>1</v>
      </c>
      <c r="AJ63" s="14" t="s">
        <v>659</v>
      </c>
      <c r="AK63" s="12" t="s">
        <v>77</v>
      </c>
      <c r="AL63" s="92"/>
      <c r="AM63" s="26"/>
      <c r="AN63" s="95"/>
      <c r="AO63" s="32" t="s">
        <v>554</v>
      </c>
      <c r="AX63" s="14" t="s">
        <v>25</v>
      </c>
      <c r="AY63" s="12">
        <v>1</v>
      </c>
      <c r="AZ63" s="14" t="s">
        <v>658</v>
      </c>
      <c r="BA63" s="12" t="s">
        <v>27</v>
      </c>
      <c r="BB63" s="96"/>
      <c r="BC63" s="13"/>
      <c r="BD63" s="95"/>
      <c r="BE63" s="23"/>
      <c r="BF63" s="75"/>
      <c r="BG63" s="14" t="s">
        <v>181</v>
      </c>
      <c r="BH63" s="12">
        <v>1</v>
      </c>
      <c r="BI63" s="14" t="s">
        <v>659</v>
      </c>
      <c r="BJ63" s="12" t="s">
        <v>27</v>
      </c>
      <c r="BK63" s="92"/>
      <c r="BL63" s="26"/>
      <c r="BM63" s="95"/>
      <c r="BN63" s="23"/>
      <c r="BX63" s="14" t="s">
        <v>25</v>
      </c>
      <c r="BY63" s="12">
        <v>1</v>
      </c>
      <c r="BZ63" s="14" t="s">
        <v>658</v>
      </c>
      <c r="CA63" s="12" t="s">
        <v>74</v>
      </c>
      <c r="CB63" s="96"/>
      <c r="CC63" s="13"/>
      <c r="CD63" s="95"/>
      <c r="CE63" s="32" t="s">
        <v>284</v>
      </c>
      <c r="CF63" s="75"/>
      <c r="CG63" s="14" t="s">
        <v>181</v>
      </c>
      <c r="CH63" s="12">
        <v>1</v>
      </c>
      <c r="CI63" s="14" t="s">
        <v>659</v>
      </c>
      <c r="CJ63" s="12" t="s">
        <v>74</v>
      </c>
      <c r="CK63" s="92"/>
      <c r="CL63" s="26"/>
      <c r="CM63" s="95"/>
      <c r="CN63" s="32" t="s">
        <v>284</v>
      </c>
      <c r="CX63" s="234" t="s">
        <v>788</v>
      </c>
      <c r="CY63" s="235" t="s">
        <v>789</v>
      </c>
      <c r="CZ63" s="243">
        <v>2</v>
      </c>
      <c r="DA63" s="237" t="s">
        <v>812</v>
      </c>
      <c r="DB63" s="265">
        <v>1.5</v>
      </c>
      <c r="DC63" s="242">
        <v>1</v>
      </c>
      <c r="DD63" s="242">
        <v>1.5</v>
      </c>
      <c r="DE63" s="238">
        <v>1</v>
      </c>
      <c r="DF63" s="420">
        <f t="shared" si="42"/>
        <v>5</v>
      </c>
      <c r="DG63" s="381"/>
      <c r="DH63" s="229">
        <f t="shared" si="33"/>
        <v>3.5</v>
      </c>
      <c r="DI63" s="242">
        <v>1</v>
      </c>
      <c r="DJ63" s="242">
        <v>1.5</v>
      </c>
      <c r="DK63" s="239">
        <v>1</v>
      </c>
      <c r="DL63" s="240">
        <f t="shared" si="34"/>
        <v>7</v>
      </c>
      <c r="DM63" s="240"/>
      <c r="DN63" s="229">
        <f t="shared" si="35"/>
        <v>4.5</v>
      </c>
      <c r="DO63" s="241">
        <v>1.5</v>
      </c>
      <c r="DP63" s="242">
        <v>1.5</v>
      </c>
      <c r="DQ63" s="230">
        <v>1.5</v>
      </c>
      <c r="DR63" s="240">
        <f t="shared" si="36"/>
        <v>9</v>
      </c>
      <c r="DS63" s="229">
        <f t="shared" si="37"/>
        <v>5.5</v>
      </c>
      <c r="DT63" s="241">
        <v>2</v>
      </c>
      <c r="DU63" s="242">
        <v>1.5</v>
      </c>
      <c r="DV63" s="230">
        <v>2</v>
      </c>
      <c r="DW63" s="240">
        <f t="shared" si="38"/>
        <v>11</v>
      </c>
      <c r="GH63" s="283" t="s">
        <v>917</v>
      </c>
      <c r="GI63" s="310">
        <v>1</v>
      </c>
      <c r="GJ63" s="284"/>
      <c r="GK63" s="312" t="str">
        <f>IF(GI63=0,"0","12")</f>
        <v>12</v>
      </c>
      <c r="GM63" s="283"/>
      <c r="GN63" s="310"/>
      <c r="GO63" s="310"/>
      <c r="GP63" s="284"/>
      <c r="GQ63" s="312"/>
      <c r="GS63" s="279" t="s">
        <v>916</v>
      </c>
      <c r="GT63" s="305" t="s">
        <v>468</v>
      </c>
      <c r="GU63" s="516" t="str">
        <f t="shared" si="46"/>
        <v>12</v>
      </c>
      <c r="GV63" s="516"/>
      <c r="GW63" s="309" t="str">
        <f>IF(GT63=0,"0",IF(GT63="1/2","12",IF(GT63="3/4","13","14")))</f>
        <v>12</v>
      </c>
      <c r="GX63" s="301"/>
      <c r="GY63" s="1"/>
      <c r="GZ63" s="302"/>
      <c r="JB63" s="475"/>
      <c r="JC63" s="477" t="s">
        <v>1227</v>
      </c>
      <c r="JD63" s="477" t="s">
        <v>1228</v>
      </c>
      <c r="JE63" s="477" t="s">
        <v>1229</v>
      </c>
      <c r="JF63" s="477" t="s">
        <v>1230</v>
      </c>
      <c r="JG63" s="477" t="s">
        <v>1231</v>
      </c>
      <c r="JH63" s="477" t="s">
        <v>1232</v>
      </c>
      <c r="JI63" s="479" t="s">
        <v>828</v>
      </c>
    </row>
    <row r="64" spans="1:269" ht="16.5" thickBot="1" x14ac:dyDescent="0.3">
      <c r="A64" s="189"/>
      <c r="B64" s="12"/>
      <c r="C64" s="143"/>
      <c r="D64" s="12"/>
      <c r="E64" s="24"/>
      <c r="F64" s="192"/>
      <c r="G64" s="75"/>
      <c r="H64" s="189"/>
      <c r="I64" s="12"/>
      <c r="J64" s="86"/>
      <c r="K64" s="12"/>
      <c r="L64" s="24"/>
      <c r="M64" s="192"/>
      <c r="N64" s="75"/>
      <c r="O64" s="189"/>
      <c r="P64" s="12"/>
      <c r="Q64" s="143"/>
      <c r="R64" s="12"/>
      <c r="S64" s="24"/>
      <c r="T64" s="192"/>
      <c r="CX64" s="234" t="s">
        <v>790</v>
      </c>
      <c r="CY64" s="235" t="s">
        <v>791</v>
      </c>
      <c r="CZ64" s="243">
        <v>2</v>
      </c>
      <c r="DA64" s="237" t="s">
        <v>813</v>
      </c>
      <c r="DB64" s="265">
        <v>1.5</v>
      </c>
      <c r="DC64" s="242">
        <v>1</v>
      </c>
      <c r="DD64" s="242">
        <v>1.5</v>
      </c>
      <c r="DE64" s="238">
        <v>1</v>
      </c>
      <c r="DF64" s="420">
        <f t="shared" si="42"/>
        <v>5</v>
      </c>
      <c r="DG64" s="381"/>
      <c r="DH64" s="229">
        <f t="shared" si="33"/>
        <v>3.5</v>
      </c>
      <c r="DI64" s="242">
        <v>1</v>
      </c>
      <c r="DJ64" s="242">
        <v>1.5</v>
      </c>
      <c r="DK64" s="239">
        <v>1</v>
      </c>
      <c r="DL64" s="240">
        <f t="shared" si="34"/>
        <v>7</v>
      </c>
      <c r="DM64" s="240"/>
      <c r="DN64" s="229">
        <f t="shared" si="35"/>
        <v>4.5</v>
      </c>
      <c r="DO64" s="241">
        <v>1.5</v>
      </c>
      <c r="DP64" s="242">
        <v>1.5</v>
      </c>
      <c r="DQ64" s="230">
        <v>1.5</v>
      </c>
      <c r="DR64" s="240">
        <f t="shared" si="36"/>
        <v>9</v>
      </c>
      <c r="DS64" s="229">
        <f t="shared" si="37"/>
        <v>5.5</v>
      </c>
      <c r="DT64" s="241">
        <v>2</v>
      </c>
      <c r="DU64" s="242">
        <v>1.5</v>
      </c>
      <c r="DV64" s="230">
        <v>2</v>
      </c>
      <c r="DW64" s="240">
        <f t="shared" si="38"/>
        <v>11</v>
      </c>
      <c r="GS64" s="283" t="s">
        <v>917</v>
      </c>
      <c r="GT64" s="310" t="s">
        <v>468</v>
      </c>
      <c r="GU64" s="497" t="str">
        <f t="shared" si="46"/>
        <v>13</v>
      </c>
      <c r="GV64" s="497"/>
      <c r="GW64" s="312" t="str">
        <f>IF(GT64=0,"0",IF(GT64="1/2","13",IF(GT64="3/4","14","15")))</f>
        <v>13</v>
      </c>
      <c r="JB64" s="476"/>
      <c r="JC64" s="478"/>
      <c r="JD64" s="478"/>
      <c r="JE64" s="478"/>
      <c r="JF64" s="478"/>
      <c r="JG64" s="478"/>
      <c r="JH64" s="478"/>
      <c r="JI64" s="480"/>
    </row>
    <row r="65" spans="1:269" ht="36" x14ac:dyDescent="0.55000000000000004">
      <c r="A65" s="566" t="s">
        <v>590</v>
      </c>
      <c r="B65" s="566"/>
      <c r="C65" s="566"/>
      <c r="D65" s="566"/>
      <c r="E65" s="566"/>
      <c r="F65" s="566"/>
      <c r="G65" s="566"/>
      <c r="H65" s="566"/>
      <c r="I65" s="566"/>
      <c r="J65" s="566"/>
      <c r="K65" s="566"/>
      <c r="L65" s="566"/>
      <c r="M65" s="566"/>
      <c r="N65" s="566"/>
      <c r="O65" s="566"/>
      <c r="P65" s="566"/>
      <c r="Q65" s="566"/>
      <c r="R65" s="566"/>
      <c r="S65" s="566"/>
      <c r="T65" s="566"/>
      <c r="Y65" s="578" t="s">
        <v>660</v>
      </c>
      <c r="Z65" s="578"/>
      <c r="AA65" s="578"/>
      <c r="AB65" s="578"/>
      <c r="AC65" s="578"/>
      <c r="AD65" s="578"/>
      <c r="AE65" s="578"/>
      <c r="AF65" s="578"/>
      <c r="AH65" s="578" t="s">
        <v>660</v>
      </c>
      <c r="AI65" s="578"/>
      <c r="AJ65" s="578"/>
      <c r="AK65" s="578"/>
      <c r="AL65" s="578"/>
      <c r="AM65" s="578"/>
      <c r="AN65" s="578"/>
      <c r="AO65" s="578"/>
      <c r="AX65" s="578" t="s">
        <v>660</v>
      </c>
      <c r="AY65" s="578"/>
      <c r="AZ65" s="578"/>
      <c r="BA65" s="578"/>
      <c r="BB65" s="578"/>
      <c r="BC65" s="578"/>
      <c r="BD65" s="578"/>
      <c r="BE65" s="578"/>
      <c r="BG65" s="578" t="s">
        <v>660</v>
      </c>
      <c r="BH65" s="578"/>
      <c r="BI65" s="578"/>
      <c r="BJ65" s="578"/>
      <c r="BK65" s="578"/>
      <c r="BL65" s="578"/>
      <c r="BM65" s="578"/>
      <c r="BN65" s="578"/>
      <c r="BX65" s="578" t="s">
        <v>660</v>
      </c>
      <c r="BY65" s="578"/>
      <c r="BZ65" s="578"/>
      <c r="CA65" s="578"/>
      <c r="CB65" s="578"/>
      <c r="CC65" s="578"/>
      <c r="CD65" s="578"/>
      <c r="CE65" s="578"/>
      <c r="CG65" s="578" t="s">
        <v>660</v>
      </c>
      <c r="CH65" s="578"/>
      <c r="CI65" s="578"/>
      <c r="CJ65" s="578"/>
      <c r="CK65" s="578"/>
      <c r="CL65" s="578"/>
      <c r="CM65" s="578"/>
      <c r="CN65" s="578"/>
      <c r="CX65" s="234" t="s">
        <v>792</v>
      </c>
      <c r="CY65" s="235" t="s">
        <v>793</v>
      </c>
      <c r="CZ65" s="243">
        <v>2</v>
      </c>
      <c r="DA65" s="237" t="s">
        <v>1185</v>
      </c>
      <c r="DB65" s="265">
        <v>1.5</v>
      </c>
      <c r="DC65" s="242">
        <v>1</v>
      </c>
      <c r="DD65" s="242">
        <v>1.5</v>
      </c>
      <c r="DE65" s="238">
        <v>1</v>
      </c>
      <c r="DF65" s="420">
        <f t="shared" si="42"/>
        <v>5</v>
      </c>
      <c r="DG65" s="381"/>
      <c r="DH65" s="229">
        <f t="shared" si="33"/>
        <v>3.5</v>
      </c>
      <c r="DI65" s="242">
        <v>1</v>
      </c>
      <c r="DJ65" s="242">
        <v>1.5</v>
      </c>
      <c r="DK65" s="239">
        <v>1</v>
      </c>
      <c r="DL65" s="240">
        <f t="shared" si="34"/>
        <v>7</v>
      </c>
      <c r="DM65" s="240"/>
      <c r="DN65" s="229">
        <f t="shared" si="35"/>
        <v>4.5</v>
      </c>
      <c r="DO65" s="241">
        <v>1.5</v>
      </c>
      <c r="DP65" s="242">
        <v>1.5</v>
      </c>
      <c r="DQ65" s="230">
        <v>1.5</v>
      </c>
      <c r="DR65" s="240">
        <f t="shared" si="36"/>
        <v>9</v>
      </c>
      <c r="DS65" s="229">
        <f t="shared" si="37"/>
        <v>5.5</v>
      </c>
      <c r="DT65" s="241">
        <v>2</v>
      </c>
      <c r="DU65" s="242">
        <v>1.5</v>
      </c>
      <c r="DV65" s="230">
        <v>2</v>
      </c>
      <c r="DW65" s="240">
        <f t="shared" si="38"/>
        <v>11</v>
      </c>
      <c r="FG65" s="532" t="s">
        <v>211</v>
      </c>
      <c r="FH65" s="531"/>
      <c r="FI65" s="531"/>
      <c r="FJ65" s="531"/>
      <c r="FK65" s="531"/>
      <c r="FL65" s="531"/>
      <c r="FM65" s="531"/>
      <c r="FN65" s="531"/>
      <c r="FO65" s="531"/>
      <c r="FP65" s="531"/>
      <c r="FQ65" s="531"/>
      <c r="FR65" s="531"/>
      <c r="FS65" s="531"/>
      <c r="FT65" s="531"/>
      <c r="FU65" s="531"/>
      <c r="FV65" s="531"/>
      <c r="FW65" s="531"/>
      <c r="FX65" s="531"/>
      <c r="FY65" s="531"/>
      <c r="FZ65" s="531"/>
      <c r="GA65" s="531"/>
      <c r="GB65" s="531"/>
      <c r="GC65" s="531"/>
      <c r="GD65" s="531"/>
      <c r="GL65" s="1" t="s">
        <v>1011</v>
      </c>
      <c r="JB65" s="423" t="s">
        <v>1233</v>
      </c>
      <c r="JC65" s="429"/>
      <c r="JD65" s="429"/>
      <c r="JE65" s="424">
        <v>6</v>
      </c>
      <c r="JF65" s="424">
        <v>8</v>
      </c>
      <c r="JG65" s="424">
        <f t="shared" ref="JG65:JG70" si="49">JC65*1.5+10</f>
        <v>10</v>
      </c>
      <c r="JH65" s="424" cm="1">
        <f t="array" ref="JH65">_xlfn.IFS(JD65="",1,JD65=0.1875,1,JD65=0.25,1,JD65=0.3125,1,JD65=0.375,1.25,JD65=0.5,1.25,JD65=0.625,1.5,JD65=0.75,1.5,JD65=0.875,1.5,JD65=1,1.5)</f>
        <v>1</v>
      </c>
      <c r="JI65" s="425">
        <f>JE65+JF65+(JG65*JH65)</f>
        <v>24</v>
      </c>
    </row>
    <row r="66" spans="1:269" ht="30.75" thickBot="1" x14ac:dyDescent="0.3">
      <c r="A66" s="566"/>
      <c r="B66" s="566"/>
      <c r="C66" s="566"/>
      <c r="D66" s="566"/>
      <c r="E66" s="566"/>
      <c r="F66" s="566"/>
      <c r="G66" s="566"/>
      <c r="H66" s="566"/>
      <c r="I66" s="566"/>
      <c r="J66" s="566"/>
      <c r="K66" s="566"/>
      <c r="L66" s="566"/>
      <c r="M66" s="566"/>
      <c r="N66" s="566"/>
      <c r="O66" s="566"/>
      <c r="P66" s="566"/>
      <c r="Q66" s="566"/>
      <c r="R66" s="566"/>
      <c r="S66" s="566"/>
      <c r="T66" s="566"/>
      <c r="Y66" s="27" t="s">
        <v>0</v>
      </c>
      <c r="Z66" s="28" t="s">
        <v>1</v>
      </c>
      <c r="AA66" s="28" t="s">
        <v>2</v>
      </c>
      <c r="AB66" s="28" t="s">
        <v>24</v>
      </c>
      <c r="AC66" s="155" t="s">
        <v>7</v>
      </c>
      <c r="AD66" s="45" t="s">
        <v>9</v>
      </c>
      <c r="AE66" s="7" t="s">
        <v>133</v>
      </c>
      <c r="AF66" s="46" t="s">
        <v>134</v>
      </c>
      <c r="AH66" s="27" t="s">
        <v>0</v>
      </c>
      <c r="AI66" s="28" t="s">
        <v>1</v>
      </c>
      <c r="AJ66" s="28" t="s">
        <v>2</v>
      </c>
      <c r="AK66" s="28" t="s">
        <v>24</v>
      </c>
      <c r="AL66" s="155" t="s">
        <v>7</v>
      </c>
      <c r="AM66" s="45" t="s">
        <v>9</v>
      </c>
      <c r="AN66" s="7" t="s">
        <v>133</v>
      </c>
      <c r="AO66" s="46" t="s">
        <v>134</v>
      </c>
      <c r="AX66" s="27" t="s">
        <v>0</v>
      </c>
      <c r="AY66" s="28" t="s">
        <v>1</v>
      </c>
      <c r="AZ66" s="28" t="s">
        <v>2</v>
      </c>
      <c r="BA66" s="28" t="s">
        <v>24</v>
      </c>
      <c r="BB66" s="155" t="s">
        <v>7</v>
      </c>
      <c r="BC66" s="45" t="s">
        <v>9</v>
      </c>
      <c r="BD66" s="7" t="s">
        <v>133</v>
      </c>
      <c r="BE66" s="46" t="s">
        <v>134</v>
      </c>
      <c r="BG66" s="27" t="s">
        <v>0</v>
      </c>
      <c r="BH66" s="28" t="s">
        <v>1</v>
      </c>
      <c r="BI66" s="28" t="s">
        <v>2</v>
      </c>
      <c r="BJ66" s="28" t="s">
        <v>24</v>
      </c>
      <c r="BK66" s="155" t="s">
        <v>7</v>
      </c>
      <c r="BL66" s="45" t="s">
        <v>9</v>
      </c>
      <c r="BM66" s="7" t="s">
        <v>133</v>
      </c>
      <c r="BN66" s="46" t="s">
        <v>134</v>
      </c>
      <c r="BX66" s="27" t="s">
        <v>0</v>
      </c>
      <c r="BY66" s="28" t="s">
        <v>1</v>
      </c>
      <c r="BZ66" s="28" t="s">
        <v>2</v>
      </c>
      <c r="CA66" s="28" t="s">
        <v>24</v>
      </c>
      <c r="CB66" s="155" t="s">
        <v>7</v>
      </c>
      <c r="CC66" s="45" t="s">
        <v>9</v>
      </c>
      <c r="CD66" s="89" t="s">
        <v>133</v>
      </c>
      <c r="CE66" s="46" t="s">
        <v>134</v>
      </c>
      <c r="CG66" s="27" t="s">
        <v>0</v>
      </c>
      <c r="CH66" s="28" t="s">
        <v>1</v>
      </c>
      <c r="CI66" s="28" t="s">
        <v>2</v>
      </c>
      <c r="CJ66" s="28" t="s">
        <v>24</v>
      </c>
      <c r="CK66" s="155" t="s">
        <v>7</v>
      </c>
      <c r="CL66" s="45" t="s">
        <v>9</v>
      </c>
      <c r="CM66" s="89" t="s">
        <v>133</v>
      </c>
      <c r="CN66" s="46" t="s">
        <v>134</v>
      </c>
      <c r="CX66" s="234" t="s">
        <v>794</v>
      </c>
      <c r="CY66" s="235" t="s">
        <v>795</v>
      </c>
      <c r="CZ66" s="243">
        <v>2</v>
      </c>
      <c r="DA66" s="237" t="s">
        <v>814</v>
      </c>
      <c r="DB66" s="265">
        <v>1.5</v>
      </c>
      <c r="DC66" s="242">
        <v>1</v>
      </c>
      <c r="DD66" s="242">
        <v>1.5</v>
      </c>
      <c r="DE66" s="238">
        <v>1</v>
      </c>
      <c r="DF66" s="420">
        <f t="shared" si="42"/>
        <v>5</v>
      </c>
      <c r="DG66" s="381"/>
      <c r="DH66" s="229">
        <f t="shared" si="33"/>
        <v>3.5</v>
      </c>
      <c r="DI66" s="242">
        <v>1</v>
      </c>
      <c r="DJ66" s="242">
        <v>1.5</v>
      </c>
      <c r="DK66" s="239">
        <v>1</v>
      </c>
      <c r="DL66" s="240">
        <f t="shared" si="34"/>
        <v>7</v>
      </c>
      <c r="DM66" s="240"/>
      <c r="DN66" s="229">
        <f t="shared" si="35"/>
        <v>4.5</v>
      </c>
      <c r="DO66" s="241">
        <v>1.5</v>
      </c>
      <c r="DP66" s="242">
        <v>1.5</v>
      </c>
      <c r="DQ66" s="230">
        <v>1.5</v>
      </c>
      <c r="DR66" s="240">
        <f t="shared" si="36"/>
        <v>9</v>
      </c>
      <c r="DS66" s="229">
        <f t="shared" si="37"/>
        <v>5.5</v>
      </c>
      <c r="DT66" s="241">
        <v>2</v>
      </c>
      <c r="DU66" s="242">
        <v>1.5</v>
      </c>
      <c r="DV66" s="230">
        <v>2</v>
      </c>
      <c r="DW66" s="240">
        <f t="shared" si="38"/>
        <v>11</v>
      </c>
      <c r="FG66" s="299" t="s">
        <v>933</v>
      </c>
      <c r="FH66" s="299" t="s">
        <v>934</v>
      </c>
      <c r="FI66" s="299" t="s">
        <v>935</v>
      </c>
      <c r="FJ66" s="299" t="s">
        <v>936</v>
      </c>
      <c r="FK66" s="299" t="s">
        <v>937</v>
      </c>
      <c r="FL66" s="299" t="s">
        <v>938</v>
      </c>
      <c r="FM66" s="299" t="s">
        <v>939</v>
      </c>
      <c r="FN66" s="299" t="s">
        <v>940</v>
      </c>
      <c r="FO66" s="299" t="s">
        <v>941</v>
      </c>
      <c r="FP66" s="299"/>
      <c r="FQ66" s="300" t="s">
        <v>942</v>
      </c>
      <c r="FR66" s="300" t="s">
        <v>943</v>
      </c>
      <c r="FS66" s="300" t="s">
        <v>858</v>
      </c>
      <c r="FT66" s="300" t="s">
        <v>944</v>
      </c>
      <c r="FU66" s="300" t="s">
        <v>945</v>
      </c>
      <c r="FV66" s="322" t="s">
        <v>946</v>
      </c>
      <c r="FW66" s="299" t="s">
        <v>933</v>
      </c>
      <c r="FX66" s="299"/>
      <c r="FY66" s="421" t="s">
        <v>555</v>
      </c>
      <c r="FZ66" s="299"/>
      <c r="GA66" s="422" t="s">
        <v>1226</v>
      </c>
      <c r="GB66" s="299"/>
      <c r="GD66" s="319" t="s">
        <v>942</v>
      </c>
      <c r="GL66" s="166" t="s">
        <v>468</v>
      </c>
      <c r="JB66" s="423" t="s">
        <v>907</v>
      </c>
      <c r="JC66" s="429"/>
      <c r="JD66" s="429"/>
      <c r="JE66" s="424">
        <v>8</v>
      </c>
      <c r="JF66" s="424">
        <v>10</v>
      </c>
      <c r="JG66" s="424">
        <f t="shared" si="49"/>
        <v>10</v>
      </c>
      <c r="JH66" s="424" cm="1">
        <f t="array" ref="JH66">_xlfn.IFS(JD66="",1,JD66=0.1875,1,JD66=0.25,1,JD66=0.3125,1,JD66=0.375,1.25,JD66=0.5,1.25,JD66=0.625,1.5,JD66=0.75,1.5,JD66=0.875,1.5,JD66=1,1.5)</f>
        <v>1</v>
      </c>
      <c r="JI66" s="425">
        <f t="shared" ref="JI66:JI77" si="50">JE66+JF66+(JG66*JH66)</f>
        <v>28</v>
      </c>
    </row>
    <row r="67" spans="1:269" ht="16.5" thickBot="1" x14ac:dyDescent="0.3">
      <c r="A67" s="566"/>
      <c r="B67" s="566"/>
      <c r="C67" s="566"/>
      <c r="D67" s="566"/>
      <c r="E67" s="566"/>
      <c r="F67" s="566"/>
      <c r="G67" s="566"/>
      <c r="H67" s="566"/>
      <c r="I67" s="566"/>
      <c r="J67" s="566"/>
      <c r="K67" s="566"/>
      <c r="L67" s="566"/>
      <c r="M67" s="566"/>
      <c r="N67" s="566"/>
      <c r="O67" s="566"/>
      <c r="P67" s="566"/>
      <c r="Q67" s="566"/>
      <c r="R67" s="566"/>
      <c r="S67" s="566"/>
      <c r="T67" s="566"/>
      <c r="Y67" s="10" t="s">
        <v>25</v>
      </c>
      <c r="Z67" s="11">
        <v>1</v>
      </c>
      <c r="AA67" s="10" t="s">
        <v>661</v>
      </c>
      <c r="AB67" s="12" t="s">
        <v>77</v>
      </c>
      <c r="AC67" s="145"/>
      <c r="AD67" s="50"/>
      <c r="AE67" s="95"/>
      <c r="AF67" s="32" t="s">
        <v>554</v>
      </c>
      <c r="AH67" s="10" t="s">
        <v>25</v>
      </c>
      <c r="AI67" s="11">
        <v>1</v>
      </c>
      <c r="AJ67" s="10" t="s">
        <v>662</v>
      </c>
      <c r="AK67" s="12" t="s">
        <v>77</v>
      </c>
      <c r="AL67" s="145"/>
      <c r="AM67" s="50"/>
      <c r="AN67" s="95"/>
      <c r="AO67" s="32" t="s">
        <v>554</v>
      </c>
      <c r="AX67" s="10" t="s">
        <v>25</v>
      </c>
      <c r="AY67" s="11">
        <v>1</v>
      </c>
      <c r="AZ67" s="10" t="s">
        <v>705</v>
      </c>
      <c r="BA67" s="12" t="s">
        <v>27</v>
      </c>
      <c r="BB67" s="145"/>
      <c r="BC67" s="26"/>
      <c r="BD67" s="95"/>
      <c r="BE67" s="23" t="s">
        <v>336</v>
      </c>
      <c r="BG67" s="10" t="s">
        <v>25</v>
      </c>
      <c r="BH67" s="11">
        <v>1</v>
      </c>
      <c r="BI67" s="10" t="s">
        <v>705</v>
      </c>
      <c r="BJ67" s="12" t="s">
        <v>27</v>
      </c>
      <c r="BK67" s="145"/>
      <c r="BL67" s="26"/>
      <c r="BM67" s="95"/>
      <c r="BN67" s="23" t="s">
        <v>336</v>
      </c>
      <c r="BX67" s="10" t="s">
        <v>25</v>
      </c>
      <c r="BY67" s="11">
        <v>1</v>
      </c>
      <c r="BZ67" s="10" t="s">
        <v>661</v>
      </c>
      <c r="CA67" s="12" t="s">
        <v>74</v>
      </c>
      <c r="CB67" s="145"/>
      <c r="CC67" s="26"/>
      <c r="CD67" s="95"/>
      <c r="CE67" s="32" t="s">
        <v>284</v>
      </c>
      <c r="CG67" s="10" t="s">
        <v>25</v>
      </c>
      <c r="CH67" s="11">
        <v>1</v>
      </c>
      <c r="CI67" s="10" t="s">
        <v>662</v>
      </c>
      <c r="CJ67" s="12" t="s">
        <v>74</v>
      </c>
      <c r="CK67" s="145"/>
      <c r="CL67" s="26"/>
      <c r="CM67" s="95"/>
      <c r="CN67" s="32" t="s">
        <v>284</v>
      </c>
      <c r="CX67" s="234" t="s">
        <v>796</v>
      </c>
      <c r="CY67" s="235" t="s">
        <v>797</v>
      </c>
      <c r="CZ67" s="243">
        <v>2</v>
      </c>
      <c r="DA67" s="237" t="s">
        <v>815</v>
      </c>
      <c r="DB67" s="265">
        <v>1.5</v>
      </c>
      <c r="DC67" s="242">
        <v>1</v>
      </c>
      <c r="DD67" s="242">
        <v>1.5</v>
      </c>
      <c r="DE67" s="238">
        <v>1</v>
      </c>
      <c r="DF67" s="420">
        <f t="shared" si="42"/>
        <v>5</v>
      </c>
      <c r="DG67" s="381"/>
      <c r="DH67" s="229">
        <f t="shared" si="33"/>
        <v>3.5</v>
      </c>
      <c r="DI67" s="242">
        <v>1</v>
      </c>
      <c r="DJ67" s="242">
        <v>1.5</v>
      </c>
      <c r="DK67" s="239">
        <v>1</v>
      </c>
      <c r="DL67" s="240">
        <f t="shared" si="34"/>
        <v>7</v>
      </c>
      <c r="DM67" s="240"/>
      <c r="DN67" s="229">
        <f t="shared" si="35"/>
        <v>4.5</v>
      </c>
      <c r="DO67" s="241">
        <v>1.5</v>
      </c>
      <c r="DP67" s="242">
        <v>1.5</v>
      </c>
      <c r="DQ67" s="230">
        <v>1.5</v>
      </c>
      <c r="DR67" s="240">
        <f t="shared" si="36"/>
        <v>9</v>
      </c>
      <c r="DS67" s="229">
        <f t="shared" si="37"/>
        <v>5.5</v>
      </c>
      <c r="DT67" s="241">
        <v>2</v>
      </c>
      <c r="DU67" s="242">
        <v>1.5</v>
      </c>
      <c r="DV67" s="230">
        <v>2</v>
      </c>
      <c r="DW67" s="240">
        <f t="shared" si="38"/>
        <v>11</v>
      </c>
      <c r="FG67" s="1" t="s">
        <v>214</v>
      </c>
      <c r="FH67" s="1">
        <v>1</v>
      </c>
      <c r="FI67" s="166" t="s">
        <v>469</v>
      </c>
      <c r="FJ67" s="166" t="s">
        <v>889</v>
      </c>
      <c r="FK67" s="166" t="s">
        <v>889</v>
      </c>
      <c r="FL67" s="166"/>
      <c r="FM67" s="1" t="s">
        <v>889</v>
      </c>
      <c r="FN67" s="1" t="s">
        <v>889</v>
      </c>
      <c r="FO67" s="301">
        <f t="shared" ref="FO67:FO80" si="51">(FH67*FV67)+FR67+FS67+FT67+FU67</f>
        <v>17</v>
      </c>
      <c r="FP67" s="1"/>
      <c r="FQ67" s="302" t="str">
        <f>IF(FI67=0,"0",IF(FI67="5/16","3",IF(FI67="3/8","3.3",IF(FI67="1/2","4",IF(FI67="5/8","5",IF(FI67="3/4","5.5","3"))))))</f>
        <v>5</v>
      </c>
      <c r="FR67" s="302" t="str">
        <f t="shared" ref="FR67:FS73" si="52">IF(FJ67="Yes","3","0")</f>
        <v>3</v>
      </c>
      <c r="FS67" s="302" t="str">
        <f t="shared" si="52"/>
        <v>3</v>
      </c>
      <c r="FT67" s="302" t="str">
        <f t="shared" ref="FT67:FT80" si="53">IF(FM67="Yes","2","0")</f>
        <v>2</v>
      </c>
      <c r="FU67" s="302" t="str">
        <f>IF(FN67="Yes","4","0")</f>
        <v>4</v>
      </c>
      <c r="FV67" s="324" t="str">
        <f>IF(FL67="Yes",FQ67*2,FQ67)</f>
        <v>5</v>
      </c>
      <c r="FW67" s="323" t="s">
        <v>214</v>
      </c>
      <c r="FX67" s="1"/>
      <c r="FY67" s="1" t="s">
        <v>961</v>
      </c>
      <c r="FZ67" s="1"/>
      <c r="GA67" s="1">
        <f>FV67*1.1</f>
        <v>5.5</v>
      </c>
      <c r="GB67" s="1"/>
      <c r="GD67" s="166" t="s">
        <v>466</v>
      </c>
      <c r="GL67" s="166" t="s">
        <v>470</v>
      </c>
      <c r="JB67" s="423" t="s">
        <v>908</v>
      </c>
      <c r="JC67" s="429"/>
      <c r="JD67" s="429"/>
      <c r="JE67" s="424">
        <v>9</v>
      </c>
      <c r="JF67" s="424">
        <v>10</v>
      </c>
      <c r="JG67" s="424">
        <f t="shared" si="49"/>
        <v>10</v>
      </c>
      <c r="JH67" s="424" cm="1">
        <f t="array" ref="JH67">_xlfn.IFS(JD67="",1,JD67=0.1875,1,JD67=0.25,1,JD67=0.3125,1,JD67=0.375,1.25,JD67=0.5,1.25,JD67=0.625,1.5,JD67=0.75,1.5,JD67=0.875,1.5,JD67=1,1.5)</f>
        <v>1</v>
      </c>
      <c r="JI67" s="425">
        <f t="shared" si="50"/>
        <v>29</v>
      </c>
    </row>
    <row r="68" spans="1:269" ht="16.5" thickBot="1" x14ac:dyDescent="0.3">
      <c r="A68" s="566"/>
      <c r="B68" s="566"/>
      <c r="C68" s="566"/>
      <c r="D68" s="566"/>
      <c r="E68" s="566"/>
      <c r="F68" s="566"/>
      <c r="G68" s="566"/>
      <c r="H68" s="566"/>
      <c r="I68" s="566"/>
      <c r="J68" s="566"/>
      <c r="K68" s="566"/>
      <c r="L68" s="566"/>
      <c r="M68" s="566"/>
      <c r="N68" s="566"/>
      <c r="O68" s="566"/>
      <c r="P68" s="566"/>
      <c r="Q68" s="566"/>
      <c r="R68" s="566"/>
      <c r="S68" s="566"/>
      <c r="T68" s="566"/>
      <c r="Y68" s="10" t="s">
        <v>25</v>
      </c>
      <c r="Z68" s="11">
        <v>1</v>
      </c>
      <c r="AA68" s="10" t="s">
        <v>663</v>
      </c>
      <c r="AB68" s="12" t="s">
        <v>77</v>
      </c>
      <c r="AC68" s="145"/>
      <c r="AD68" s="50"/>
      <c r="AE68" s="95"/>
      <c r="AF68" s="32" t="s">
        <v>554</v>
      </c>
      <c r="AH68" s="10" t="s">
        <v>25</v>
      </c>
      <c r="AI68" s="11">
        <v>1</v>
      </c>
      <c r="AJ68" s="10" t="s">
        <v>664</v>
      </c>
      <c r="AK68" s="12" t="s">
        <v>77</v>
      </c>
      <c r="AL68" s="145"/>
      <c r="AM68" s="50"/>
      <c r="AN68" s="95"/>
      <c r="AO68" s="32" t="s">
        <v>554</v>
      </c>
      <c r="AX68" s="10" t="s">
        <v>25</v>
      </c>
      <c r="AY68" s="11">
        <v>1</v>
      </c>
      <c r="AZ68" s="10" t="s">
        <v>706</v>
      </c>
      <c r="BA68" s="12" t="s">
        <v>27</v>
      </c>
      <c r="BB68" s="145"/>
      <c r="BC68" s="26"/>
      <c r="BD68" s="95"/>
      <c r="BE68" s="23" t="s">
        <v>336</v>
      </c>
      <c r="BG68" s="10" t="s">
        <v>25</v>
      </c>
      <c r="BH68" s="11">
        <v>1</v>
      </c>
      <c r="BI68" s="10" t="s">
        <v>706</v>
      </c>
      <c r="BJ68" s="12" t="s">
        <v>27</v>
      </c>
      <c r="BK68" s="145"/>
      <c r="BL68" s="26"/>
      <c r="BM68" s="95"/>
      <c r="BN68" s="23" t="s">
        <v>336</v>
      </c>
      <c r="BX68" s="10" t="s">
        <v>25</v>
      </c>
      <c r="BY68" s="11">
        <v>1</v>
      </c>
      <c r="BZ68" s="10" t="s">
        <v>663</v>
      </c>
      <c r="CA68" s="12" t="s">
        <v>74</v>
      </c>
      <c r="CB68" s="145"/>
      <c r="CC68" s="26"/>
      <c r="CD68" s="95"/>
      <c r="CE68" s="32" t="s">
        <v>284</v>
      </c>
      <c r="CG68" s="10" t="s">
        <v>25</v>
      </c>
      <c r="CH68" s="11">
        <v>1</v>
      </c>
      <c r="CI68" s="10" t="s">
        <v>664</v>
      </c>
      <c r="CJ68" s="12" t="s">
        <v>74</v>
      </c>
      <c r="CK68" s="145"/>
      <c r="CL68" s="26"/>
      <c r="CM68" s="95"/>
      <c r="CN68" s="32" t="s">
        <v>284</v>
      </c>
      <c r="CX68" s="234" t="s">
        <v>798</v>
      </c>
      <c r="CY68" s="235" t="s">
        <v>799</v>
      </c>
      <c r="CZ68" s="243">
        <v>2</v>
      </c>
      <c r="DA68" s="237" t="s">
        <v>816</v>
      </c>
      <c r="DB68" s="265">
        <v>1.5</v>
      </c>
      <c r="DC68" s="242">
        <v>1</v>
      </c>
      <c r="DD68" s="242">
        <v>1.5</v>
      </c>
      <c r="DE68" s="238">
        <v>1</v>
      </c>
      <c r="DF68" s="420">
        <f t="shared" si="42"/>
        <v>5</v>
      </c>
      <c r="DG68" s="381"/>
      <c r="DH68" s="229">
        <f t="shared" si="33"/>
        <v>3.5</v>
      </c>
      <c r="DI68" s="242">
        <v>1</v>
      </c>
      <c r="DJ68" s="242">
        <v>1.5</v>
      </c>
      <c r="DK68" s="239">
        <v>1</v>
      </c>
      <c r="DL68" s="240">
        <f t="shared" si="34"/>
        <v>7</v>
      </c>
      <c r="DM68" s="240"/>
      <c r="DN68" s="229">
        <f t="shared" si="35"/>
        <v>4.5</v>
      </c>
      <c r="DO68" s="241">
        <v>1.5</v>
      </c>
      <c r="DP68" s="242">
        <v>1.5</v>
      </c>
      <c r="DQ68" s="230">
        <v>1.5</v>
      </c>
      <c r="DR68" s="240">
        <f t="shared" si="36"/>
        <v>9</v>
      </c>
      <c r="DS68" s="229">
        <f t="shared" si="37"/>
        <v>5.5</v>
      </c>
      <c r="DT68" s="241">
        <v>2</v>
      </c>
      <c r="DU68" s="242">
        <v>1.5</v>
      </c>
      <c r="DV68" s="230">
        <v>2</v>
      </c>
      <c r="DW68" s="240">
        <f t="shared" si="38"/>
        <v>11</v>
      </c>
      <c r="FG68" s="1" t="s">
        <v>218</v>
      </c>
      <c r="FH68" s="1">
        <v>1</v>
      </c>
      <c r="FI68" s="166" t="s">
        <v>469</v>
      </c>
      <c r="FJ68" s="166" t="s">
        <v>889</v>
      </c>
      <c r="FK68" s="166" t="s">
        <v>889</v>
      </c>
      <c r="FL68" s="166"/>
      <c r="FM68" s="1" t="s">
        <v>889</v>
      </c>
      <c r="FN68" s="1" t="s">
        <v>889</v>
      </c>
      <c r="FO68" s="301">
        <f t="shared" si="51"/>
        <v>17</v>
      </c>
      <c r="FP68" s="1"/>
      <c r="FQ68" s="302" t="str">
        <f>IF(FI68=0,"0",IF(FI68="5/16","3",IF(FI68="3/8","3.3",IF(FI68="1/2","4",IF(FI68="5/8","5",IF(FI68="3/4","5.5","3"))))))</f>
        <v>5</v>
      </c>
      <c r="FR68" s="302" t="str">
        <f t="shared" si="52"/>
        <v>3</v>
      </c>
      <c r="FS68" s="302" t="str">
        <f t="shared" si="52"/>
        <v>3</v>
      </c>
      <c r="FT68" s="302" t="str">
        <f t="shared" si="53"/>
        <v>2</v>
      </c>
      <c r="FU68" s="302" t="str">
        <f t="shared" ref="FU68:FU80" si="54">IF(FN68="Yes","4","0")</f>
        <v>4</v>
      </c>
      <c r="FV68" s="324" t="str">
        <f t="shared" ref="FV68:FV80" si="55">IF(FL68="Yes",FQ68*2,FQ68)</f>
        <v>5</v>
      </c>
      <c r="FW68" s="323" t="s">
        <v>218</v>
      </c>
      <c r="FX68" s="1"/>
      <c r="FY68" s="1" t="s">
        <v>961</v>
      </c>
      <c r="FZ68" s="1"/>
      <c r="GA68" s="1">
        <f t="shared" ref="GA68:GA80" si="56">FV68*1.1</f>
        <v>5.5</v>
      </c>
      <c r="GB68" s="1"/>
      <c r="GD68" s="166" t="s">
        <v>463</v>
      </c>
      <c r="GL68" s="301">
        <v>1</v>
      </c>
      <c r="JB68" s="423" t="s">
        <v>909</v>
      </c>
      <c r="JC68" s="429"/>
      <c r="JD68" s="429"/>
      <c r="JE68" s="424">
        <v>9</v>
      </c>
      <c r="JF68" s="424">
        <v>14</v>
      </c>
      <c r="JG68" s="424">
        <f t="shared" si="49"/>
        <v>10</v>
      </c>
      <c r="JH68" s="424" cm="1">
        <f t="array" ref="JH68">_xlfn.IFS(JD68="",1,JD68=0.1875,1,JD68=0.25,1,JD68=0.3125,1,JD68=0.375,1.25,JD68=0.5,1.25,JD68=0.625,1.5,JD68=0.75,1.5,JD68=0.875,1.5,JD68=1,1.5)</f>
        <v>1</v>
      </c>
      <c r="JI68" s="425">
        <f t="shared" si="50"/>
        <v>33</v>
      </c>
    </row>
    <row r="69" spans="1:269" ht="16.5" thickBot="1" x14ac:dyDescent="0.3">
      <c r="A69" s="566"/>
      <c r="B69" s="566"/>
      <c r="C69" s="566"/>
      <c r="D69" s="566"/>
      <c r="E69" s="566"/>
      <c r="F69" s="566"/>
      <c r="G69" s="566"/>
      <c r="H69" s="566"/>
      <c r="I69" s="566"/>
      <c r="J69" s="566"/>
      <c r="K69" s="566"/>
      <c r="L69" s="566"/>
      <c r="M69" s="566"/>
      <c r="N69" s="566"/>
      <c r="O69" s="566"/>
      <c r="P69" s="566"/>
      <c r="Q69" s="566"/>
      <c r="R69" s="566"/>
      <c r="S69" s="566"/>
      <c r="T69" s="566"/>
      <c r="Y69" s="10" t="s">
        <v>25</v>
      </c>
      <c r="Z69" s="11">
        <v>1</v>
      </c>
      <c r="AA69" s="10" t="s">
        <v>665</v>
      </c>
      <c r="AB69" s="12" t="s">
        <v>77</v>
      </c>
      <c r="AC69" s="145"/>
      <c r="AD69" s="50"/>
      <c r="AE69" s="95"/>
      <c r="AF69" s="32" t="s">
        <v>554</v>
      </c>
      <c r="AH69" s="10" t="s">
        <v>25</v>
      </c>
      <c r="AI69" s="11">
        <v>1</v>
      </c>
      <c r="AJ69" s="10" t="s">
        <v>666</v>
      </c>
      <c r="AK69" s="12" t="s">
        <v>77</v>
      </c>
      <c r="AL69" s="145"/>
      <c r="AM69" s="50"/>
      <c r="AN69" s="95"/>
      <c r="AO69" s="32" t="s">
        <v>554</v>
      </c>
      <c r="AX69" s="10" t="s">
        <v>25</v>
      </c>
      <c r="AY69" s="11">
        <v>1</v>
      </c>
      <c r="AZ69" s="10" t="s">
        <v>707</v>
      </c>
      <c r="BA69" s="12" t="s">
        <v>27</v>
      </c>
      <c r="BB69" s="145"/>
      <c r="BC69" s="26"/>
      <c r="BD69" s="95"/>
      <c r="BE69" s="23" t="s">
        <v>336</v>
      </c>
      <c r="BG69" s="10" t="s">
        <v>25</v>
      </c>
      <c r="BH69" s="11">
        <v>1</v>
      </c>
      <c r="BI69" s="10" t="s">
        <v>707</v>
      </c>
      <c r="BJ69" s="12" t="s">
        <v>27</v>
      </c>
      <c r="BK69" s="145"/>
      <c r="BL69" s="26"/>
      <c r="BM69" s="95"/>
      <c r="BN69" s="23" t="s">
        <v>336</v>
      </c>
      <c r="BX69" s="10" t="s">
        <v>25</v>
      </c>
      <c r="BY69" s="11">
        <v>1</v>
      </c>
      <c r="BZ69" s="10" t="s">
        <v>665</v>
      </c>
      <c r="CA69" s="12" t="s">
        <v>74</v>
      </c>
      <c r="CB69" s="145"/>
      <c r="CC69" s="26"/>
      <c r="CD69" s="95"/>
      <c r="CE69" s="32" t="s">
        <v>284</v>
      </c>
      <c r="CG69" s="10" t="s">
        <v>25</v>
      </c>
      <c r="CH69" s="11">
        <v>1</v>
      </c>
      <c r="CI69" s="10" t="s">
        <v>666</v>
      </c>
      <c r="CJ69" s="12" t="s">
        <v>74</v>
      </c>
      <c r="CK69" s="145"/>
      <c r="CL69" s="26"/>
      <c r="CM69" s="95"/>
      <c r="CN69" s="32" t="s">
        <v>284</v>
      </c>
      <c r="CX69" s="234"/>
      <c r="CY69" s="235"/>
      <c r="CZ69" s="236"/>
      <c r="DA69" s="237"/>
      <c r="DB69" s="244"/>
      <c r="DC69" s="245"/>
      <c r="DD69" s="245"/>
      <c r="DE69" s="246"/>
      <c r="DF69" s="382"/>
      <c r="DG69" s="382"/>
      <c r="DH69" s="248"/>
      <c r="DI69" s="249"/>
      <c r="DJ69" s="249"/>
      <c r="DK69" s="250"/>
      <c r="DL69" s="251"/>
      <c r="DM69" s="251"/>
      <c r="DN69" s="248"/>
      <c r="DO69" s="249"/>
      <c r="DP69" s="249"/>
      <c r="DQ69" s="239"/>
      <c r="DR69" s="251"/>
      <c r="DS69" s="248"/>
      <c r="DT69" s="249"/>
      <c r="DU69" s="249"/>
      <c r="DV69" s="239"/>
      <c r="DW69" s="251"/>
      <c r="FG69" s="1" t="s">
        <v>220</v>
      </c>
      <c r="FH69" s="1">
        <v>1</v>
      </c>
      <c r="FI69" s="166" t="s">
        <v>469</v>
      </c>
      <c r="FJ69" s="166" t="s">
        <v>889</v>
      </c>
      <c r="FK69" s="166" t="s">
        <v>889</v>
      </c>
      <c r="FL69" s="166"/>
      <c r="FM69" s="1" t="s">
        <v>889</v>
      </c>
      <c r="FN69" s="1" t="s">
        <v>889</v>
      </c>
      <c r="FO69" s="301">
        <f t="shared" si="51"/>
        <v>17</v>
      </c>
      <c r="FP69" s="1"/>
      <c r="FQ69" s="302" t="str">
        <f>IF(FI69=0,"0",IF(FI69="5/16","3",IF(FI69="3/8","3.3",IF(FI69="1/2","4",IF(FI69="5/8","5",IF(FI69="3/4","5.5","3"))))))</f>
        <v>5</v>
      </c>
      <c r="FR69" s="302" t="str">
        <f t="shared" si="52"/>
        <v>3</v>
      </c>
      <c r="FS69" s="302" t="str">
        <f t="shared" si="52"/>
        <v>3</v>
      </c>
      <c r="FT69" s="302" t="str">
        <f t="shared" si="53"/>
        <v>2</v>
      </c>
      <c r="FU69" s="302" t="str">
        <f t="shared" si="54"/>
        <v>4</v>
      </c>
      <c r="FV69" s="324" t="str">
        <f t="shared" si="55"/>
        <v>5</v>
      </c>
      <c r="FW69" s="323" t="s">
        <v>220</v>
      </c>
      <c r="FX69" s="1"/>
      <c r="FY69" s="1" t="s">
        <v>961</v>
      </c>
      <c r="FZ69" s="1"/>
      <c r="GA69" s="1">
        <f t="shared" si="56"/>
        <v>5.5</v>
      </c>
      <c r="GB69" s="1"/>
      <c r="GD69" s="166" t="s">
        <v>464</v>
      </c>
      <c r="JB69" s="423" t="s">
        <v>910</v>
      </c>
      <c r="JC69" s="429"/>
      <c r="JD69" s="429"/>
      <c r="JE69" s="424">
        <v>12</v>
      </c>
      <c r="JF69" s="424">
        <v>14</v>
      </c>
      <c r="JG69" s="424">
        <f t="shared" si="49"/>
        <v>10</v>
      </c>
      <c r="JH69" s="424" cm="1">
        <f t="array" ref="JH69">_xlfn.IFS(JD69="",1,JD69=0.1875,1,JD69=0.25,1,JD69=0.3125,1,JD69=0.375,1.25,JD69=0.5,1.25,JD69=0.625,1.5,JD69=0.75,1.5,JD69=0.875,1.5,JD69=1,1.5)</f>
        <v>1</v>
      </c>
      <c r="JI69" s="425">
        <f t="shared" si="50"/>
        <v>36</v>
      </c>
    </row>
    <row r="70" spans="1:269" ht="16.5" thickBot="1" x14ac:dyDescent="0.3">
      <c r="A70" s="203"/>
      <c r="B70" s="203"/>
      <c r="C70" s="203"/>
      <c r="D70" s="203"/>
      <c r="E70" s="203"/>
      <c r="F70" s="203"/>
      <c r="G70" s="203"/>
      <c r="H70" s="203"/>
      <c r="I70" s="203"/>
      <c r="J70" s="203"/>
      <c r="K70" s="203"/>
      <c r="L70" s="203"/>
      <c r="M70" s="203"/>
      <c r="N70" s="203"/>
      <c r="O70" s="203"/>
      <c r="P70" s="203"/>
      <c r="Q70" s="203"/>
      <c r="R70" s="203"/>
      <c r="S70" s="203"/>
      <c r="T70" s="203"/>
      <c r="Y70" s="10" t="s">
        <v>25</v>
      </c>
      <c r="Z70" s="11">
        <v>1</v>
      </c>
      <c r="AA70" s="10" t="s">
        <v>667</v>
      </c>
      <c r="AB70" s="12" t="s">
        <v>77</v>
      </c>
      <c r="AC70" s="149">
        <f>Z70*61</f>
        <v>61</v>
      </c>
      <c r="AD70" s="53"/>
      <c r="AE70" s="95">
        <v>45376</v>
      </c>
      <c r="AF70" s="32" t="s">
        <v>554</v>
      </c>
      <c r="AH70" s="10" t="s">
        <v>25</v>
      </c>
      <c r="AI70" s="11">
        <v>1</v>
      </c>
      <c r="AJ70" s="10" t="s">
        <v>668</v>
      </c>
      <c r="AK70" s="12" t="s">
        <v>77</v>
      </c>
      <c r="AL70" s="149"/>
      <c r="AM70" s="53"/>
      <c r="AN70" s="95"/>
      <c r="AO70" s="32" t="s">
        <v>554</v>
      </c>
      <c r="AX70" s="10" t="s">
        <v>25</v>
      </c>
      <c r="AY70" s="11">
        <v>1</v>
      </c>
      <c r="AZ70" s="10" t="s">
        <v>708</v>
      </c>
      <c r="BA70" s="12" t="s">
        <v>27</v>
      </c>
      <c r="BB70" s="149"/>
      <c r="BC70" s="22"/>
      <c r="BD70" s="95"/>
      <c r="BE70" s="23" t="s">
        <v>336</v>
      </c>
      <c r="BG70" s="10" t="s">
        <v>25</v>
      </c>
      <c r="BH70" s="11">
        <v>1</v>
      </c>
      <c r="BI70" s="10" t="s">
        <v>708</v>
      </c>
      <c r="BJ70" s="12" t="s">
        <v>27</v>
      </c>
      <c r="BK70" s="149"/>
      <c r="BL70" s="22"/>
      <c r="BM70" s="95"/>
      <c r="BN70" s="23" t="s">
        <v>336</v>
      </c>
      <c r="BX70" s="10" t="s">
        <v>25</v>
      </c>
      <c r="BY70" s="11">
        <v>1</v>
      </c>
      <c r="BZ70" s="10" t="s">
        <v>667</v>
      </c>
      <c r="CA70" s="12" t="s">
        <v>74</v>
      </c>
      <c r="CB70" s="149"/>
      <c r="CC70" s="145"/>
      <c r="CD70" s="95"/>
      <c r="CE70" s="32" t="s">
        <v>284</v>
      </c>
      <c r="CG70" s="10" t="s">
        <v>25</v>
      </c>
      <c r="CH70" s="11">
        <v>1</v>
      </c>
      <c r="CI70" s="10" t="s">
        <v>668</v>
      </c>
      <c r="CJ70" s="12" t="s">
        <v>74</v>
      </c>
      <c r="CK70" s="149"/>
      <c r="CL70" s="145"/>
      <c r="CM70" s="95"/>
      <c r="CN70" s="32" t="s">
        <v>284</v>
      </c>
      <c r="CX70" s="252"/>
      <c r="CY70" s="253"/>
      <c r="CZ70" s="254"/>
      <c r="DA70" s="255"/>
      <c r="DB70" s="256"/>
      <c r="DC70" s="257"/>
      <c r="DD70" s="257"/>
      <c r="DE70" s="258"/>
      <c r="DF70" s="383"/>
      <c r="DG70" s="383"/>
      <c r="DH70" s="260"/>
      <c r="DI70" s="261"/>
      <c r="DJ70" s="261"/>
      <c r="DK70" s="262"/>
      <c r="DL70" s="263"/>
      <c r="DM70" s="264"/>
      <c r="DN70" s="260"/>
      <c r="DO70" s="261"/>
      <c r="DP70" s="261"/>
      <c r="DQ70" s="262"/>
      <c r="DR70" s="263"/>
      <c r="DS70" s="260"/>
      <c r="DT70" s="261"/>
      <c r="DU70" s="261"/>
      <c r="DV70" s="262"/>
      <c r="DW70" s="263"/>
      <c r="FG70" s="1" t="s">
        <v>224</v>
      </c>
      <c r="FH70" s="1">
        <v>1</v>
      </c>
      <c r="FI70" s="166" t="s">
        <v>469</v>
      </c>
      <c r="FJ70" s="166" t="s">
        <v>889</v>
      </c>
      <c r="FK70" s="166" t="s">
        <v>889</v>
      </c>
      <c r="FL70" s="166"/>
      <c r="FM70" s="1" t="s">
        <v>889</v>
      </c>
      <c r="FN70" s="1" t="s">
        <v>889</v>
      </c>
      <c r="FO70" s="301">
        <f t="shared" si="51"/>
        <v>18</v>
      </c>
      <c r="FP70" s="1"/>
      <c r="FQ70" s="302" t="str">
        <f>IF(FI70=0,"0",IF(FI70="5/16","3.5",IF(FI70="3/8","4",IF(FI70="1/2","5.5",IF(FI70="5/8","6",IF(FI70="3/4","6.5","3.5"))))))</f>
        <v>6</v>
      </c>
      <c r="FR70" s="302" t="str">
        <f t="shared" si="52"/>
        <v>3</v>
      </c>
      <c r="FS70" s="302" t="str">
        <f t="shared" si="52"/>
        <v>3</v>
      </c>
      <c r="FT70" s="302" t="str">
        <f t="shared" si="53"/>
        <v>2</v>
      </c>
      <c r="FU70" s="302" t="str">
        <f t="shared" si="54"/>
        <v>4</v>
      </c>
      <c r="FV70" s="324" t="str">
        <f t="shared" si="55"/>
        <v>6</v>
      </c>
      <c r="FW70" s="323" t="s">
        <v>224</v>
      </c>
      <c r="FX70" s="1"/>
      <c r="FY70" s="1" t="s">
        <v>983</v>
      </c>
      <c r="FZ70" s="1"/>
      <c r="GA70" s="1">
        <f t="shared" si="56"/>
        <v>6.6000000000000005</v>
      </c>
      <c r="GB70" s="1"/>
      <c r="GD70" s="166" t="s">
        <v>467</v>
      </c>
      <c r="JB70" s="423" t="s">
        <v>911</v>
      </c>
      <c r="JC70" s="429"/>
      <c r="JD70" s="429"/>
      <c r="JE70" s="424">
        <v>12</v>
      </c>
      <c r="JF70" s="424">
        <v>16</v>
      </c>
      <c r="JG70" s="424">
        <f t="shared" si="49"/>
        <v>10</v>
      </c>
      <c r="JH70" s="424" cm="1">
        <f t="array" ref="JH70">_xlfn.IFS(JD70="",1,JD70=0.1875,1,JD70=0.25,1,JD70=0.3125,1,JD70=0.375,1.25,JD70=0.5,1.25,JD70=0.625,1.5,JD70=0.75,1.5,JD70=0.875,1.5,JD70=1,1.5)</f>
        <v>1</v>
      </c>
      <c r="JI70" s="425">
        <f t="shared" si="50"/>
        <v>38</v>
      </c>
    </row>
    <row r="71" spans="1:269" ht="15.75" thickBot="1" x14ac:dyDescent="0.3">
      <c r="A71" s="203"/>
      <c r="B71" s="203"/>
      <c r="C71" s="203"/>
      <c r="D71" s="203"/>
      <c r="E71" s="203"/>
      <c r="F71" s="203"/>
      <c r="G71" s="203"/>
      <c r="H71" s="203"/>
      <c r="I71" s="203"/>
      <c r="J71" s="203"/>
      <c r="K71" s="203"/>
      <c r="L71" s="203"/>
      <c r="M71" s="203"/>
      <c r="N71" s="203"/>
      <c r="O71" s="203"/>
      <c r="P71" s="203"/>
      <c r="Q71" s="203"/>
      <c r="R71" s="203"/>
      <c r="S71" s="203"/>
      <c r="T71" s="203"/>
      <c r="Y71" s="10" t="s">
        <v>25</v>
      </c>
      <c r="Z71" s="11">
        <v>1</v>
      </c>
      <c r="AA71" s="10" t="s">
        <v>669</v>
      </c>
      <c r="AB71" s="12" t="s">
        <v>77</v>
      </c>
      <c r="AC71" s="149">
        <f>Z71*103</f>
        <v>103</v>
      </c>
      <c r="AD71" s="53"/>
      <c r="AE71" s="95">
        <v>45376</v>
      </c>
      <c r="AF71" s="32" t="s">
        <v>554</v>
      </c>
      <c r="AH71" s="10" t="s">
        <v>25</v>
      </c>
      <c r="AI71" s="11">
        <v>1</v>
      </c>
      <c r="AJ71" s="10" t="s">
        <v>670</v>
      </c>
      <c r="AK71" s="12" t="s">
        <v>77</v>
      </c>
      <c r="AL71" s="149"/>
      <c r="AM71" s="53"/>
      <c r="AN71" s="95"/>
      <c r="AO71" s="32" t="s">
        <v>554</v>
      </c>
      <c r="AX71" s="10" t="s">
        <v>25</v>
      </c>
      <c r="AY71" s="11">
        <v>1</v>
      </c>
      <c r="AZ71" s="10" t="s">
        <v>709</v>
      </c>
      <c r="BA71" s="12" t="s">
        <v>27</v>
      </c>
      <c r="BB71" s="149"/>
      <c r="BC71" s="22"/>
      <c r="BD71" s="95"/>
      <c r="BE71" s="23" t="s">
        <v>336</v>
      </c>
      <c r="BG71" s="10" t="s">
        <v>25</v>
      </c>
      <c r="BH71" s="11">
        <v>1</v>
      </c>
      <c r="BI71" s="10" t="s">
        <v>709</v>
      </c>
      <c r="BJ71" s="12" t="s">
        <v>27</v>
      </c>
      <c r="BK71" s="149"/>
      <c r="BL71" s="22"/>
      <c r="BM71" s="95"/>
      <c r="BN71" s="23" t="s">
        <v>336</v>
      </c>
      <c r="BX71" s="10" t="s">
        <v>25</v>
      </c>
      <c r="BY71" s="11">
        <v>1</v>
      </c>
      <c r="BZ71" s="10" t="s">
        <v>669</v>
      </c>
      <c r="CA71" s="12" t="s">
        <v>74</v>
      </c>
      <c r="CB71" s="149"/>
      <c r="CC71" s="145"/>
      <c r="CD71" s="95"/>
      <c r="CE71" s="32" t="s">
        <v>284</v>
      </c>
      <c r="CG71" s="10" t="s">
        <v>25</v>
      </c>
      <c r="CH71" s="11">
        <v>1</v>
      </c>
      <c r="CI71" s="10" t="s">
        <v>670</v>
      </c>
      <c r="CJ71" s="12" t="s">
        <v>74</v>
      </c>
      <c r="CK71" s="149"/>
      <c r="CL71" s="145"/>
      <c r="CM71" s="95"/>
      <c r="CN71" s="32" t="s">
        <v>284</v>
      </c>
      <c r="FG71" s="1" t="s">
        <v>947</v>
      </c>
      <c r="FH71" s="1">
        <v>1</v>
      </c>
      <c r="FI71" s="166" t="s">
        <v>469</v>
      </c>
      <c r="FJ71" s="166" t="s">
        <v>889</v>
      </c>
      <c r="FK71" s="166" t="s">
        <v>889</v>
      </c>
      <c r="FL71" s="166"/>
      <c r="FM71" s="1" t="s">
        <v>889</v>
      </c>
      <c r="FN71" s="1" t="s">
        <v>889</v>
      </c>
      <c r="FO71" s="301">
        <f t="shared" si="51"/>
        <v>20.5</v>
      </c>
      <c r="FP71" s="1"/>
      <c r="FQ71" s="302" t="str">
        <f>IF(FI71=0,"0",IF(FI71="5/16","5",IF(FI71="3/8","5.5",IF(FI71="1/2","7.5",IF(FI71="5/8","8.5",IF(FI71="3/4","9","5"))))))</f>
        <v>8.5</v>
      </c>
      <c r="FR71" s="302" t="str">
        <f t="shared" si="52"/>
        <v>3</v>
      </c>
      <c r="FS71" s="302" t="str">
        <f t="shared" si="52"/>
        <v>3</v>
      </c>
      <c r="FT71" s="302" t="str">
        <f t="shared" si="53"/>
        <v>2</v>
      </c>
      <c r="FU71" s="302" t="str">
        <f t="shared" si="54"/>
        <v>4</v>
      </c>
      <c r="FV71" s="324" t="str">
        <f t="shared" si="55"/>
        <v>8.5</v>
      </c>
      <c r="FW71" s="323" t="s">
        <v>947</v>
      </c>
      <c r="FX71" s="1"/>
      <c r="FY71" s="1" t="s">
        <v>965</v>
      </c>
      <c r="FZ71" s="1"/>
      <c r="GA71" s="1">
        <f t="shared" si="56"/>
        <v>9.3500000000000014</v>
      </c>
      <c r="GB71" s="1"/>
      <c r="GD71" s="166" t="s">
        <v>468</v>
      </c>
      <c r="JB71" s="423" t="s">
        <v>912</v>
      </c>
      <c r="JC71" s="429"/>
      <c r="JD71" s="429"/>
      <c r="JE71" s="424">
        <v>16</v>
      </c>
      <c r="JF71" s="424">
        <v>18</v>
      </c>
      <c r="JG71" s="424">
        <f>JC71*1.5+15</f>
        <v>15</v>
      </c>
      <c r="JH71" s="424" cm="1">
        <f t="array" ref="JH71">_xlfn.IFS(JD71="",1,JD71=0.1875,1,JD71=0.25,1,JD71=0.3125,1,JD71=0.375,1.25,JD71=0.5,1.25,JD71=0.625,1.5,JD71=0.75,1.5,JD71=0.875,1.5,JD71=1,1.5)</f>
        <v>1</v>
      </c>
      <c r="JI71" s="425">
        <f t="shared" si="50"/>
        <v>49</v>
      </c>
    </row>
    <row r="72" spans="1:269" ht="15.75" thickBot="1" x14ac:dyDescent="0.3">
      <c r="A72" s="203"/>
      <c r="B72" s="203"/>
      <c r="C72" s="203"/>
      <c r="D72" s="203"/>
      <c r="E72" s="203"/>
      <c r="F72" s="203"/>
      <c r="G72" s="203"/>
      <c r="H72" s="203"/>
      <c r="I72" s="203"/>
      <c r="J72" s="203"/>
      <c r="K72" s="203"/>
      <c r="L72" s="203"/>
      <c r="M72" s="203"/>
      <c r="N72" s="203"/>
      <c r="O72" s="203"/>
      <c r="P72" s="203"/>
      <c r="Q72" s="203"/>
      <c r="R72" s="203"/>
      <c r="S72" s="203"/>
      <c r="T72" s="203"/>
      <c r="Y72" s="10" t="s">
        <v>25</v>
      </c>
      <c r="Z72" s="11">
        <v>1</v>
      </c>
      <c r="AA72" s="10" t="s">
        <v>671</v>
      </c>
      <c r="AB72" s="12" t="s">
        <v>77</v>
      </c>
      <c r="AC72" s="149"/>
      <c r="AD72" s="53"/>
      <c r="AE72" s="95"/>
      <c r="AF72" s="32" t="s">
        <v>554</v>
      </c>
      <c r="AH72" s="10" t="s">
        <v>25</v>
      </c>
      <c r="AI72" s="11">
        <v>1</v>
      </c>
      <c r="AJ72" s="10" t="s">
        <v>672</v>
      </c>
      <c r="AK72" s="12" t="s">
        <v>77</v>
      </c>
      <c r="AL72" s="149"/>
      <c r="AM72" s="53"/>
      <c r="AN72" s="95"/>
      <c r="AO72" s="32" t="s">
        <v>554</v>
      </c>
      <c r="AX72" s="10" t="s">
        <v>25</v>
      </c>
      <c r="AY72" s="11">
        <v>1</v>
      </c>
      <c r="AZ72" s="10" t="s">
        <v>710</v>
      </c>
      <c r="BA72" s="12" t="s">
        <v>27</v>
      </c>
      <c r="BB72" s="149"/>
      <c r="BC72" s="22"/>
      <c r="BD72" s="95"/>
      <c r="BE72" s="23" t="s">
        <v>336</v>
      </c>
      <c r="BG72" s="10" t="s">
        <v>25</v>
      </c>
      <c r="BH72" s="11">
        <v>1</v>
      </c>
      <c r="BI72" s="10" t="s">
        <v>710</v>
      </c>
      <c r="BJ72" s="12" t="s">
        <v>27</v>
      </c>
      <c r="BK72" s="149"/>
      <c r="BL72" s="22"/>
      <c r="BM72" s="95"/>
      <c r="BN72" s="23" t="s">
        <v>336</v>
      </c>
      <c r="BX72" s="10" t="s">
        <v>25</v>
      </c>
      <c r="BY72" s="11">
        <v>1</v>
      </c>
      <c r="BZ72" s="10" t="s">
        <v>671</v>
      </c>
      <c r="CA72" s="12" t="s">
        <v>74</v>
      </c>
      <c r="CB72" s="149"/>
      <c r="CC72" s="53"/>
      <c r="CD72" s="95"/>
      <c r="CE72" s="32" t="s">
        <v>284</v>
      </c>
      <c r="CG72" s="10" t="s">
        <v>25</v>
      </c>
      <c r="CH72" s="11">
        <v>1</v>
      </c>
      <c r="CI72" s="10" t="s">
        <v>672</v>
      </c>
      <c r="CJ72" s="12" t="s">
        <v>74</v>
      </c>
      <c r="CK72" s="149"/>
      <c r="CL72" s="53"/>
      <c r="CM72" s="95"/>
      <c r="CN72" s="32" t="s">
        <v>284</v>
      </c>
      <c r="FG72" s="1" t="s">
        <v>948</v>
      </c>
      <c r="FH72" s="1">
        <v>1</v>
      </c>
      <c r="FI72" s="166" t="s">
        <v>469</v>
      </c>
      <c r="FJ72" s="166" t="s">
        <v>889</v>
      </c>
      <c r="FK72" s="166" t="s">
        <v>889</v>
      </c>
      <c r="FL72" s="166"/>
      <c r="FM72" s="1" t="s">
        <v>889</v>
      </c>
      <c r="FN72" s="1" t="s">
        <v>889</v>
      </c>
      <c r="FO72" s="301">
        <f t="shared" si="51"/>
        <v>22.5</v>
      </c>
      <c r="FP72" s="1"/>
      <c r="FQ72" s="302" t="str">
        <f>IF(FI72=0,"0",IF(FI72="5/16","7",IF(FI72="3/8","7.5",IF(FI72="1/2","9",IF(FI72="5/8","10.5",IF(FI72="3/4","11.5","7"))))))</f>
        <v>10.5</v>
      </c>
      <c r="FR72" s="302" t="str">
        <f t="shared" si="52"/>
        <v>3</v>
      </c>
      <c r="FS72" s="302" t="str">
        <f t="shared" si="52"/>
        <v>3</v>
      </c>
      <c r="FT72" s="302" t="str">
        <f t="shared" si="53"/>
        <v>2</v>
      </c>
      <c r="FU72" s="302" t="str">
        <f t="shared" si="54"/>
        <v>4</v>
      </c>
      <c r="FV72" s="324" t="str">
        <f t="shared" si="55"/>
        <v>10.5</v>
      </c>
      <c r="FW72" s="323" t="s">
        <v>948</v>
      </c>
      <c r="FX72" s="1"/>
      <c r="FY72" s="1" t="s">
        <v>972</v>
      </c>
      <c r="FZ72" s="1"/>
      <c r="GA72" s="1">
        <f t="shared" si="56"/>
        <v>11.55</v>
      </c>
      <c r="GB72" s="1"/>
      <c r="GD72" s="166" t="s">
        <v>469</v>
      </c>
      <c r="JB72" s="423" t="s">
        <v>913</v>
      </c>
      <c r="JC72" s="429"/>
      <c r="JD72" s="429"/>
      <c r="JE72" s="424">
        <v>16</v>
      </c>
      <c r="JF72" s="424">
        <v>20</v>
      </c>
      <c r="JG72" s="424">
        <f t="shared" ref="JG72:JG74" si="57">JC72*1.5+15</f>
        <v>15</v>
      </c>
      <c r="JH72" s="424" cm="1">
        <f t="array" ref="JH72">_xlfn.IFS(JD72="",1,JD72=0.1875,1,JD72=0.25,1,JD72=0.3125,1,JD72=0.375,1.25,JD72=0.5,1.25,JD72=0.625,1.5,JD72=0.75,1.5,JD72=0.875,1.5,JD72=1,1.5)</f>
        <v>1</v>
      </c>
      <c r="JI72" s="425">
        <f t="shared" si="50"/>
        <v>51</v>
      </c>
    </row>
    <row r="73" spans="1:269" ht="15.75" thickBot="1" x14ac:dyDescent="0.3">
      <c r="A73" s="203"/>
      <c r="B73" s="203"/>
      <c r="C73" s="203"/>
      <c r="D73" s="203"/>
      <c r="E73" s="203"/>
      <c r="F73" s="203"/>
      <c r="G73" s="203"/>
      <c r="H73" s="203"/>
      <c r="I73" s="203"/>
      <c r="J73" s="203"/>
      <c r="K73" s="203"/>
      <c r="L73" s="203"/>
      <c r="M73" s="203"/>
      <c r="N73" s="203"/>
      <c r="O73" s="203"/>
      <c r="P73" s="203"/>
      <c r="Q73" s="203"/>
      <c r="R73" s="203"/>
      <c r="S73" s="203"/>
      <c r="T73" s="203"/>
      <c r="Y73" s="10" t="s">
        <v>25</v>
      </c>
      <c r="Z73" s="11">
        <v>1</v>
      </c>
      <c r="AA73" s="10" t="s">
        <v>673</v>
      </c>
      <c r="AB73" s="12" t="s">
        <v>77</v>
      </c>
      <c r="AC73" s="149"/>
      <c r="AD73" s="53"/>
      <c r="AE73" s="95"/>
      <c r="AF73" s="32" t="s">
        <v>554</v>
      </c>
      <c r="AH73" s="10" t="s">
        <v>25</v>
      </c>
      <c r="AI73" s="11">
        <v>1</v>
      </c>
      <c r="AJ73" s="10" t="s">
        <v>674</v>
      </c>
      <c r="AK73" s="12" t="s">
        <v>77</v>
      </c>
      <c r="AL73" s="149"/>
      <c r="AM73" s="53"/>
      <c r="AN73" s="95"/>
      <c r="AO73" s="32" t="s">
        <v>554</v>
      </c>
      <c r="AX73" s="10" t="s">
        <v>25</v>
      </c>
      <c r="AY73" s="11">
        <v>1</v>
      </c>
      <c r="AZ73" s="10" t="s">
        <v>711</v>
      </c>
      <c r="BA73" s="12" t="s">
        <v>27</v>
      </c>
      <c r="BB73" s="149"/>
      <c r="BC73" s="22"/>
      <c r="BD73" s="95"/>
      <c r="BE73" s="23" t="s">
        <v>336</v>
      </c>
      <c r="BG73" s="10" t="s">
        <v>25</v>
      </c>
      <c r="BH73" s="11">
        <v>1</v>
      </c>
      <c r="BI73" s="10" t="s">
        <v>711</v>
      </c>
      <c r="BJ73" s="12" t="s">
        <v>27</v>
      </c>
      <c r="BK73" s="149"/>
      <c r="BL73" s="22"/>
      <c r="BM73" s="95"/>
      <c r="BN73" s="23" t="s">
        <v>336</v>
      </c>
      <c r="BX73" s="10" t="s">
        <v>25</v>
      </c>
      <c r="BY73" s="11">
        <v>1</v>
      </c>
      <c r="BZ73" s="10" t="s">
        <v>673</v>
      </c>
      <c r="CA73" s="12" t="s">
        <v>74</v>
      </c>
      <c r="CB73" s="149"/>
      <c r="CC73" s="145"/>
      <c r="CD73" s="95"/>
      <c r="CE73" s="32" t="s">
        <v>284</v>
      </c>
      <c r="CG73" s="10" t="s">
        <v>25</v>
      </c>
      <c r="CH73" s="11">
        <v>1</v>
      </c>
      <c r="CI73" s="10" t="s">
        <v>674</v>
      </c>
      <c r="CJ73" s="12" t="s">
        <v>74</v>
      </c>
      <c r="CK73" s="149"/>
      <c r="CL73" s="145"/>
      <c r="CM73" s="95"/>
      <c r="CN73" s="32" t="s">
        <v>284</v>
      </c>
      <c r="FG73" s="1" t="s">
        <v>949</v>
      </c>
      <c r="FH73" s="1">
        <v>1</v>
      </c>
      <c r="FI73" s="166" t="s">
        <v>469</v>
      </c>
      <c r="FJ73" s="166" t="s">
        <v>889</v>
      </c>
      <c r="FK73" s="166" t="s">
        <v>889</v>
      </c>
      <c r="FL73" s="166"/>
      <c r="FM73" s="1" t="s">
        <v>889</v>
      </c>
      <c r="FN73" s="1" t="s">
        <v>889</v>
      </c>
      <c r="FO73" s="301">
        <f t="shared" si="51"/>
        <v>25</v>
      </c>
      <c r="FP73" s="1"/>
      <c r="FQ73" s="302" t="str">
        <f>IF(FI73=0,"0",IF(FI73="5/16","8",IF(FI73="3/8","8.5",IF(FI73="1/2","11",IF(FI73="5/8","13",IF(FI73="3/4","14","8"))))))</f>
        <v>13</v>
      </c>
      <c r="FR73" s="302" t="str">
        <f t="shared" si="52"/>
        <v>3</v>
      </c>
      <c r="FS73" s="302" t="str">
        <f t="shared" si="52"/>
        <v>3</v>
      </c>
      <c r="FT73" s="302" t="str">
        <f t="shared" si="53"/>
        <v>2</v>
      </c>
      <c r="FU73" s="302" t="str">
        <f t="shared" si="54"/>
        <v>4</v>
      </c>
      <c r="FV73" s="324" t="str">
        <f t="shared" si="55"/>
        <v>13</v>
      </c>
      <c r="FW73" s="323" t="s">
        <v>949</v>
      </c>
      <c r="FX73" s="1"/>
      <c r="FY73" s="1" t="s">
        <v>984</v>
      </c>
      <c r="FZ73" s="1"/>
      <c r="GA73" s="1">
        <f t="shared" si="56"/>
        <v>14.3</v>
      </c>
      <c r="GB73" s="1"/>
      <c r="GD73" s="166" t="s">
        <v>470</v>
      </c>
      <c r="JB73" s="423" t="s">
        <v>914</v>
      </c>
      <c r="JC73" s="429"/>
      <c r="JD73" s="429"/>
      <c r="JE73" s="424">
        <v>20</v>
      </c>
      <c r="JF73" s="424">
        <v>20</v>
      </c>
      <c r="JG73" s="424">
        <f t="shared" si="57"/>
        <v>15</v>
      </c>
      <c r="JH73" s="424" cm="1">
        <f t="array" ref="JH73">_xlfn.IFS(JD73="",1,JD73=0.1875,1,JD73=0.25,1,JD73=0.3125,1,JD73=0.375,1.25,JD73=0.5,1.25,JD73=0.625,1.5,JD73=0.75,1.5,JD73=0.875,1.5,JD73=1,1.5)</f>
        <v>1</v>
      </c>
      <c r="JI73" s="425">
        <f t="shared" si="50"/>
        <v>55</v>
      </c>
    </row>
    <row r="74" spans="1:269" ht="15.75" thickBot="1" x14ac:dyDescent="0.3">
      <c r="A74" s="203"/>
      <c r="B74" s="203"/>
      <c r="C74" s="203"/>
      <c r="D74" s="203"/>
      <c r="E74" s="203"/>
      <c r="F74" s="203"/>
      <c r="G74" s="203"/>
      <c r="H74" s="203"/>
      <c r="I74" s="203"/>
      <c r="J74" s="203"/>
      <c r="K74" s="203"/>
      <c r="L74" s="203"/>
      <c r="M74" s="203"/>
      <c r="N74" s="203"/>
      <c r="O74" s="203"/>
      <c r="P74" s="203"/>
      <c r="Q74" s="203"/>
      <c r="R74" s="203"/>
      <c r="S74" s="203"/>
      <c r="T74" s="203"/>
      <c r="Y74" s="10" t="s">
        <v>25</v>
      </c>
      <c r="Z74" s="11">
        <v>1</v>
      </c>
      <c r="AA74" s="10" t="s">
        <v>675</v>
      </c>
      <c r="AB74" s="12" t="s">
        <v>77</v>
      </c>
      <c r="AC74" s="111"/>
      <c r="AD74" s="50"/>
      <c r="AE74" s="95"/>
      <c r="AF74" s="32" t="s">
        <v>554</v>
      </c>
      <c r="AH74" s="10" t="s">
        <v>25</v>
      </c>
      <c r="AI74" s="11">
        <v>1</v>
      </c>
      <c r="AJ74" s="10" t="s">
        <v>676</v>
      </c>
      <c r="AK74" s="12" t="s">
        <v>77</v>
      </c>
      <c r="AL74" s="111"/>
      <c r="AM74" s="50"/>
      <c r="AN74" s="95"/>
      <c r="AO74" s="32" t="s">
        <v>554</v>
      </c>
      <c r="AX74" s="10" t="s">
        <v>25</v>
      </c>
      <c r="AY74" s="11">
        <v>1</v>
      </c>
      <c r="AZ74" s="10" t="s">
        <v>712</v>
      </c>
      <c r="BA74" s="12" t="s">
        <v>27</v>
      </c>
      <c r="BB74" s="111"/>
      <c r="BC74" s="26"/>
      <c r="BD74" s="95"/>
      <c r="BE74" s="23" t="s">
        <v>336</v>
      </c>
      <c r="BG74" s="10" t="s">
        <v>25</v>
      </c>
      <c r="BH74" s="11">
        <v>1</v>
      </c>
      <c r="BI74" s="10" t="s">
        <v>712</v>
      </c>
      <c r="BJ74" s="12" t="s">
        <v>27</v>
      </c>
      <c r="BK74" s="111"/>
      <c r="BL74" s="26"/>
      <c r="BM74" s="95"/>
      <c r="BN74" s="23" t="s">
        <v>336</v>
      </c>
      <c r="BX74" s="10" t="s">
        <v>25</v>
      </c>
      <c r="BY74" s="11">
        <v>1</v>
      </c>
      <c r="BZ74" s="10" t="s">
        <v>675</v>
      </c>
      <c r="CA74" s="12" t="s">
        <v>74</v>
      </c>
      <c r="CB74" s="111"/>
      <c r="CC74" s="93"/>
      <c r="CD74" s="95"/>
      <c r="CE74" s="32" t="s">
        <v>284</v>
      </c>
      <c r="CG74" s="10" t="s">
        <v>25</v>
      </c>
      <c r="CH74" s="11">
        <v>1</v>
      </c>
      <c r="CI74" s="10" t="s">
        <v>676</v>
      </c>
      <c r="CJ74" s="12" t="s">
        <v>74</v>
      </c>
      <c r="CK74" s="111"/>
      <c r="CL74" s="93"/>
      <c r="CM74" s="95"/>
      <c r="CN74" s="32" t="s">
        <v>284</v>
      </c>
      <c r="FG74" s="1" t="s">
        <v>950</v>
      </c>
      <c r="FH74" s="1">
        <v>1</v>
      </c>
      <c r="FI74" s="166" t="s">
        <v>469</v>
      </c>
      <c r="FJ74" s="166" t="s">
        <v>889</v>
      </c>
      <c r="FK74" s="166" t="s">
        <v>889</v>
      </c>
      <c r="FL74" s="166"/>
      <c r="FM74" s="1" t="s">
        <v>889</v>
      </c>
      <c r="FN74" s="1" t="s">
        <v>889</v>
      </c>
      <c r="FO74" s="301">
        <f t="shared" si="51"/>
        <v>29.5</v>
      </c>
      <c r="FP74" s="1"/>
      <c r="FQ74" s="302" t="str">
        <f>IF(FI74=0,"0",IF(FI74="5/16","10",IF(FI74="3/8","10.5",IF(FI74="1/2","13.5",IF(FI74="5/8","15.5",IF(FI74="3/4","16","10"))))))</f>
        <v>15.5</v>
      </c>
      <c r="FR74" s="302" t="str">
        <f t="shared" ref="FR74:FS77" si="58">IF(FJ74="Yes","4","0")</f>
        <v>4</v>
      </c>
      <c r="FS74" s="302" t="str">
        <f t="shared" si="58"/>
        <v>4</v>
      </c>
      <c r="FT74" s="302" t="str">
        <f t="shared" si="53"/>
        <v>2</v>
      </c>
      <c r="FU74" s="302" t="str">
        <f t="shared" si="54"/>
        <v>4</v>
      </c>
      <c r="FV74" s="324" t="str">
        <f t="shared" si="55"/>
        <v>15.5</v>
      </c>
      <c r="FW74" s="323" t="s">
        <v>950</v>
      </c>
      <c r="FX74" s="1"/>
      <c r="FY74" s="1" t="s">
        <v>985</v>
      </c>
      <c r="FZ74" s="1"/>
      <c r="GA74" s="1">
        <f t="shared" si="56"/>
        <v>17.05</v>
      </c>
      <c r="GB74" s="1"/>
      <c r="GD74" s="166"/>
      <c r="JB74" s="423" t="s">
        <v>915</v>
      </c>
      <c r="JC74" s="429"/>
      <c r="JD74" s="429"/>
      <c r="JE74" s="424">
        <v>20</v>
      </c>
      <c r="JF74" s="424">
        <v>20</v>
      </c>
      <c r="JG74" s="424">
        <f t="shared" si="57"/>
        <v>15</v>
      </c>
      <c r="JH74" s="424" cm="1">
        <f t="array" ref="JH74">_xlfn.IFS(JD74="",1,JD74=0.1875,1,JD74=0.25,1,JD74=0.3125,1,JD74=0.375,1.25,JD74=0.5,1.25,JD74=0.625,1.5,JD74=0.75,1.5,JD74=0.875,1.5,JD74=1,1.5)</f>
        <v>1</v>
      </c>
      <c r="JI74" s="425">
        <f t="shared" si="50"/>
        <v>55</v>
      </c>
    </row>
    <row r="75" spans="1:269" ht="15.75" thickBot="1" x14ac:dyDescent="0.3">
      <c r="A75" s="203"/>
      <c r="B75" s="203"/>
      <c r="C75" s="203"/>
      <c r="D75" s="203"/>
      <c r="E75" s="203"/>
      <c r="F75" s="203"/>
      <c r="G75" s="203"/>
      <c r="H75" s="203"/>
      <c r="I75" s="203"/>
      <c r="J75" s="203"/>
      <c r="K75" s="203"/>
      <c r="L75" s="203"/>
      <c r="M75" s="203"/>
      <c r="N75" s="203"/>
      <c r="O75" s="203"/>
      <c r="P75" s="203"/>
      <c r="Q75" s="203"/>
      <c r="R75" s="203"/>
      <c r="S75" s="203"/>
      <c r="T75" s="203"/>
      <c r="Y75" s="10" t="s">
        <v>25</v>
      </c>
      <c r="Z75" s="11">
        <v>1</v>
      </c>
      <c r="AA75" s="10" t="s">
        <v>677</v>
      </c>
      <c r="AB75" s="12" t="s">
        <v>77</v>
      </c>
      <c r="AC75" s="149"/>
      <c r="AD75" s="50"/>
      <c r="AE75" s="95"/>
      <c r="AF75" s="32" t="s">
        <v>554</v>
      </c>
      <c r="AH75" s="10" t="s">
        <v>25</v>
      </c>
      <c r="AI75" s="11">
        <v>1</v>
      </c>
      <c r="AJ75" s="10" t="s">
        <v>678</v>
      </c>
      <c r="AK75" s="12" t="s">
        <v>77</v>
      </c>
      <c r="AL75" s="149"/>
      <c r="AM75" s="50"/>
      <c r="AN75" s="95"/>
      <c r="AO75" s="32" t="s">
        <v>554</v>
      </c>
      <c r="AX75" s="10" t="s">
        <v>25</v>
      </c>
      <c r="AY75" s="11">
        <v>1</v>
      </c>
      <c r="AZ75" s="10" t="s">
        <v>713</v>
      </c>
      <c r="BA75" s="12" t="s">
        <v>27</v>
      </c>
      <c r="BB75" s="149"/>
      <c r="BC75" s="26"/>
      <c r="BD75" s="95"/>
      <c r="BE75" s="23" t="s">
        <v>336</v>
      </c>
      <c r="BG75" s="10" t="s">
        <v>25</v>
      </c>
      <c r="BH75" s="11">
        <v>1</v>
      </c>
      <c r="BI75" s="10" t="s">
        <v>713</v>
      </c>
      <c r="BJ75" s="12" t="s">
        <v>27</v>
      </c>
      <c r="BK75" s="149"/>
      <c r="BL75" s="26"/>
      <c r="BM75" s="95"/>
      <c r="BN75" s="23" t="s">
        <v>336</v>
      </c>
      <c r="BX75" s="10" t="s">
        <v>25</v>
      </c>
      <c r="BY75" s="11">
        <v>1</v>
      </c>
      <c r="BZ75" s="10" t="s">
        <v>677</v>
      </c>
      <c r="CA75" s="12" t="s">
        <v>74</v>
      </c>
      <c r="CB75" s="149"/>
      <c r="CC75" s="93"/>
      <c r="CD75" s="95"/>
      <c r="CE75" s="32" t="s">
        <v>284</v>
      </c>
      <c r="CG75" s="10" t="s">
        <v>25</v>
      </c>
      <c r="CH75" s="11">
        <v>1</v>
      </c>
      <c r="CI75" s="10" t="s">
        <v>678</v>
      </c>
      <c r="CJ75" s="12" t="s">
        <v>74</v>
      </c>
      <c r="CK75" s="149"/>
      <c r="CL75" s="93"/>
      <c r="CM75" s="95"/>
      <c r="CN75" s="32" t="s">
        <v>284</v>
      </c>
      <c r="FG75" s="1" t="s">
        <v>951</v>
      </c>
      <c r="FH75" s="1">
        <v>1</v>
      </c>
      <c r="FI75" s="166" t="s">
        <v>469</v>
      </c>
      <c r="FJ75" s="166" t="s">
        <v>889</v>
      </c>
      <c r="FK75" s="166" t="s">
        <v>889</v>
      </c>
      <c r="FL75" s="166"/>
      <c r="FM75" s="1" t="s">
        <v>889</v>
      </c>
      <c r="FN75" s="1" t="s">
        <v>889</v>
      </c>
      <c r="FO75" s="301">
        <f t="shared" si="51"/>
        <v>34</v>
      </c>
      <c r="FP75" s="1"/>
      <c r="FQ75" s="302" t="str">
        <f>IF(FI75=0,"0",IF(FI75="5/16","12",IF(FI75="3/8","13",IF(FI75="1/2","17",IF(FI75="5/8","20",IF(FI75="3/4","22","12"))))))</f>
        <v>20</v>
      </c>
      <c r="FR75" s="302" t="str">
        <f t="shared" si="58"/>
        <v>4</v>
      </c>
      <c r="FS75" s="302" t="str">
        <f t="shared" si="58"/>
        <v>4</v>
      </c>
      <c r="FT75" s="302" t="str">
        <f t="shared" si="53"/>
        <v>2</v>
      </c>
      <c r="FU75" s="302" t="str">
        <f t="shared" si="54"/>
        <v>4</v>
      </c>
      <c r="FV75" s="324" t="str">
        <f t="shared" si="55"/>
        <v>20</v>
      </c>
      <c r="FW75" s="323" t="s">
        <v>951</v>
      </c>
      <c r="FX75" s="1"/>
      <c r="FY75" s="1" t="s">
        <v>974</v>
      </c>
      <c r="FZ75" s="1"/>
      <c r="GA75" s="1">
        <f t="shared" si="56"/>
        <v>22</v>
      </c>
      <c r="GB75" s="1"/>
      <c r="GD75" s="166"/>
      <c r="JB75" s="423" t="s">
        <v>916</v>
      </c>
      <c r="JC75" s="429"/>
      <c r="JD75" s="429"/>
      <c r="JE75" s="424">
        <v>20</v>
      </c>
      <c r="JF75" s="424">
        <v>24</v>
      </c>
      <c r="JG75" s="424">
        <f>JC75*1.5+25</f>
        <v>25</v>
      </c>
      <c r="JH75" s="424" cm="1">
        <f t="array" ref="JH75">_xlfn.IFS(JD75="",1,JD75=0.1875,1,JD75=0.25,1,JD75=0.3125,1,JD75=0.375,1.25,JD75=0.5,1.25,JD75=0.625,1.5,JD75=0.75,1.5,JD75=0.875,1.5,JD75=1,1.5)</f>
        <v>1</v>
      </c>
      <c r="JI75" s="425">
        <f t="shared" si="50"/>
        <v>69</v>
      </c>
    </row>
    <row r="76" spans="1:269" ht="15.75" thickBot="1" x14ac:dyDescent="0.3">
      <c r="A76" s="203"/>
      <c r="B76" s="203"/>
      <c r="C76" s="203"/>
      <c r="D76" s="203"/>
      <c r="E76" s="203"/>
      <c r="F76" s="203"/>
      <c r="G76" s="203"/>
      <c r="H76" s="203"/>
      <c r="I76" s="203"/>
      <c r="J76" s="203"/>
      <c r="K76" s="203"/>
      <c r="L76" s="203"/>
      <c r="M76" s="203"/>
      <c r="N76" s="203"/>
      <c r="O76" s="203"/>
      <c r="P76" s="203"/>
      <c r="Q76" s="203"/>
      <c r="R76" s="203"/>
      <c r="S76" s="203"/>
      <c r="T76" s="203"/>
      <c r="Y76" s="10" t="s">
        <v>25</v>
      </c>
      <c r="Z76" s="11">
        <v>1</v>
      </c>
      <c r="AA76" s="10" t="s">
        <v>679</v>
      </c>
      <c r="AB76" s="12" t="s">
        <v>77</v>
      </c>
      <c r="AC76" s="92"/>
      <c r="AD76" s="50"/>
      <c r="AE76" s="95"/>
      <c r="AF76" s="32" t="s">
        <v>554</v>
      </c>
      <c r="AH76" s="10" t="s">
        <v>25</v>
      </c>
      <c r="AI76" s="11">
        <v>1</v>
      </c>
      <c r="AJ76" s="10" t="s">
        <v>680</v>
      </c>
      <c r="AK76" s="12" t="s">
        <v>77</v>
      </c>
      <c r="AL76" s="92"/>
      <c r="AM76" s="50"/>
      <c r="AN76" s="95"/>
      <c r="AO76" s="32" t="s">
        <v>554</v>
      </c>
      <c r="AX76" s="10" t="s">
        <v>25</v>
      </c>
      <c r="AY76" s="11">
        <v>1</v>
      </c>
      <c r="AZ76" s="10" t="s">
        <v>714</v>
      </c>
      <c r="BA76" s="12" t="s">
        <v>27</v>
      </c>
      <c r="BB76" s="111"/>
      <c r="BC76" s="26"/>
      <c r="BD76" s="95"/>
      <c r="BE76" s="23" t="s">
        <v>336</v>
      </c>
      <c r="BG76" s="10" t="s">
        <v>25</v>
      </c>
      <c r="BH76" s="11">
        <v>1</v>
      </c>
      <c r="BI76" s="10" t="s">
        <v>714</v>
      </c>
      <c r="BJ76" s="12" t="s">
        <v>27</v>
      </c>
      <c r="BK76" s="111"/>
      <c r="BL76" s="26"/>
      <c r="BM76" s="95"/>
      <c r="BN76" s="23" t="s">
        <v>336</v>
      </c>
      <c r="BX76" s="10" t="s">
        <v>25</v>
      </c>
      <c r="BY76" s="11">
        <v>1</v>
      </c>
      <c r="BZ76" s="10" t="s">
        <v>679</v>
      </c>
      <c r="CA76" s="12" t="s">
        <v>74</v>
      </c>
      <c r="CB76" s="92"/>
      <c r="CC76" s="93"/>
      <c r="CD76" s="95"/>
      <c r="CE76" s="32" t="s">
        <v>284</v>
      </c>
      <c r="CG76" s="10" t="s">
        <v>25</v>
      </c>
      <c r="CH76" s="11">
        <v>1</v>
      </c>
      <c r="CI76" s="10" t="s">
        <v>680</v>
      </c>
      <c r="CJ76" s="12" t="s">
        <v>74</v>
      </c>
      <c r="CK76" s="92"/>
      <c r="CL76" s="93"/>
      <c r="CM76" s="95"/>
      <c r="CN76" s="32" t="s">
        <v>284</v>
      </c>
      <c r="FG76" s="1" t="s">
        <v>952</v>
      </c>
      <c r="FH76" s="1">
        <v>1</v>
      </c>
      <c r="FI76" s="166" t="s">
        <v>469</v>
      </c>
      <c r="FJ76" s="166" t="s">
        <v>889</v>
      </c>
      <c r="FK76" s="166" t="s">
        <v>889</v>
      </c>
      <c r="FL76" s="166"/>
      <c r="FM76" s="1" t="s">
        <v>889</v>
      </c>
      <c r="FN76" s="1" t="s">
        <v>889</v>
      </c>
      <c r="FO76" s="301">
        <f t="shared" si="51"/>
        <v>38</v>
      </c>
      <c r="FP76" s="1"/>
      <c r="FQ76" s="302" t="str">
        <f>IF(FI76=0,"0",IF(FI76="5/16","13",IF(FI76="3/8","15",IF(FI76="1/2","20",IF(FI76="5/8","24",IF(FI76="3/4","26","13"))))))</f>
        <v>24</v>
      </c>
      <c r="FR76" s="302" t="str">
        <f t="shared" si="58"/>
        <v>4</v>
      </c>
      <c r="FS76" s="302" t="str">
        <f t="shared" si="58"/>
        <v>4</v>
      </c>
      <c r="FT76" s="302" t="str">
        <f t="shared" si="53"/>
        <v>2</v>
      </c>
      <c r="FU76" s="302" t="str">
        <f t="shared" si="54"/>
        <v>4</v>
      </c>
      <c r="FV76" s="324" t="str">
        <f t="shared" si="55"/>
        <v>24</v>
      </c>
      <c r="FW76" s="323" t="s">
        <v>952</v>
      </c>
      <c r="FX76" s="1"/>
      <c r="FY76" s="1" t="s">
        <v>975</v>
      </c>
      <c r="FZ76" s="1"/>
      <c r="GA76" s="1">
        <f t="shared" si="56"/>
        <v>26.400000000000002</v>
      </c>
      <c r="GB76" s="1"/>
      <c r="GD76" s="1"/>
      <c r="JB76" s="423" t="s">
        <v>917</v>
      </c>
      <c r="JC76" s="429"/>
      <c r="JD76" s="429"/>
      <c r="JE76" s="424">
        <v>24</v>
      </c>
      <c r="JF76" s="424">
        <v>24</v>
      </c>
      <c r="JG76" s="424">
        <f t="shared" ref="JG76:JG77" si="59">JC76*1.5+25</f>
        <v>25</v>
      </c>
      <c r="JH76" s="424" cm="1">
        <f t="array" ref="JH76">_xlfn.IFS(JD76="",1,JD76=0.1875,1,JD76=0.25,1,JD76=0.3125,1,JD76=0.375,1.25,JD76=0.5,1.25,JD76=0.625,1.5,JD76=0.75,1.5,JD76=0.875,1.5,JD76=1,1.5)</f>
        <v>1</v>
      </c>
      <c r="JI76" s="425">
        <f t="shared" si="50"/>
        <v>73</v>
      </c>
    </row>
    <row r="77" spans="1:269" ht="15.75" thickBot="1" x14ac:dyDescent="0.3">
      <c r="A77" s="203"/>
      <c r="B77" s="203"/>
      <c r="C77" s="203"/>
      <c r="D77" s="203"/>
      <c r="E77" s="203"/>
      <c r="F77" s="203"/>
      <c r="G77" s="203"/>
      <c r="H77" s="203"/>
      <c r="I77" s="203"/>
      <c r="J77" s="203"/>
      <c r="K77" s="203"/>
      <c r="L77" s="203"/>
      <c r="M77" s="203"/>
      <c r="N77" s="203"/>
      <c r="O77" s="203"/>
      <c r="P77" s="203"/>
      <c r="Q77" s="203"/>
      <c r="R77" s="203"/>
      <c r="S77" s="203"/>
      <c r="T77" s="203"/>
      <c r="Y77" s="10" t="s">
        <v>25</v>
      </c>
      <c r="Z77" s="11">
        <v>1</v>
      </c>
      <c r="AA77" s="10" t="s">
        <v>681</v>
      </c>
      <c r="AB77" s="12" t="s">
        <v>77</v>
      </c>
      <c r="AC77" s="92"/>
      <c r="AD77" s="50"/>
      <c r="AE77" s="95"/>
      <c r="AF77" s="32" t="s">
        <v>554</v>
      </c>
      <c r="AH77" s="10" t="s">
        <v>25</v>
      </c>
      <c r="AI77" s="11">
        <v>1</v>
      </c>
      <c r="AJ77" s="10" t="s">
        <v>682</v>
      </c>
      <c r="AK77" s="12" t="s">
        <v>77</v>
      </c>
      <c r="AL77" s="92"/>
      <c r="AM77" s="50"/>
      <c r="AN77" s="95"/>
      <c r="AO77" s="32" t="s">
        <v>554</v>
      </c>
      <c r="AX77" s="10" t="s">
        <v>25</v>
      </c>
      <c r="AY77" s="11">
        <v>1</v>
      </c>
      <c r="AZ77" s="10" t="s">
        <v>715</v>
      </c>
      <c r="BA77" s="12" t="s">
        <v>27</v>
      </c>
      <c r="BB77" s="92"/>
      <c r="BC77" s="26"/>
      <c r="BD77" s="95"/>
      <c r="BE77" s="23" t="s">
        <v>336</v>
      </c>
      <c r="BG77" s="10" t="s">
        <v>25</v>
      </c>
      <c r="BH77" s="11">
        <v>1</v>
      </c>
      <c r="BI77" s="10" t="s">
        <v>715</v>
      </c>
      <c r="BJ77" s="12" t="s">
        <v>27</v>
      </c>
      <c r="BK77" s="92"/>
      <c r="BL77" s="26"/>
      <c r="BM77" s="95"/>
      <c r="BN77" s="23" t="s">
        <v>336</v>
      </c>
      <c r="BX77" s="10" t="s">
        <v>25</v>
      </c>
      <c r="BY77" s="11">
        <v>1</v>
      </c>
      <c r="BZ77" s="10" t="s">
        <v>681</v>
      </c>
      <c r="CA77" s="12" t="s">
        <v>74</v>
      </c>
      <c r="CB77" s="92"/>
      <c r="CC77" s="93"/>
      <c r="CD77" s="95"/>
      <c r="CE77" s="32" t="s">
        <v>284</v>
      </c>
      <c r="CG77" s="10" t="s">
        <v>25</v>
      </c>
      <c r="CH77" s="11">
        <v>1</v>
      </c>
      <c r="CI77" s="10" t="s">
        <v>682</v>
      </c>
      <c r="CJ77" s="12" t="s">
        <v>74</v>
      </c>
      <c r="CK77" s="92"/>
      <c r="CL77" s="93"/>
      <c r="CM77" s="95"/>
      <c r="CN77" s="32" t="s">
        <v>284</v>
      </c>
      <c r="FG77" s="1" t="s">
        <v>953</v>
      </c>
      <c r="FH77" s="1">
        <v>1</v>
      </c>
      <c r="FI77" s="166" t="s">
        <v>469</v>
      </c>
      <c r="FJ77" s="166" t="s">
        <v>889</v>
      </c>
      <c r="FK77" s="166" t="s">
        <v>889</v>
      </c>
      <c r="FL77" s="166"/>
      <c r="FM77" s="1" t="s">
        <v>889</v>
      </c>
      <c r="FN77" s="1" t="s">
        <v>889</v>
      </c>
      <c r="FO77" s="301">
        <f t="shared" si="51"/>
        <v>40</v>
      </c>
      <c r="FP77" s="1"/>
      <c r="FQ77" s="302" t="str">
        <f>IF(FI77=0,"0",IF(FI77="5/16","14",IF(FI77="3/8","16",IF(FI77="1/2","22",IF(FI77="5/8","26",IF(FI77="3/4","28","14"))))))</f>
        <v>26</v>
      </c>
      <c r="FR77" s="302" t="str">
        <f t="shared" si="58"/>
        <v>4</v>
      </c>
      <c r="FS77" s="302" t="str">
        <f t="shared" si="58"/>
        <v>4</v>
      </c>
      <c r="FT77" s="302" t="str">
        <f t="shared" si="53"/>
        <v>2</v>
      </c>
      <c r="FU77" s="302" t="str">
        <f t="shared" si="54"/>
        <v>4</v>
      </c>
      <c r="FV77" s="324" t="str">
        <f t="shared" si="55"/>
        <v>26</v>
      </c>
      <c r="FW77" s="323" t="s">
        <v>953</v>
      </c>
      <c r="FX77" s="1"/>
      <c r="FY77" s="1" t="s">
        <v>981</v>
      </c>
      <c r="FZ77" s="1"/>
      <c r="GA77" s="1">
        <f t="shared" si="56"/>
        <v>28.6</v>
      </c>
      <c r="GB77" s="1"/>
      <c r="GD77" s="1"/>
      <c r="JB77" s="426" t="s">
        <v>918</v>
      </c>
      <c r="JC77" s="430"/>
      <c r="JD77" s="430"/>
      <c r="JE77" s="427">
        <v>24</v>
      </c>
      <c r="JF77" s="427">
        <v>28</v>
      </c>
      <c r="JG77" s="427">
        <f t="shared" si="59"/>
        <v>25</v>
      </c>
      <c r="JH77" s="427" cm="1">
        <f t="array" ref="JH77">_xlfn.IFS(JD77="",1,JD77=0.1875,1,JD77=0.25,1,JD77=0.3125,1,JD77=0.375,1.25,JD77=0.5,1.25,JD77=0.625,1.5,JD77=0.75,1.5,JD77=0.875,1.5,JD77=1,1.5)</f>
        <v>1</v>
      </c>
      <c r="JI77" s="428">
        <f t="shared" si="50"/>
        <v>77</v>
      </c>
    </row>
    <row r="78" spans="1:269" ht="15.75" thickBot="1" x14ac:dyDescent="0.3">
      <c r="A78" s="203"/>
      <c r="B78" s="203"/>
      <c r="C78" s="203"/>
      <c r="D78" s="203"/>
      <c r="E78" s="203"/>
      <c r="F78" s="203"/>
      <c r="G78" s="203"/>
      <c r="H78" s="203"/>
      <c r="I78" s="203"/>
      <c r="J78" s="203"/>
      <c r="K78" s="203"/>
      <c r="L78" s="203"/>
      <c r="M78" s="203"/>
      <c r="N78" s="203"/>
      <c r="O78" s="203"/>
      <c r="P78" s="203"/>
      <c r="Q78" s="203"/>
      <c r="R78" s="203"/>
      <c r="S78" s="203"/>
      <c r="T78" s="203"/>
      <c r="Y78" s="10" t="s">
        <v>25</v>
      </c>
      <c r="Z78" s="11">
        <v>1</v>
      </c>
      <c r="AA78" s="10" t="s">
        <v>683</v>
      </c>
      <c r="AB78" s="12" t="s">
        <v>77</v>
      </c>
      <c r="AC78" s="149"/>
      <c r="AD78" s="50"/>
      <c r="AE78" s="95"/>
      <c r="AF78" s="32" t="s">
        <v>554</v>
      </c>
      <c r="AH78" s="10" t="s">
        <v>25</v>
      </c>
      <c r="AI78" s="11">
        <v>1</v>
      </c>
      <c r="AJ78" s="10" t="s">
        <v>684</v>
      </c>
      <c r="AK78" s="12" t="s">
        <v>77</v>
      </c>
      <c r="AL78" s="149"/>
      <c r="AM78" s="50"/>
      <c r="AN78" s="95"/>
      <c r="AO78" s="32" t="s">
        <v>554</v>
      </c>
      <c r="AX78" s="10" t="s">
        <v>25</v>
      </c>
      <c r="AY78" s="11">
        <v>1</v>
      </c>
      <c r="AZ78" s="10" t="s">
        <v>716</v>
      </c>
      <c r="BA78" s="12" t="s">
        <v>27</v>
      </c>
      <c r="BB78" s="149"/>
      <c r="BC78" s="26"/>
      <c r="BD78" s="95"/>
      <c r="BE78" s="23" t="s">
        <v>336</v>
      </c>
      <c r="BG78" s="10" t="s">
        <v>25</v>
      </c>
      <c r="BH78" s="11">
        <v>1</v>
      </c>
      <c r="BI78" s="10" t="s">
        <v>716</v>
      </c>
      <c r="BJ78" s="12" t="s">
        <v>27</v>
      </c>
      <c r="BK78" s="149"/>
      <c r="BL78" s="26"/>
      <c r="BM78" s="95"/>
      <c r="BN78" s="23" t="s">
        <v>336</v>
      </c>
      <c r="BX78" s="10" t="s">
        <v>25</v>
      </c>
      <c r="BY78" s="11">
        <v>1</v>
      </c>
      <c r="BZ78" s="10" t="s">
        <v>683</v>
      </c>
      <c r="CA78" s="12" t="s">
        <v>74</v>
      </c>
      <c r="CB78" s="149"/>
      <c r="CC78" s="93"/>
      <c r="CD78" s="95"/>
      <c r="CE78" s="32" t="s">
        <v>284</v>
      </c>
      <c r="CG78" s="10" t="s">
        <v>25</v>
      </c>
      <c r="CH78" s="11">
        <v>1</v>
      </c>
      <c r="CI78" s="10" t="s">
        <v>684</v>
      </c>
      <c r="CJ78" s="12" t="s">
        <v>74</v>
      </c>
      <c r="CK78" s="149"/>
      <c r="CL78" s="93"/>
      <c r="CM78" s="95"/>
      <c r="CN78" s="32" t="s">
        <v>284</v>
      </c>
      <c r="FG78" s="1" t="s">
        <v>954</v>
      </c>
      <c r="FH78" s="1">
        <v>1</v>
      </c>
      <c r="FI78" s="166" t="s">
        <v>469</v>
      </c>
      <c r="FJ78" s="166" t="s">
        <v>889</v>
      </c>
      <c r="FK78" s="166" t="s">
        <v>889</v>
      </c>
      <c r="FL78" s="166"/>
      <c r="FM78" s="1" t="s">
        <v>889</v>
      </c>
      <c r="FN78" s="1" t="s">
        <v>889</v>
      </c>
      <c r="FO78" s="301">
        <f t="shared" si="51"/>
        <v>46</v>
      </c>
      <c r="FP78" s="1"/>
      <c r="FQ78" s="302" t="str">
        <f>IF(FI78=0,"0",IF(FI78="5/16","16",IF(FI78="3/8","18",IF(FI78="1/2","25",IF(FI78="5/8","30",IF(FI78="3/4","32","16"))))))</f>
        <v>30</v>
      </c>
      <c r="FR78" s="302" t="str">
        <f>IF(FJ78="Yes","5","0")</f>
        <v>5</v>
      </c>
      <c r="FS78" s="302" t="str">
        <f>IF(FK78="Yes","5","0")</f>
        <v>5</v>
      </c>
      <c r="FT78" s="302" t="str">
        <f t="shared" si="53"/>
        <v>2</v>
      </c>
      <c r="FU78" s="302" t="str">
        <f t="shared" si="54"/>
        <v>4</v>
      </c>
      <c r="FV78" s="324" t="str">
        <f t="shared" si="55"/>
        <v>30</v>
      </c>
      <c r="FW78" s="323" t="s">
        <v>954</v>
      </c>
      <c r="FX78" s="1"/>
      <c r="FY78" s="1" t="s">
        <v>986</v>
      </c>
      <c r="FZ78" s="1"/>
      <c r="GA78" s="1">
        <f t="shared" si="56"/>
        <v>33</v>
      </c>
      <c r="GB78" s="1"/>
      <c r="GD78" s="1"/>
    </row>
    <row r="79" spans="1:269" ht="15.75" thickBot="1" x14ac:dyDescent="0.3">
      <c r="A79" s="203"/>
      <c r="B79" s="203"/>
      <c r="C79" s="203"/>
      <c r="D79" s="203"/>
      <c r="E79" s="203"/>
      <c r="F79" s="203"/>
      <c r="G79" s="203"/>
      <c r="H79" s="203"/>
      <c r="I79" s="203"/>
      <c r="J79" s="203"/>
      <c r="K79" s="203"/>
      <c r="L79" s="203"/>
      <c r="M79" s="203"/>
      <c r="N79" s="203"/>
      <c r="O79" s="203"/>
      <c r="P79" s="203"/>
      <c r="Q79" s="203"/>
      <c r="R79" s="203"/>
      <c r="S79" s="203"/>
      <c r="T79" s="203"/>
      <c r="Y79" s="10" t="s">
        <v>25</v>
      </c>
      <c r="Z79" s="11">
        <v>1</v>
      </c>
      <c r="AA79" s="10" t="s">
        <v>685</v>
      </c>
      <c r="AB79" s="12" t="s">
        <v>77</v>
      </c>
      <c r="AC79" s="92"/>
      <c r="AD79" s="50"/>
      <c r="AE79" s="95"/>
      <c r="AF79" s="32" t="s">
        <v>554</v>
      </c>
      <c r="AH79" s="10" t="s">
        <v>25</v>
      </c>
      <c r="AI79" s="11">
        <v>1</v>
      </c>
      <c r="AJ79" s="10" t="s">
        <v>686</v>
      </c>
      <c r="AK79" s="12" t="s">
        <v>77</v>
      </c>
      <c r="AL79" s="92"/>
      <c r="AM79" s="50"/>
      <c r="AN79" s="95"/>
      <c r="AO79" s="32" t="s">
        <v>554</v>
      </c>
      <c r="AX79" s="10" t="s">
        <v>25</v>
      </c>
      <c r="AY79" s="11">
        <v>1</v>
      </c>
      <c r="AZ79" s="10" t="s">
        <v>717</v>
      </c>
      <c r="BA79" s="12" t="s">
        <v>27</v>
      </c>
      <c r="BB79" s="92"/>
      <c r="BC79" s="26"/>
      <c r="BD79" s="95"/>
      <c r="BE79" s="23" t="s">
        <v>336</v>
      </c>
      <c r="BG79" s="10" t="s">
        <v>25</v>
      </c>
      <c r="BH79" s="11">
        <v>1</v>
      </c>
      <c r="BI79" s="10" t="s">
        <v>717</v>
      </c>
      <c r="BJ79" s="12" t="s">
        <v>27</v>
      </c>
      <c r="BK79" s="92"/>
      <c r="BL79" s="26"/>
      <c r="BM79" s="95"/>
      <c r="BN79" s="23" t="s">
        <v>336</v>
      </c>
      <c r="BX79" s="10" t="s">
        <v>25</v>
      </c>
      <c r="BY79" s="11">
        <v>1</v>
      </c>
      <c r="BZ79" s="10" t="s">
        <v>685</v>
      </c>
      <c r="CA79" s="12" t="s">
        <v>74</v>
      </c>
      <c r="CB79" s="92"/>
      <c r="CC79" s="93"/>
      <c r="CD79" s="95"/>
      <c r="CE79" s="32" t="s">
        <v>284</v>
      </c>
      <c r="CG79" s="10" t="s">
        <v>25</v>
      </c>
      <c r="CH79" s="11">
        <v>1</v>
      </c>
      <c r="CI79" s="10" t="s">
        <v>686</v>
      </c>
      <c r="CJ79" s="12" t="s">
        <v>74</v>
      </c>
      <c r="CK79" s="92"/>
      <c r="CL79" s="93"/>
      <c r="CM79" s="95"/>
      <c r="CN79" s="32" t="s">
        <v>284</v>
      </c>
      <c r="FG79" s="1" t="s">
        <v>955</v>
      </c>
      <c r="FH79" s="1">
        <v>1</v>
      </c>
      <c r="FI79" s="166" t="s">
        <v>469</v>
      </c>
      <c r="FJ79" s="166" t="s">
        <v>889</v>
      </c>
      <c r="FK79" s="166" t="s">
        <v>889</v>
      </c>
      <c r="FL79" s="166"/>
      <c r="FM79" s="1" t="s">
        <v>889</v>
      </c>
      <c r="FN79" s="1" t="s">
        <v>889</v>
      </c>
      <c r="FO79" s="301">
        <f t="shared" si="51"/>
        <v>48</v>
      </c>
      <c r="FP79" s="1"/>
      <c r="FQ79" s="302" t="str">
        <f>IF(FI79=0,"0",IF(FI79="5/16","18",IF(FI79="3/8","20",IF(FI79="1/2","26",IF(FI79="5/8","32",IF(FI79="3/4","34","18"))))))</f>
        <v>32</v>
      </c>
      <c r="FR79" s="302" t="str">
        <f>IF(FJ79="Yes","5","0")</f>
        <v>5</v>
      </c>
      <c r="FS79" s="302" t="str">
        <f>IF(FK79="Yes","5","0")</f>
        <v>5</v>
      </c>
      <c r="FT79" s="302" t="str">
        <f t="shared" si="53"/>
        <v>2</v>
      </c>
      <c r="FU79" s="302" t="str">
        <f t="shared" si="54"/>
        <v>4</v>
      </c>
      <c r="FV79" s="324" t="str">
        <f t="shared" si="55"/>
        <v>32</v>
      </c>
      <c r="FW79" s="323" t="s">
        <v>955</v>
      </c>
      <c r="FX79" s="1"/>
      <c r="FY79" s="1" t="s">
        <v>982</v>
      </c>
      <c r="FZ79" s="1"/>
      <c r="GA79" s="1">
        <f t="shared" si="56"/>
        <v>35.200000000000003</v>
      </c>
      <c r="GB79" s="1"/>
      <c r="GD79" s="1"/>
    </row>
    <row r="80" spans="1:269" ht="15.75" thickBot="1" x14ac:dyDescent="0.3">
      <c r="A80" s="203"/>
      <c r="B80" s="203"/>
      <c r="C80" s="203"/>
      <c r="D80" s="203"/>
      <c r="E80" s="203"/>
      <c r="F80" s="203"/>
      <c r="G80" s="203"/>
      <c r="H80" s="203"/>
      <c r="I80" s="203"/>
      <c r="J80" s="203"/>
      <c r="K80" s="203"/>
      <c r="L80" s="203"/>
      <c r="M80" s="203"/>
      <c r="N80" s="203"/>
      <c r="O80" s="203"/>
      <c r="P80" s="203"/>
      <c r="Q80" s="203"/>
      <c r="R80" s="203"/>
      <c r="S80" s="203"/>
      <c r="T80" s="203"/>
      <c r="Y80" s="10" t="s">
        <v>25</v>
      </c>
      <c r="Z80" s="11">
        <v>1</v>
      </c>
      <c r="AA80" s="10" t="s">
        <v>687</v>
      </c>
      <c r="AB80" s="12" t="s">
        <v>77</v>
      </c>
      <c r="AC80" s="92"/>
      <c r="AD80" s="50"/>
      <c r="AE80" s="95"/>
      <c r="AF80" s="32" t="s">
        <v>554</v>
      </c>
      <c r="AH80" s="10" t="s">
        <v>25</v>
      </c>
      <c r="AI80" s="11">
        <v>1</v>
      </c>
      <c r="AJ80" s="10" t="s">
        <v>688</v>
      </c>
      <c r="AK80" s="12" t="s">
        <v>77</v>
      </c>
      <c r="AL80" s="92"/>
      <c r="AM80" s="50"/>
      <c r="AN80" s="95"/>
      <c r="AO80" s="32" t="s">
        <v>554</v>
      </c>
      <c r="AX80" s="10" t="s">
        <v>25</v>
      </c>
      <c r="AY80" s="11">
        <v>1</v>
      </c>
      <c r="AZ80" s="10" t="s">
        <v>718</v>
      </c>
      <c r="BA80" s="12" t="s">
        <v>27</v>
      </c>
      <c r="BB80" s="92"/>
      <c r="BC80" s="26"/>
      <c r="BD80" s="95"/>
      <c r="BE80" s="23" t="s">
        <v>336</v>
      </c>
      <c r="BG80" s="10" t="s">
        <v>25</v>
      </c>
      <c r="BH80" s="11">
        <v>1</v>
      </c>
      <c r="BI80" s="10" t="s">
        <v>718</v>
      </c>
      <c r="BJ80" s="12" t="s">
        <v>27</v>
      </c>
      <c r="BK80" s="92"/>
      <c r="BL80" s="26"/>
      <c r="BM80" s="95"/>
      <c r="BN80" s="23" t="s">
        <v>336</v>
      </c>
      <c r="BX80" s="10" t="s">
        <v>25</v>
      </c>
      <c r="BY80" s="11">
        <v>1</v>
      </c>
      <c r="BZ80" s="10" t="s">
        <v>687</v>
      </c>
      <c r="CA80" s="12" t="s">
        <v>74</v>
      </c>
      <c r="CB80" s="92"/>
      <c r="CC80" s="93"/>
      <c r="CD80" s="95"/>
      <c r="CE80" s="32" t="s">
        <v>284</v>
      </c>
      <c r="CG80" s="10" t="s">
        <v>25</v>
      </c>
      <c r="CH80" s="11">
        <v>1</v>
      </c>
      <c r="CI80" s="10" t="s">
        <v>688</v>
      </c>
      <c r="CJ80" s="12" t="s">
        <v>74</v>
      </c>
      <c r="CK80" s="92"/>
      <c r="CL80" s="93"/>
      <c r="CM80" s="95"/>
      <c r="CN80" s="32" t="s">
        <v>284</v>
      </c>
      <c r="FG80" s="1" t="s">
        <v>956</v>
      </c>
      <c r="FH80" s="1">
        <v>1</v>
      </c>
      <c r="FI80" s="166" t="s">
        <v>469</v>
      </c>
      <c r="FJ80" s="166" t="s">
        <v>889</v>
      </c>
      <c r="FK80" s="166" t="s">
        <v>889</v>
      </c>
      <c r="FL80" s="166"/>
      <c r="FM80" s="1" t="s">
        <v>889</v>
      </c>
      <c r="FN80" s="1" t="s">
        <v>889</v>
      </c>
      <c r="FO80" s="301">
        <f t="shared" si="51"/>
        <v>54</v>
      </c>
      <c r="FP80" s="1"/>
      <c r="FQ80" s="302" t="str">
        <f>IF(FI80=0,"0",IF(FI80="5/16","22",IF(FI80="3/8","24",IF(FI80="1/2","32",IF(FI80="5/8","36",IF(FI80="3/4","38","22"))))))</f>
        <v>36</v>
      </c>
      <c r="FR80" s="302" t="str">
        <f>IF(FJ80="Yes","6","0")</f>
        <v>6</v>
      </c>
      <c r="FS80" s="302" t="str">
        <f>IF(FK80="Yes","6","0")</f>
        <v>6</v>
      </c>
      <c r="FT80" s="302" t="str">
        <f t="shared" si="53"/>
        <v>2</v>
      </c>
      <c r="FU80" s="302" t="str">
        <f t="shared" si="54"/>
        <v>4</v>
      </c>
      <c r="FV80" s="324" t="str">
        <f t="shared" si="55"/>
        <v>36</v>
      </c>
      <c r="FW80" s="323" t="s">
        <v>956</v>
      </c>
      <c r="FX80" s="1"/>
      <c r="FY80" s="1" t="s">
        <v>987</v>
      </c>
      <c r="FZ80" s="1"/>
      <c r="GA80" s="1">
        <f t="shared" si="56"/>
        <v>39.6</v>
      </c>
      <c r="GB80" s="1"/>
      <c r="GD80" s="1"/>
      <c r="JB80" s="481" t="s">
        <v>1234</v>
      </c>
      <c r="JC80" s="482"/>
      <c r="JD80" s="482"/>
      <c r="JE80" s="482"/>
      <c r="JF80" s="482"/>
      <c r="JG80" s="483"/>
    </row>
    <row r="81" spans="1:267" x14ac:dyDescent="0.25">
      <c r="A81" s="203"/>
      <c r="B81" s="203"/>
      <c r="C81" s="203"/>
      <c r="D81" s="203"/>
      <c r="E81" s="203"/>
      <c r="F81" s="203"/>
      <c r="G81" s="203"/>
      <c r="H81" s="203"/>
      <c r="I81" s="203"/>
      <c r="J81" s="203"/>
      <c r="K81" s="203"/>
      <c r="L81" s="203"/>
      <c r="M81" s="203"/>
      <c r="N81" s="203"/>
      <c r="O81" s="203"/>
      <c r="P81" s="203"/>
      <c r="Q81" s="203"/>
      <c r="R81" s="203"/>
      <c r="S81" s="203"/>
      <c r="T81" s="203"/>
      <c r="Y81" s="10" t="s">
        <v>25</v>
      </c>
      <c r="Z81" s="11">
        <v>1</v>
      </c>
      <c r="AA81" s="10" t="s">
        <v>689</v>
      </c>
      <c r="AB81" s="12" t="s">
        <v>77</v>
      </c>
      <c r="AC81" s="92"/>
      <c r="AD81" s="50"/>
      <c r="AE81" s="95"/>
      <c r="AF81" s="32" t="s">
        <v>554</v>
      </c>
      <c r="AH81" s="10" t="s">
        <v>25</v>
      </c>
      <c r="AI81" s="11">
        <v>1</v>
      </c>
      <c r="AJ81" s="10" t="s">
        <v>690</v>
      </c>
      <c r="AK81" s="12" t="s">
        <v>77</v>
      </c>
      <c r="AL81" s="92"/>
      <c r="AM81" s="50"/>
      <c r="AN81" s="95"/>
      <c r="AO81" s="32" t="s">
        <v>554</v>
      </c>
      <c r="AX81" s="10" t="s">
        <v>25</v>
      </c>
      <c r="AY81" s="11">
        <v>1</v>
      </c>
      <c r="AZ81" s="10" t="s">
        <v>719</v>
      </c>
      <c r="BA81" s="12" t="s">
        <v>27</v>
      </c>
      <c r="BB81" s="92"/>
      <c r="BC81" s="26"/>
      <c r="BD81" s="95"/>
      <c r="BE81" s="23" t="s">
        <v>336</v>
      </c>
      <c r="BG81" s="10" t="s">
        <v>25</v>
      </c>
      <c r="BH81" s="11">
        <v>1</v>
      </c>
      <c r="BI81" s="10" t="s">
        <v>719</v>
      </c>
      <c r="BJ81" s="12" t="s">
        <v>27</v>
      </c>
      <c r="BK81" s="92"/>
      <c r="BL81" s="26"/>
      <c r="BM81" s="95"/>
      <c r="BN81" s="23" t="s">
        <v>336</v>
      </c>
      <c r="BX81" s="10" t="s">
        <v>25</v>
      </c>
      <c r="BY81" s="11">
        <v>1</v>
      </c>
      <c r="BZ81" s="10" t="s">
        <v>689</v>
      </c>
      <c r="CA81" s="12" t="s">
        <v>74</v>
      </c>
      <c r="CB81" s="92"/>
      <c r="CC81" s="93"/>
      <c r="CD81" s="95"/>
      <c r="CE81" s="32" t="s">
        <v>284</v>
      </c>
      <c r="CG81" s="10" t="s">
        <v>25</v>
      </c>
      <c r="CH81" s="11">
        <v>1</v>
      </c>
      <c r="CI81" s="10" t="s">
        <v>690</v>
      </c>
      <c r="CJ81" s="12" t="s">
        <v>74</v>
      </c>
      <c r="CK81" s="92"/>
      <c r="CL81" s="93"/>
      <c r="CM81" s="95"/>
      <c r="CN81" s="32" t="s">
        <v>284</v>
      </c>
      <c r="FG81" s="1"/>
      <c r="FH81" s="1"/>
      <c r="FI81" s="1"/>
      <c r="FJ81" s="1"/>
      <c r="FK81" s="1"/>
      <c r="FL81" s="1"/>
      <c r="FM81" s="1"/>
      <c r="FN81" s="1"/>
      <c r="FO81" s="1"/>
      <c r="FP81" s="1"/>
      <c r="FQ81" s="1"/>
      <c r="FR81" s="1"/>
      <c r="FS81" s="1"/>
      <c r="FT81" s="302"/>
      <c r="FU81" s="302"/>
      <c r="FV81" s="302"/>
      <c r="GD81" s="1"/>
      <c r="JB81" s="484"/>
      <c r="JC81" s="485"/>
      <c r="JD81" s="485"/>
      <c r="JE81" s="485"/>
      <c r="JF81" s="485"/>
      <c r="JG81" s="486"/>
    </row>
    <row r="82" spans="1:267" x14ac:dyDescent="0.25">
      <c r="A82" s="203"/>
      <c r="B82" s="203"/>
      <c r="C82" s="203"/>
      <c r="D82" s="203"/>
      <c r="E82" s="203"/>
      <c r="F82" s="203"/>
      <c r="G82" s="203"/>
      <c r="H82" s="203"/>
      <c r="I82" s="203"/>
      <c r="J82" s="203"/>
      <c r="K82" s="203"/>
      <c r="L82" s="203"/>
      <c r="M82" s="203"/>
      <c r="N82" s="203"/>
      <c r="O82" s="203"/>
      <c r="P82" s="203"/>
      <c r="Q82" s="203"/>
      <c r="R82" s="203"/>
      <c r="S82" s="203"/>
      <c r="T82" s="203"/>
      <c r="Y82" s="10" t="s">
        <v>25</v>
      </c>
      <c r="Z82" s="11">
        <v>1</v>
      </c>
      <c r="AA82" s="10" t="s">
        <v>691</v>
      </c>
      <c r="AB82" s="12" t="s">
        <v>77</v>
      </c>
      <c r="AC82" s="92"/>
      <c r="AD82" s="26"/>
      <c r="AE82" s="95"/>
      <c r="AF82" s="32" t="s">
        <v>554</v>
      </c>
      <c r="AH82" s="10" t="s">
        <v>25</v>
      </c>
      <c r="AI82" s="11">
        <v>1</v>
      </c>
      <c r="AJ82" s="10" t="s">
        <v>692</v>
      </c>
      <c r="AK82" s="12" t="s">
        <v>77</v>
      </c>
      <c r="AL82" s="92"/>
      <c r="AM82" s="26"/>
      <c r="AN82" s="95"/>
      <c r="AO82" s="32" t="s">
        <v>554</v>
      </c>
      <c r="AX82" s="10" t="s">
        <v>25</v>
      </c>
      <c r="AY82" s="11">
        <v>1</v>
      </c>
      <c r="AZ82" s="10" t="s">
        <v>720</v>
      </c>
      <c r="BA82" s="12" t="s">
        <v>27</v>
      </c>
      <c r="BB82" s="92"/>
      <c r="BC82" s="26"/>
      <c r="BD82" s="95"/>
      <c r="BE82" s="23"/>
      <c r="BG82" s="10" t="s">
        <v>25</v>
      </c>
      <c r="BH82" s="11">
        <v>1</v>
      </c>
      <c r="BI82" s="10" t="s">
        <v>720</v>
      </c>
      <c r="BJ82" s="12" t="s">
        <v>27</v>
      </c>
      <c r="BK82" s="92"/>
      <c r="BL82" s="26"/>
      <c r="BM82" s="95"/>
      <c r="BN82" s="23"/>
      <c r="BX82" s="10" t="s">
        <v>25</v>
      </c>
      <c r="BY82" s="11">
        <v>1</v>
      </c>
      <c r="BZ82" s="10" t="s">
        <v>691</v>
      </c>
      <c r="CA82" s="12" t="s">
        <v>74</v>
      </c>
      <c r="CB82" s="92"/>
      <c r="CC82" s="26"/>
      <c r="CD82" s="95"/>
      <c r="CE82" s="32" t="s">
        <v>284</v>
      </c>
      <c r="CG82" s="10" t="s">
        <v>25</v>
      </c>
      <c r="CH82" s="11">
        <v>1</v>
      </c>
      <c r="CI82" s="10" t="s">
        <v>692</v>
      </c>
      <c r="CJ82" s="12" t="s">
        <v>74</v>
      </c>
      <c r="CK82" s="92"/>
      <c r="CL82" s="26"/>
      <c r="CM82" s="95"/>
      <c r="CN82" s="32" t="s">
        <v>284</v>
      </c>
      <c r="FG82" s="1"/>
      <c r="FH82" s="1"/>
      <c r="FI82" s="1"/>
      <c r="FJ82" s="1"/>
      <c r="FK82" s="1"/>
      <c r="FL82" s="1"/>
      <c r="FM82" s="1"/>
      <c r="FN82" s="159" t="s">
        <v>957</v>
      </c>
      <c r="FO82" s="321">
        <f>SUM(FO67:FO80)</f>
        <v>426.5</v>
      </c>
      <c r="FP82" s="1"/>
      <c r="FQ82" s="1"/>
      <c r="FR82" s="1"/>
      <c r="FS82" s="1"/>
      <c r="FT82" s="302"/>
      <c r="FU82" s="302"/>
      <c r="FV82" s="302"/>
      <c r="GD82" s="1"/>
      <c r="JB82" s="484"/>
      <c r="JC82" s="485"/>
      <c r="JD82" s="485"/>
      <c r="JE82" s="485"/>
      <c r="JF82" s="485"/>
      <c r="JG82" s="486"/>
    </row>
    <row r="83" spans="1:267" ht="15" customHeight="1" x14ac:dyDescent="1.35">
      <c r="A83" s="203"/>
      <c r="B83" s="203"/>
      <c r="C83" s="203"/>
      <c r="D83" s="203"/>
      <c r="E83" s="203"/>
      <c r="F83" s="203"/>
      <c r="G83" s="203"/>
      <c r="H83" s="203"/>
      <c r="I83" s="203"/>
      <c r="J83" s="203"/>
      <c r="K83" s="203"/>
      <c r="L83" s="203"/>
      <c r="M83" s="203"/>
      <c r="N83" s="203"/>
      <c r="O83" s="203"/>
      <c r="P83" s="203"/>
      <c r="Q83" s="203"/>
      <c r="R83" s="203"/>
      <c r="S83" s="203"/>
      <c r="T83" s="203"/>
      <c r="Y83" s="204"/>
      <c r="Z83" s="204"/>
      <c r="AA83" s="204"/>
      <c r="AB83" s="204"/>
      <c r="AC83" s="204"/>
      <c r="AD83" s="204"/>
      <c r="AE83" s="204"/>
      <c r="AF83" s="204"/>
      <c r="AG83" s="204"/>
      <c r="AH83" s="204"/>
      <c r="AI83" s="204"/>
      <c r="AJ83" s="204"/>
      <c r="AK83" s="204"/>
      <c r="AL83" s="204"/>
      <c r="AM83" s="204"/>
      <c r="AN83" s="204"/>
      <c r="AO83" s="204"/>
      <c r="AX83" s="204"/>
      <c r="AY83" s="204"/>
      <c r="AZ83" s="204"/>
      <c r="BA83" s="204"/>
      <c r="BB83" s="204"/>
      <c r="BC83" s="204"/>
      <c r="BD83" s="204"/>
      <c r="BE83" s="204"/>
      <c r="BF83" s="204"/>
      <c r="BG83" s="204"/>
      <c r="BH83" s="204"/>
      <c r="BI83" s="204"/>
      <c r="BJ83" s="204"/>
      <c r="BK83" s="204"/>
      <c r="BL83" s="204"/>
      <c r="BM83" s="204"/>
      <c r="BN83" s="204"/>
      <c r="BX83" s="204"/>
      <c r="BY83" s="204"/>
      <c r="BZ83" s="204"/>
      <c r="CA83" s="204"/>
      <c r="CB83" s="204"/>
      <c r="CC83" s="204"/>
      <c r="CD83" s="204"/>
      <c r="CE83" s="204"/>
      <c r="CF83" s="204"/>
      <c r="CG83" s="204"/>
      <c r="CH83" s="204"/>
      <c r="CI83" s="204"/>
      <c r="CJ83" s="204"/>
      <c r="CK83" s="204"/>
      <c r="CL83" s="204"/>
      <c r="CM83" s="204"/>
      <c r="CN83" s="204"/>
      <c r="JB83" s="484"/>
      <c r="JC83" s="485"/>
      <c r="JD83" s="485"/>
      <c r="JE83" s="485"/>
      <c r="JF83" s="485"/>
      <c r="JG83" s="486"/>
    </row>
    <row r="84" spans="1:267" ht="15" customHeight="1" x14ac:dyDescent="1.35">
      <c r="A84" s="203"/>
      <c r="B84" s="203"/>
      <c r="C84" s="203"/>
      <c r="D84" s="203"/>
      <c r="E84" s="203"/>
      <c r="F84" s="203"/>
      <c r="G84" s="203"/>
      <c r="H84" s="203"/>
      <c r="I84" s="203"/>
      <c r="J84" s="203"/>
      <c r="K84" s="203"/>
      <c r="L84" s="203"/>
      <c r="M84" s="203"/>
      <c r="N84" s="203"/>
      <c r="O84" s="203"/>
      <c r="P84" s="203"/>
      <c r="Q84" s="203"/>
      <c r="R84" s="203"/>
      <c r="S84" s="203"/>
      <c r="T84" s="203"/>
      <c r="Y84" s="204"/>
      <c r="Z84" s="204"/>
      <c r="AA84" s="204"/>
      <c r="AB84" s="204"/>
      <c r="AC84" s="204"/>
      <c r="AD84" s="204"/>
      <c r="AE84" s="204"/>
      <c r="AF84" s="204"/>
      <c r="AG84" s="204"/>
      <c r="AH84" s="204"/>
      <c r="AI84" s="204"/>
      <c r="AJ84" s="204"/>
      <c r="AK84" s="204"/>
      <c r="AL84" s="204"/>
      <c r="AM84" s="204"/>
      <c r="AN84" s="204"/>
      <c r="AO84" s="204"/>
      <c r="AX84" s="204"/>
      <c r="AY84" s="204"/>
      <c r="AZ84" s="204"/>
      <c r="BA84" s="204"/>
      <c r="BB84" s="204"/>
      <c r="BC84" s="204"/>
      <c r="BD84" s="204"/>
      <c r="BE84" s="204"/>
      <c r="BF84" s="204"/>
      <c r="BG84" s="204"/>
      <c r="BH84" s="204"/>
      <c r="BI84" s="204"/>
      <c r="BJ84" s="204"/>
      <c r="BK84" s="204"/>
      <c r="BL84" s="204"/>
      <c r="BM84" s="204"/>
      <c r="BN84" s="204"/>
      <c r="BX84" s="204"/>
      <c r="BY84" s="204"/>
      <c r="BZ84" s="204"/>
      <c r="CA84" s="204"/>
      <c r="CB84" s="204"/>
      <c r="CC84" s="204"/>
      <c r="CD84" s="204"/>
      <c r="CE84" s="204"/>
      <c r="CF84" s="204"/>
      <c r="CG84" s="204"/>
      <c r="CH84" s="204"/>
      <c r="CI84" s="204"/>
      <c r="CJ84" s="204"/>
      <c r="CK84" s="204"/>
      <c r="CL84" s="204"/>
      <c r="CM84" s="204"/>
      <c r="CN84" s="204"/>
      <c r="JB84" s="484"/>
      <c r="JC84" s="485"/>
      <c r="JD84" s="485"/>
      <c r="JE84" s="485"/>
      <c r="JF84" s="485"/>
      <c r="JG84" s="486"/>
    </row>
    <row r="85" spans="1:267" ht="15" customHeight="1" x14ac:dyDescent="1.35">
      <c r="A85" s="203"/>
      <c r="B85" s="203"/>
      <c r="C85" s="203"/>
      <c r="D85" s="203"/>
      <c r="E85" s="203"/>
      <c r="F85" s="203"/>
      <c r="G85" s="203"/>
      <c r="H85" s="203"/>
      <c r="I85" s="203"/>
      <c r="J85" s="203"/>
      <c r="K85" s="203"/>
      <c r="L85" s="203"/>
      <c r="M85" s="203"/>
      <c r="N85" s="203"/>
      <c r="O85" s="203"/>
      <c r="P85" s="203"/>
      <c r="Q85" s="203"/>
      <c r="R85" s="203"/>
      <c r="S85" s="203"/>
      <c r="T85" s="203"/>
      <c r="Y85" s="204"/>
      <c r="Z85" s="204"/>
      <c r="AA85" s="204"/>
      <c r="AB85" s="204"/>
      <c r="AC85" s="204"/>
      <c r="AD85" s="204"/>
      <c r="AE85" s="204"/>
      <c r="AF85" s="204"/>
      <c r="AG85" s="204"/>
      <c r="AH85" s="204"/>
      <c r="AI85" s="204"/>
      <c r="AJ85" s="204"/>
      <c r="AK85" s="204"/>
      <c r="AL85" s="204"/>
      <c r="AM85" s="204"/>
      <c r="AN85" s="204"/>
      <c r="AO85" s="204"/>
      <c r="AX85" s="204"/>
      <c r="AY85" s="204"/>
      <c r="AZ85" s="204"/>
      <c r="BA85" s="204"/>
      <c r="BB85" s="204"/>
      <c r="BC85" s="204"/>
      <c r="BD85" s="204"/>
      <c r="BE85" s="204"/>
      <c r="BF85" s="204"/>
      <c r="BG85" s="204"/>
      <c r="BH85" s="204"/>
      <c r="BI85" s="204"/>
      <c r="BJ85" s="204"/>
      <c r="BK85" s="204"/>
      <c r="BL85" s="204"/>
      <c r="BM85" s="204"/>
      <c r="BN85" s="204"/>
      <c r="BX85" s="204"/>
      <c r="BY85" s="204"/>
      <c r="BZ85" s="204"/>
      <c r="CA85" s="204"/>
      <c r="CB85" s="204"/>
      <c r="CC85" s="204"/>
      <c r="CD85" s="204"/>
      <c r="CE85" s="204"/>
      <c r="CF85" s="204"/>
      <c r="CG85" s="204"/>
      <c r="CH85" s="204"/>
      <c r="CI85" s="204"/>
      <c r="CJ85" s="204"/>
      <c r="CK85" s="204"/>
      <c r="CL85" s="204"/>
      <c r="CM85" s="204"/>
      <c r="CN85" s="204"/>
      <c r="JB85" s="484"/>
      <c r="JC85" s="485"/>
      <c r="JD85" s="485"/>
      <c r="JE85" s="485"/>
      <c r="JF85" s="485"/>
      <c r="JG85" s="486"/>
    </row>
    <row r="86" spans="1:267" ht="15" customHeight="1" x14ac:dyDescent="1.35">
      <c r="A86" s="203"/>
      <c r="B86" s="203"/>
      <c r="C86" s="203"/>
      <c r="D86" s="203"/>
      <c r="E86" s="203"/>
      <c r="F86" s="203"/>
      <c r="G86" s="203"/>
      <c r="H86" s="203"/>
      <c r="I86" s="203"/>
      <c r="J86" s="203"/>
      <c r="K86" s="203"/>
      <c r="L86" s="203"/>
      <c r="M86" s="203"/>
      <c r="N86" s="203"/>
      <c r="O86" s="203"/>
      <c r="P86" s="203"/>
      <c r="Q86" s="203"/>
      <c r="R86" s="203"/>
      <c r="S86" s="203"/>
      <c r="T86" s="203"/>
      <c r="Y86" s="204"/>
      <c r="Z86" s="204"/>
      <c r="AA86" s="204"/>
      <c r="AB86" s="204"/>
      <c r="AC86" s="204"/>
      <c r="AD86" s="204"/>
      <c r="AE86" s="204"/>
      <c r="AF86" s="204"/>
      <c r="AG86" s="204"/>
      <c r="AH86" s="204"/>
      <c r="AI86" s="204"/>
      <c r="AJ86" s="204"/>
      <c r="AK86" s="204"/>
      <c r="AL86" s="204"/>
      <c r="AM86" s="204"/>
      <c r="AN86" s="204"/>
      <c r="AO86" s="204"/>
      <c r="AX86" s="204"/>
      <c r="AY86" s="204"/>
      <c r="AZ86" s="204"/>
      <c r="BA86" s="204"/>
      <c r="BB86" s="204"/>
      <c r="BC86" s="204"/>
      <c r="BD86" s="204"/>
      <c r="BE86" s="204"/>
      <c r="BF86" s="204"/>
      <c r="BG86" s="204"/>
      <c r="BH86" s="204"/>
      <c r="BI86" s="204"/>
      <c r="BJ86" s="204"/>
      <c r="BK86" s="204"/>
      <c r="BL86" s="204"/>
      <c r="BM86" s="204"/>
      <c r="BN86" s="204"/>
      <c r="BX86" s="204"/>
      <c r="BY86" s="204"/>
      <c r="BZ86" s="204"/>
      <c r="CA86" s="204"/>
      <c r="CB86" s="204"/>
      <c r="CC86" s="204"/>
      <c r="CD86" s="204"/>
      <c r="CE86" s="204"/>
      <c r="CF86" s="204"/>
      <c r="CG86" s="204"/>
      <c r="CH86" s="204"/>
      <c r="CI86" s="204"/>
      <c r="CJ86" s="204"/>
      <c r="CK86" s="204"/>
      <c r="CL86" s="204"/>
      <c r="CM86" s="204"/>
      <c r="CN86" s="204"/>
      <c r="JB86" s="484"/>
      <c r="JC86" s="485"/>
      <c r="JD86" s="485"/>
      <c r="JE86" s="485"/>
      <c r="JF86" s="485"/>
      <c r="JG86" s="486"/>
    </row>
    <row r="87" spans="1:267" ht="15" customHeight="1" x14ac:dyDescent="1.35">
      <c r="A87" s="203"/>
      <c r="B87" s="203"/>
      <c r="C87" s="203"/>
      <c r="D87" s="203"/>
      <c r="E87" s="203"/>
      <c r="F87" s="203"/>
      <c r="G87" s="203"/>
      <c r="H87" s="203"/>
      <c r="I87" s="203"/>
      <c r="J87" s="203"/>
      <c r="K87" s="203"/>
      <c r="L87" s="203"/>
      <c r="M87" s="203"/>
      <c r="N87" s="203"/>
      <c r="O87" s="203"/>
      <c r="P87" s="203"/>
      <c r="Q87" s="203"/>
      <c r="R87" s="203"/>
      <c r="S87" s="203"/>
      <c r="T87" s="203"/>
      <c r="Y87" s="204"/>
      <c r="Z87" s="204"/>
      <c r="AA87" s="204"/>
      <c r="AB87" s="204"/>
      <c r="AC87" s="204"/>
      <c r="AD87" s="204"/>
      <c r="AE87" s="204"/>
      <c r="AF87" s="204"/>
      <c r="AG87" s="204"/>
      <c r="AH87" s="204"/>
      <c r="AI87" s="204"/>
      <c r="AJ87" s="204"/>
      <c r="AK87" s="204"/>
      <c r="AL87" s="204"/>
      <c r="AM87" s="204"/>
      <c r="AN87" s="204"/>
      <c r="AO87" s="204"/>
      <c r="AX87" s="204"/>
      <c r="AY87" s="204"/>
      <c r="AZ87" s="204"/>
      <c r="BA87" s="204"/>
      <c r="BB87" s="204"/>
      <c r="BC87" s="204"/>
      <c r="BD87" s="204"/>
      <c r="BE87" s="204"/>
      <c r="BF87" s="204"/>
      <c r="BG87" s="204"/>
      <c r="BH87" s="204"/>
      <c r="BI87" s="204"/>
      <c r="BJ87" s="204"/>
      <c r="BK87" s="204"/>
      <c r="BL87" s="204"/>
      <c r="BM87" s="204"/>
      <c r="BN87" s="204"/>
      <c r="BX87" s="204"/>
      <c r="BY87" s="204"/>
      <c r="BZ87" s="204"/>
      <c r="CA87" s="204"/>
      <c r="CB87" s="204"/>
      <c r="CC87" s="204"/>
      <c r="CD87" s="204"/>
      <c r="CE87" s="204"/>
      <c r="CF87" s="204"/>
      <c r="CG87" s="204"/>
      <c r="CH87" s="204"/>
      <c r="CI87" s="204"/>
      <c r="CJ87" s="204"/>
      <c r="CK87" s="204"/>
      <c r="CL87" s="204"/>
      <c r="CM87" s="204"/>
      <c r="CN87" s="204"/>
      <c r="JB87" s="484"/>
      <c r="JC87" s="485"/>
      <c r="JD87" s="485"/>
      <c r="JE87" s="485"/>
      <c r="JF87" s="485"/>
      <c r="JG87" s="486"/>
    </row>
    <row r="88" spans="1:267" ht="21" x14ac:dyDescent="0.25">
      <c r="A88" s="203"/>
      <c r="B88" s="203"/>
      <c r="C88" s="203"/>
      <c r="D88" s="203"/>
      <c r="E88" s="203"/>
      <c r="F88" s="203"/>
      <c r="G88" s="203"/>
      <c r="H88" s="203"/>
      <c r="I88" s="203"/>
      <c r="J88" s="203"/>
      <c r="K88" s="203"/>
      <c r="L88" s="203"/>
      <c r="M88" s="203"/>
      <c r="N88" s="203"/>
      <c r="O88" s="203"/>
      <c r="P88" s="203"/>
      <c r="Q88" s="203"/>
      <c r="R88" s="203"/>
      <c r="S88" s="203"/>
      <c r="T88" s="203"/>
      <c r="CX88" s="534" t="s">
        <v>819</v>
      </c>
      <c r="CY88" s="534"/>
      <c r="CZ88" s="534"/>
      <c r="DA88" s="534"/>
      <c r="DB88" s="534"/>
      <c r="DC88" s="534"/>
      <c r="DD88" s="534"/>
      <c r="DE88" s="534"/>
      <c r="DF88" s="534"/>
      <c r="DG88" s="534"/>
      <c r="DH88" s="534"/>
      <c r="DI88" s="534"/>
      <c r="DJ88" s="534"/>
      <c r="DK88" s="534"/>
      <c r="DL88" s="534"/>
      <c r="DM88" s="534"/>
      <c r="DN88" s="534"/>
      <c r="DO88" s="534"/>
      <c r="DP88" s="534"/>
      <c r="DQ88" s="534"/>
      <c r="DR88" s="534"/>
      <c r="DS88" s="534"/>
      <c r="DT88" s="534"/>
      <c r="FG88" s="533" t="s">
        <v>212</v>
      </c>
      <c r="FH88" s="533"/>
      <c r="FI88" s="533"/>
      <c r="FJ88" s="533"/>
      <c r="FK88" s="533"/>
      <c r="FL88" s="533"/>
      <c r="FM88" s="533"/>
      <c r="FN88" s="533"/>
      <c r="FO88" s="533"/>
      <c r="FP88" s="533"/>
      <c r="FQ88" s="533"/>
      <c r="FR88" s="533"/>
      <c r="FS88" s="533"/>
      <c r="FT88" s="533"/>
      <c r="FU88" s="533"/>
      <c r="FV88" s="533"/>
      <c r="FW88" s="533"/>
      <c r="FX88" s="533"/>
      <c r="FY88" s="533"/>
      <c r="FZ88" s="533"/>
      <c r="GA88" s="533"/>
      <c r="GB88" s="533"/>
      <c r="GC88" s="533"/>
      <c r="GD88" s="533"/>
      <c r="JB88" s="484"/>
      <c r="JC88" s="485"/>
      <c r="JD88" s="485"/>
      <c r="JE88" s="485"/>
      <c r="JF88" s="485"/>
      <c r="JG88" s="486"/>
    </row>
    <row r="89" spans="1:267" ht="15.75" thickBot="1" x14ac:dyDescent="0.3">
      <c r="A89" s="203"/>
      <c r="B89" s="203"/>
      <c r="C89" s="203"/>
      <c r="D89" s="203"/>
      <c r="E89" s="203"/>
      <c r="F89" s="203"/>
      <c r="G89" s="203"/>
      <c r="H89" s="203"/>
      <c r="I89" s="203"/>
      <c r="J89" s="203"/>
      <c r="K89" s="203"/>
      <c r="L89" s="203"/>
      <c r="M89" s="203"/>
      <c r="N89" s="203"/>
      <c r="O89" s="203"/>
      <c r="P89" s="203"/>
      <c r="Q89" s="203"/>
      <c r="R89" s="203"/>
      <c r="S89" s="203"/>
      <c r="T89" s="203"/>
      <c r="FG89" s="533"/>
      <c r="FH89" s="533"/>
      <c r="FI89" s="533"/>
      <c r="FJ89" s="533"/>
      <c r="FK89" s="533"/>
      <c r="FL89" s="533"/>
      <c r="FM89" s="533"/>
      <c r="FN89" s="533"/>
      <c r="FO89" s="533"/>
      <c r="FP89" s="533"/>
      <c r="FQ89" s="533"/>
      <c r="FR89" s="533"/>
      <c r="FS89" s="533"/>
      <c r="FT89" s="533"/>
      <c r="FU89" s="533"/>
      <c r="FV89" s="533"/>
      <c r="FW89" s="533"/>
      <c r="FX89" s="533"/>
      <c r="FY89" s="533"/>
      <c r="FZ89" s="533"/>
      <c r="GA89" s="533"/>
      <c r="GB89" s="533"/>
      <c r="GC89" s="533"/>
      <c r="GD89" s="533"/>
      <c r="JB89" s="487"/>
      <c r="JC89" s="488"/>
      <c r="JD89" s="488"/>
      <c r="JE89" s="488"/>
      <c r="JF89" s="488"/>
      <c r="JG89" s="489"/>
    </row>
    <row r="90" spans="1:267" ht="33" thickBot="1" x14ac:dyDescent="0.45">
      <c r="A90" s="203"/>
      <c r="B90" s="203"/>
      <c r="C90" s="203"/>
      <c r="D90" s="203"/>
      <c r="E90" s="203"/>
      <c r="F90" s="203"/>
      <c r="G90" s="203"/>
      <c r="H90" s="203"/>
      <c r="I90" s="203"/>
      <c r="J90" s="203"/>
      <c r="K90" s="203"/>
      <c r="L90" s="203"/>
      <c r="M90" s="203"/>
      <c r="N90" s="203"/>
      <c r="O90" s="203"/>
      <c r="P90" s="203"/>
      <c r="Q90" s="203"/>
      <c r="R90" s="203"/>
      <c r="S90" s="203"/>
      <c r="T90" s="203"/>
      <c r="Y90" s="577" t="s">
        <v>694</v>
      </c>
      <c r="Z90" s="436"/>
      <c r="AA90" s="436"/>
      <c r="AB90" s="436"/>
      <c r="AC90" s="436"/>
      <c r="AD90" s="436"/>
      <c r="AE90" s="436"/>
      <c r="AF90" s="436"/>
      <c r="AG90" s="436"/>
      <c r="AH90" s="436"/>
      <c r="AI90" s="436"/>
      <c r="AJ90" s="436"/>
      <c r="AK90" s="436"/>
      <c r="AL90" s="436"/>
      <c r="AM90" s="436"/>
      <c r="AN90" s="436"/>
      <c r="AO90" s="436"/>
      <c r="AX90" s="577" t="s">
        <v>702</v>
      </c>
      <c r="AY90" s="436"/>
      <c r="AZ90" s="436"/>
      <c r="BA90" s="436"/>
      <c r="BB90" s="436"/>
      <c r="BC90" s="436"/>
      <c r="BD90" s="436"/>
      <c r="BE90" s="436"/>
      <c r="BF90" s="436"/>
      <c r="BG90" s="436"/>
      <c r="BH90" s="436"/>
      <c r="BI90" s="436"/>
      <c r="BJ90" s="436"/>
      <c r="BK90" s="436"/>
      <c r="BL90" s="436"/>
      <c r="BM90" s="436"/>
      <c r="BN90" s="436"/>
      <c r="BX90" s="577" t="s">
        <v>724</v>
      </c>
      <c r="BY90" s="436"/>
      <c r="BZ90" s="436"/>
      <c r="CA90" s="436"/>
      <c r="CB90" s="436"/>
      <c r="CC90" s="436"/>
      <c r="CD90" s="436"/>
      <c r="CE90" s="436"/>
      <c r="CF90" s="436"/>
      <c r="CG90" s="436"/>
      <c r="CH90" s="436"/>
      <c r="CI90" s="436"/>
      <c r="CJ90" s="436"/>
      <c r="CK90" s="436"/>
      <c r="CL90" s="436"/>
      <c r="CM90" s="436"/>
      <c r="CN90" s="436"/>
      <c r="DA90" s="536" t="s">
        <v>1172</v>
      </c>
      <c r="DB90" s="537"/>
      <c r="DC90" s="537"/>
      <c r="DD90" s="537"/>
      <c r="DE90" s="538"/>
      <c r="DF90" s="1"/>
      <c r="DG90" s="290"/>
      <c r="DH90" s="536" t="s">
        <v>81</v>
      </c>
      <c r="DI90" s="537"/>
      <c r="DJ90" s="537"/>
      <c r="DK90" s="538"/>
      <c r="DN90" s="536" t="s">
        <v>820</v>
      </c>
      <c r="DO90" s="537"/>
      <c r="DP90" s="537"/>
      <c r="DQ90" s="537"/>
      <c r="DR90" s="537"/>
      <c r="DS90" s="537"/>
      <c r="DT90" s="538"/>
      <c r="FG90" s="299" t="s">
        <v>933</v>
      </c>
      <c r="FH90" s="299" t="s">
        <v>934</v>
      </c>
      <c r="FI90" s="299" t="s">
        <v>935</v>
      </c>
      <c r="FJ90" s="299" t="s">
        <v>936</v>
      </c>
      <c r="FK90" s="299" t="s">
        <v>937</v>
      </c>
      <c r="FL90" s="299" t="s">
        <v>938</v>
      </c>
      <c r="FM90" s="299" t="s">
        <v>939</v>
      </c>
      <c r="FN90" s="299" t="s">
        <v>940</v>
      </c>
      <c r="FO90" s="299" t="s">
        <v>941</v>
      </c>
      <c r="FP90" s="299"/>
      <c r="FQ90" s="300" t="s">
        <v>942</v>
      </c>
      <c r="FR90" s="300" t="s">
        <v>943</v>
      </c>
      <c r="FS90" s="300" t="s">
        <v>858</v>
      </c>
      <c r="FT90" s="300" t="s">
        <v>944</v>
      </c>
      <c r="FU90" s="300" t="s">
        <v>945</v>
      </c>
      <c r="FV90" s="322" t="s">
        <v>946</v>
      </c>
      <c r="FW90" s="299" t="s">
        <v>933</v>
      </c>
      <c r="FX90" s="299"/>
      <c r="FY90" s="421" t="s">
        <v>555</v>
      </c>
      <c r="FZ90" s="299"/>
      <c r="GA90" s="422" t="s">
        <v>1226</v>
      </c>
      <c r="GB90" s="299"/>
      <c r="GD90" s="319" t="s">
        <v>942</v>
      </c>
    </row>
    <row r="91" spans="1:267" ht="24" thickBot="1" x14ac:dyDescent="0.4">
      <c r="A91" s="203"/>
      <c r="B91" s="203"/>
      <c r="C91" s="203"/>
      <c r="D91" s="203"/>
      <c r="E91" s="203"/>
      <c r="F91" s="203"/>
      <c r="G91" s="203"/>
      <c r="H91" s="203"/>
      <c r="I91" s="203"/>
      <c r="J91" s="203"/>
      <c r="K91" s="203"/>
      <c r="L91" s="203"/>
      <c r="M91" s="203"/>
      <c r="N91" s="203"/>
      <c r="O91" s="203"/>
      <c r="P91" s="203"/>
      <c r="Q91" s="203"/>
      <c r="R91" s="203"/>
      <c r="S91" s="203"/>
      <c r="T91" s="203"/>
      <c r="Y91" s="578" t="s">
        <v>247</v>
      </c>
      <c r="Z91" s="578"/>
      <c r="AA91" s="578"/>
      <c r="AB91" s="578"/>
      <c r="AC91" s="578"/>
      <c r="AD91" s="578"/>
      <c r="AE91" s="578"/>
      <c r="AF91" s="578"/>
      <c r="AG91" s="75"/>
      <c r="AH91" s="579" t="s">
        <v>279</v>
      </c>
      <c r="AI91" s="580"/>
      <c r="AJ91" s="580"/>
      <c r="AK91" s="580"/>
      <c r="AL91" s="580"/>
      <c r="AM91" s="580"/>
      <c r="AN91" s="580"/>
      <c r="AO91" s="581"/>
      <c r="AX91" s="578" t="s">
        <v>247</v>
      </c>
      <c r="AY91" s="578"/>
      <c r="AZ91" s="578"/>
      <c r="BA91" s="578"/>
      <c r="BB91" s="578"/>
      <c r="BC91" s="578"/>
      <c r="BD91" s="578"/>
      <c r="BE91" s="578"/>
      <c r="BF91" s="75"/>
      <c r="BG91" s="579" t="s">
        <v>279</v>
      </c>
      <c r="BH91" s="580"/>
      <c r="BI91" s="580"/>
      <c r="BJ91" s="580"/>
      <c r="BK91" s="580"/>
      <c r="BL91" s="580"/>
      <c r="BM91" s="580"/>
      <c r="BN91" s="581"/>
      <c r="BX91" s="578" t="s">
        <v>247</v>
      </c>
      <c r="BY91" s="578"/>
      <c r="BZ91" s="578"/>
      <c r="CA91" s="578"/>
      <c r="CB91" s="578"/>
      <c r="CC91" s="578"/>
      <c r="CD91" s="578"/>
      <c r="CE91" s="578"/>
      <c r="CF91" s="75"/>
      <c r="CG91" s="579" t="s">
        <v>279</v>
      </c>
      <c r="CH91" s="580"/>
      <c r="CI91" s="580"/>
      <c r="CJ91" s="580"/>
      <c r="CK91" s="580"/>
      <c r="CL91" s="580"/>
      <c r="CM91" s="580"/>
      <c r="CN91" s="581"/>
      <c r="DA91" s="272" t="s">
        <v>821</v>
      </c>
      <c r="DB91" s="1" t="s">
        <v>822</v>
      </c>
      <c r="DC91" s="1" t="s">
        <v>823</v>
      </c>
      <c r="DD91" s="1" t="s">
        <v>824</v>
      </c>
      <c r="DE91" s="273"/>
      <c r="DF91" s="1"/>
      <c r="DG91" s="293"/>
      <c r="DH91" s="272" t="s">
        <v>743</v>
      </c>
      <c r="DI91" s="1" t="s">
        <v>823</v>
      </c>
      <c r="DJ91" s="1" t="s">
        <v>824</v>
      </c>
      <c r="DK91" s="274"/>
      <c r="DN91" s="272" t="s">
        <v>821</v>
      </c>
      <c r="DO91" s="1" t="s">
        <v>825</v>
      </c>
      <c r="DP91" s="1" t="s">
        <v>826</v>
      </c>
      <c r="DQ91" s="1" t="s">
        <v>823</v>
      </c>
      <c r="DR91" s="1" t="s">
        <v>824</v>
      </c>
      <c r="DS91" s="1" t="s">
        <v>745</v>
      </c>
      <c r="DT91" s="273" t="s">
        <v>745</v>
      </c>
      <c r="FG91" s="1" t="s">
        <v>214</v>
      </c>
      <c r="FH91" s="1">
        <v>1</v>
      </c>
      <c r="FI91" s="166" t="s">
        <v>463</v>
      </c>
      <c r="FJ91" s="166" t="s">
        <v>889</v>
      </c>
      <c r="FK91" s="166" t="s">
        <v>889</v>
      </c>
      <c r="FL91" s="166"/>
      <c r="FM91" s="1" t="s">
        <v>889</v>
      </c>
      <c r="FN91" s="1" t="s">
        <v>889</v>
      </c>
      <c r="FO91" s="301">
        <f t="shared" ref="FO91:FO104" si="60">(FH91*FV91)+FR91+FS91+FT91+FU91</f>
        <v>15</v>
      </c>
      <c r="FP91" s="1"/>
      <c r="FQ91" s="302" t="str">
        <f>IF(FI91=0,"0",IF(FI91="5/16","3",IF(FI91="3/8","3.3",IF(FI91="1/2","4",IF(FI91="5/8","5",IF(FI91="3/4","5.5","3"))))))</f>
        <v>3</v>
      </c>
      <c r="FR91" s="302" t="str">
        <f t="shared" ref="FR91:FS97" si="61">IF(FJ91="Yes","3","0")</f>
        <v>3</v>
      </c>
      <c r="FS91" s="302" t="str">
        <f t="shared" si="61"/>
        <v>3</v>
      </c>
      <c r="FT91" s="302" t="str">
        <f t="shared" ref="FT91:FT104" si="62">IF(FM91="Yes","2","0")</f>
        <v>2</v>
      </c>
      <c r="FU91" s="302" t="str">
        <f>IF(FN91="Yes","4","0")</f>
        <v>4</v>
      </c>
      <c r="FV91" s="324" t="str">
        <f>IF(FL91="Yes",FQ91*2,FQ91)</f>
        <v>3</v>
      </c>
      <c r="FW91" s="323" t="s">
        <v>214</v>
      </c>
      <c r="FX91" s="1"/>
      <c r="FY91" s="1" t="s">
        <v>970</v>
      </c>
      <c r="FZ91" s="1"/>
      <c r="GA91" s="1">
        <f>FV91*1.1</f>
        <v>3.3000000000000003</v>
      </c>
      <c r="GB91" s="1"/>
      <c r="GD91" s="166" t="s">
        <v>466</v>
      </c>
    </row>
    <row r="92" spans="1:267" ht="15.75" thickBot="1" x14ac:dyDescent="0.3">
      <c r="A92" s="203"/>
      <c r="B92" s="203"/>
      <c r="C92" s="203"/>
      <c r="D92" s="203"/>
      <c r="E92" s="203"/>
      <c r="F92" s="203"/>
      <c r="G92" s="203"/>
      <c r="H92" s="203"/>
      <c r="I92" s="203"/>
      <c r="J92" s="203"/>
      <c r="K92" s="203"/>
      <c r="L92" s="203"/>
      <c r="M92" s="203"/>
      <c r="N92" s="203"/>
      <c r="O92" s="203"/>
      <c r="P92" s="203"/>
      <c r="Q92" s="203"/>
      <c r="R92" s="203"/>
      <c r="S92" s="203"/>
      <c r="T92" s="203"/>
      <c r="Y92" s="10" t="s">
        <v>28</v>
      </c>
      <c r="Z92" s="11">
        <v>1</v>
      </c>
      <c r="AA92" s="10" t="s">
        <v>36</v>
      </c>
      <c r="AB92" s="12" t="s">
        <v>78</v>
      </c>
      <c r="AC92" s="149">
        <f>Z92*11</f>
        <v>11</v>
      </c>
      <c r="AD92" s="53"/>
      <c r="AE92" s="95">
        <v>45566</v>
      </c>
      <c r="AF92" s="32" t="s">
        <v>554</v>
      </c>
      <c r="AG92" s="75"/>
      <c r="AH92" s="10" t="s">
        <v>28</v>
      </c>
      <c r="AI92" s="11">
        <v>1</v>
      </c>
      <c r="AJ92" s="10" t="s">
        <v>141</v>
      </c>
      <c r="AK92" s="12" t="s">
        <v>78</v>
      </c>
      <c r="AL92" s="149">
        <f>AI92*13</f>
        <v>13</v>
      </c>
      <c r="AM92" s="53"/>
      <c r="AN92" s="95">
        <v>45475</v>
      </c>
      <c r="AO92" s="32" t="s">
        <v>554</v>
      </c>
      <c r="AX92" s="10" t="s">
        <v>28</v>
      </c>
      <c r="AY92" s="11">
        <v>1</v>
      </c>
      <c r="AZ92" s="10" t="s">
        <v>36</v>
      </c>
      <c r="BA92" s="12" t="s">
        <v>29</v>
      </c>
      <c r="BB92" s="149">
        <f>AY92*7</f>
        <v>7</v>
      </c>
      <c r="BC92" s="145"/>
      <c r="BD92" s="95">
        <v>45715</v>
      </c>
      <c r="BE92" s="23" t="s">
        <v>336</v>
      </c>
      <c r="BF92" s="75"/>
      <c r="BG92" s="10" t="s">
        <v>28</v>
      </c>
      <c r="BH92" s="11">
        <v>1</v>
      </c>
      <c r="BI92" s="10" t="s">
        <v>141</v>
      </c>
      <c r="BJ92" s="12" t="s">
        <v>29</v>
      </c>
      <c r="BK92" s="149">
        <f>BH92*19</f>
        <v>19</v>
      </c>
      <c r="BL92" s="53"/>
      <c r="BM92" s="95"/>
      <c r="BN92" s="23" t="s">
        <v>336</v>
      </c>
      <c r="BX92" s="10" t="s">
        <v>28</v>
      </c>
      <c r="BY92" s="11">
        <v>1</v>
      </c>
      <c r="BZ92" s="10" t="s">
        <v>36</v>
      </c>
      <c r="CA92" s="12" t="s">
        <v>75</v>
      </c>
      <c r="CB92" s="149">
        <f>BY92*10</f>
        <v>10</v>
      </c>
      <c r="CC92" s="22"/>
      <c r="CD92" s="95">
        <v>45782</v>
      </c>
      <c r="CE92" s="32" t="s">
        <v>284</v>
      </c>
      <c r="CF92" s="75"/>
      <c r="CG92" s="10" t="s">
        <v>28</v>
      </c>
      <c r="CH92" s="11">
        <v>1</v>
      </c>
      <c r="CI92" s="10" t="s">
        <v>141</v>
      </c>
      <c r="CJ92" s="88" t="s">
        <v>75</v>
      </c>
      <c r="CK92" s="149">
        <f>CH92*24</f>
        <v>24</v>
      </c>
      <c r="CL92" s="145"/>
      <c r="CM92" s="95"/>
      <c r="CN92" s="32" t="s">
        <v>284</v>
      </c>
      <c r="DA92" s="272" t="s">
        <v>827</v>
      </c>
      <c r="DB92" s="1" t="s">
        <v>827</v>
      </c>
      <c r="DC92" s="1" t="s">
        <v>827</v>
      </c>
      <c r="DD92" s="1" t="s">
        <v>827</v>
      </c>
      <c r="DE92" s="273" t="s">
        <v>828</v>
      </c>
      <c r="DF92" s="1"/>
      <c r="DG92" s="293"/>
      <c r="DH92" s="272" t="s">
        <v>829</v>
      </c>
      <c r="DI92" s="1" t="s">
        <v>829</v>
      </c>
      <c r="DJ92" s="1" t="s">
        <v>829</v>
      </c>
      <c r="DK92" s="273" t="s">
        <v>828</v>
      </c>
      <c r="DN92" s="272" t="s">
        <v>830</v>
      </c>
      <c r="DO92" s="1" t="s">
        <v>830</v>
      </c>
      <c r="DP92" s="1" t="s">
        <v>830</v>
      </c>
      <c r="DQ92" s="1" t="s">
        <v>830</v>
      </c>
      <c r="DR92" s="1" t="s">
        <v>831</v>
      </c>
      <c r="DS92" s="1" t="s">
        <v>825</v>
      </c>
      <c r="DT92" s="273" t="s">
        <v>826</v>
      </c>
      <c r="FG92" s="1" t="s">
        <v>218</v>
      </c>
      <c r="FH92" s="1">
        <v>1</v>
      </c>
      <c r="FI92" s="166" t="s">
        <v>470</v>
      </c>
      <c r="FJ92" s="166" t="s">
        <v>889</v>
      </c>
      <c r="FK92" s="166" t="s">
        <v>889</v>
      </c>
      <c r="FL92" s="166"/>
      <c r="FM92" s="1" t="s">
        <v>889</v>
      </c>
      <c r="FN92" s="1" t="s">
        <v>889</v>
      </c>
      <c r="FO92" s="301">
        <f t="shared" si="60"/>
        <v>17.5</v>
      </c>
      <c r="FP92" s="1"/>
      <c r="FQ92" s="302" t="str">
        <f>IF(FI92=0,"0",IF(FI92="5/16","3",IF(FI92="3/8","3.3",IF(FI92="1/2","4",IF(FI92="5/8","5",IF(FI92="3/4","5.5","3"))))))</f>
        <v>5.5</v>
      </c>
      <c r="FR92" s="302" t="str">
        <f t="shared" si="61"/>
        <v>3</v>
      </c>
      <c r="FS92" s="302" t="str">
        <f t="shared" si="61"/>
        <v>3</v>
      </c>
      <c r="FT92" s="302" t="str">
        <f t="shared" si="62"/>
        <v>2</v>
      </c>
      <c r="FU92" s="302" t="str">
        <f t="shared" ref="FU92:FU104" si="63">IF(FN92="Yes","4","0")</f>
        <v>4</v>
      </c>
      <c r="FV92" s="324" t="str">
        <f t="shared" ref="FV92:FV104" si="64">IF(FL92="Yes",FQ92*2,FQ92)</f>
        <v>5.5</v>
      </c>
      <c r="FW92" s="323" t="s">
        <v>218</v>
      </c>
      <c r="FX92" s="1"/>
      <c r="FY92" s="1" t="s">
        <v>970</v>
      </c>
      <c r="FZ92" s="1"/>
      <c r="GA92" s="1">
        <f t="shared" ref="GA92:GA104" si="65">FV92*1.1</f>
        <v>6.0500000000000007</v>
      </c>
      <c r="GB92" s="1"/>
      <c r="GD92" s="166" t="s">
        <v>463</v>
      </c>
    </row>
    <row r="93" spans="1:267" ht="24" thickBot="1" x14ac:dyDescent="0.4">
      <c r="A93" s="578" t="s">
        <v>383</v>
      </c>
      <c r="B93" s="578"/>
      <c r="C93" s="578"/>
      <c r="D93" s="578"/>
      <c r="E93" s="578"/>
      <c r="F93" s="578"/>
      <c r="G93" s="75"/>
      <c r="H93" s="578" t="s">
        <v>383</v>
      </c>
      <c r="I93" s="578"/>
      <c r="J93" s="578"/>
      <c r="K93" s="578"/>
      <c r="L93" s="578"/>
      <c r="M93" s="578"/>
      <c r="N93" s="75"/>
      <c r="O93" s="578" t="s">
        <v>383</v>
      </c>
      <c r="P93" s="578"/>
      <c r="Q93" s="578"/>
      <c r="R93" s="578"/>
      <c r="S93" s="578"/>
      <c r="T93" s="578"/>
      <c r="Y93" s="10" t="s">
        <v>28</v>
      </c>
      <c r="Z93" s="11">
        <v>1</v>
      </c>
      <c r="AA93" s="10" t="s">
        <v>34</v>
      </c>
      <c r="AB93" s="12" t="s">
        <v>78</v>
      </c>
      <c r="AC93" s="149">
        <f>Z93*13</f>
        <v>13</v>
      </c>
      <c r="AD93" s="53"/>
      <c r="AE93" s="95">
        <v>45566</v>
      </c>
      <c r="AF93" s="32" t="s">
        <v>554</v>
      </c>
      <c r="AG93" s="75"/>
      <c r="AH93" s="10" t="s">
        <v>28</v>
      </c>
      <c r="AI93" s="11">
        <v>1</v>
      </c>
      <c r="AJ93" s="10" t="s">
        <v>143</v>
      </c>
      <c r="AK93" s="12" t="s">
        <v>78</v>
      </c>
      <c r="AL93" s="149">
        <f>AI93*22</f>
        <v>22</v>
      </c>
      <c r="AM93" s="53"/>
      <c r="AN93" s="95">
        <v>45475</v>
      </c>
      <c r="AO93" s="32" t="s">
        <v>554</v>
      </c>
      <c r="AQ93" s="582" t="s">
        <v>590</v>
      </c>
      <c r="AR93" s="582"/>
      <c r="AS93" s="582"/>
      <c r="AT93" s="582"/>
      <c r="AU93" s="582"/>
      <c r="AX93" s="10" t="s">
        <v>28</v>
      </c>
      <c r="AY93" s="11">
        <v>1</v>
      </c>
      <c r="AZ93" s="10" t="s">
        <v>34</v>
      </c>
      <c r="BA93" s="12" t="s">
        <v>29</v>
      </c>
      <c r="BB93" s="149">
        <f>AY93*11</f>
        <v>11</v>
      </c>
      <c r="BC93" s="53"/>
      <c r="BD93" s="95">
        <v>45715</v>
      </c>
      <c r="BE93" s="23" t="s">
        <v>336</v>
      </c>
      <c r="BF93" s="75"/>
      <c r="BG93" s="10" t="s">
        <v>28</v>
      </c>
      <c r="BH93" s="11">
        <v>1</v>
      </c>
      <c r="BI93" s="10" t="s">
        <v>143</v>
      </c>
      <c r="BJ93" s="12" t="s">
        <v>29</v>
      </c>
      <c r="BK93" s="149">
        <f>BH93*30</f>
        <v>30</v>
      </c>
      <c r="BL93" s="53"/>
      <c r="BM93" s="95">
        <v>45413</v>
      </c>
      <c r="BN93" s="23" t="s">
        <v>336</v>
      </c>
      <c r="BP93" s="582" t="s">
        <v>590</v>
      </c>
      <c r="BQ93" s="582"/>
      <c r="BR93" s="582"/>
      <c r="BS93" s="582"/>
      <c r="BT93" s="582"/>
      <c r="BX93" s="10" t="s">
        <v>28</v>
      </c>
      <c r="BY93" s="11">
        <v>1</v>
      </c>
      <c r="BZ93" s="10" t="s">
        <v>34</v>
      </c>
      <c r="CA93" s="12" t="s">
        <v>75</v>
      </c>
      <c r="CB93" s="149">
        <f>BY93*15.12</f>
        <v>15.12</v>
      </c>
      <c r="CC93" s="22"/>
      <c r="CD93" s="95">
        <v>45782</v>
      </c>
      <c r="CE93" s="32" t="s">
        <v>284</v>
      </c>
      <c r="CF93" s="75"/>
      <c r="CG93" s="10" t="s">
        <v>28</v>
      </c>
      <c r="CH93" s="11">
        <v>1</v>
      </c>
      <c r="CI93" s="10" t="s">
        <v>143</v>
      </c>
      <c r="CJ93" s="88" t="s">
        <v>75</v>
      </c>
      <c r="CK93" s="149">
        <f>CH93*35</f>
        <v>35</v>
      </c>
      <c r="CL93" s="145"/>
      <c r="CM93" s="95"/>
      <c r="CN93" s="32" t="s">
        <v>284</v>
      </c>
      <c r="CP93" s="582" t="s">
        <v>590</v>
      </c>
      <c r="CQ93" s="582"/>
      <c r="CR93" s="582"/>
      <c r="CS93" s="582"/>
      <c r="CT93" s="582"/>
      <c r="CX93" s="222" t="s">
        <v>748</v>
      </c>
      <c r="CY93" s="223" t="s">
        <v>749</v>
      </c>
      <c r="CZ93" s="180"/>
      <c r="DA93" s="275">
        <v>1</v>
      </c>
      <c r="DB93" s="276">
        <v>0</v>
      </c>
      <c r="DC93" s="276">
        <v>1</v>
      </c>
      <c r="DD93" s="276">
        <v>1</v>
      </c>
      <c r="DE93" s="215">
        <f t="shared" ref="DE93:DE115" si="66">SUM(DA93:DD93)</f>
        <v>3</v>
      </c>
      <c r="DF93" s="374"/>
      <c r="DG93" s="277"/>
      <c r="DH93" s="275">
        <v>2</v>
      </c>
      <c r="DI93" s="276">
        <v>1</v>
      </c>
      <c r="DJ93" s="276">
        <v>1</v>
      </c>
      <c r="DK93" s="215">
        <f>SUM(DH93:DJ93)</f>
        <v>4</v>
      </c>
      <c r="DL93" s="277"/>
      <c r="DM93" s="278"/>
      <c r="DN93" s="275">
        <v>1</v>
      </c>
      <c r="DO93" s="276">
        <v>0</v>
      </c>
      <c r="DP93" s="276">
        <f t="shared" ref="DP93:DP100" si="67">DO93+2</f>
        <v>2</v>
      </c>
      <c r="DQ93" s="276">
        <v>1</v>
      </c>
      <c r="DR93" s="276">
        <v>1</v>
      </c>
      <c r="DS93" s="276">
        <f t="shared" ref="DS93:DS115" si="68">DN93+DO93+DQ93+DR93</f>
        <v>3</v>
      </c>
      <c r="DT93" s="215">
        <f t="shared" ref="DT93:DT115" si="69">DN93+DP93+DQ93+DR93</f>
        <v>5</v>
      </c>
      <c r="FG93" s="1" t="s">
        <v>220</v>
      </c>
      <c r="FH93" s="1">
        <v>1</v>
      </c>
      <c r="FI93" s="166" t="s">
        <v>470</v>
      </c>
      <c r="FJ93" s="166" t="s">
        <v>889</v>
      </c>
      <c r="FK93" s="166" t="s">
        <v>889</v>
      </c>
      <c r="FL93" s="166"/>
      <c r="FM93" s="1" t="s">
        <v>889</v>
      </c>
      <c r="FN93" s="1" t="s">
        <v>889</v>
      </c>
      <c r="FO93" s="301">
        <f t="shared" si="60"/>
        <v>17.5</v>
      </c>
      <c r="FP93" s="1"/>
      <c r="FQ93" s="302" t="str">
        <f>IF(FI93=0,"0",IF(FI93="5/16","3",IF(FI93="3/8","3.3",IF(FI93="1/2","4",IF(FI93="5/8","5",IF(FI93="3/4","5.5","3"))))))</f>
        <v>5.5</v>
      </c>
      <c r="FR93" s="302" t="str">
        <f t="shared" si="61"/>
        <v>3</v>
      </c>
      <c r="FS93" s="302" t="str">
        <f t="shared" si="61"/>
        <v>3</v>
      </c>
      <c r="FT93" s="302" t="str">
        <f t="shared" si="62"/>
        <v>2</v>
      </c>
      <c r="FU93" s="302" t="str">
        <f t="shared" si="63"/>
        <v>4</v>
      </c>
      <c r="FV93" s="324" t="str">
        <f t="shared" si="64"/>
        <v>5.5</v>
      </c>
      <c r="FW93" s="323" t="s">
        <v>220</v>
      </c>
      <c r="FX93" s="1"/>
      <c r="FY93" s="1" t="s">
        <v>970</v>
      </c>
      <c r="FZ93" s="1"/>
      <c r="GA93" s="1">
        <f t="shared" si="65"/>
        <v>6.0500000000000007</v>
      </c>
      <c r="GB93" s="1"/>
      <c r="GD93" s="166" t="s">
        <v>464</v>
      </c>
    </row>
    <row r="94" spans="1:267" ht="15.75" thickBot="1" x14ac:dyDescent="0.3">
      <c r="A94" s="189"/>
      <c r="B94" s="12"/>
      <c r="C94" s="143"/>
      <c r="D94" s="12"/>
      <c r="E94" s="24"/>
      <c r="F94" s="190"/>
      <c r="G94" s="75"/>
      <c r="H94" s="189"/>
      <c r="I94" s="12"/>
      <c r="J94" s="143"/>
      <c r="K94" s="12"/>
      <c r="L94" s="24"/>
      <c r="M94" s="190"/>
      <c r="N94" s="75"/>
      <c r="O94" s="189"/>
      <c r="P94" s="12"/>
      <c r="Q94" s="143"/>
      <c r="R94" s="12"/>
      <c r="S94" s="24"/>
      <c r="T94" s="190"/>
      <c r="Y94" s="10" t="s">
        <v>28</v>
      </c>
      <c r="Z94" s="11">
        <v>1</v>
      </c>
      <c r="AA94" s="10" t="s">
        <v>35</v>
      </c>
      <c r="AB94" s="12" t="s">
        <v>78</v>
      </c>
      <c r="AC94" s="149">
        <f>Z94*15</f>
        <v>15</v>
      </c>
      <c r="AD94" s="53"/>
      <c r="AE94" s="95">
        <v>45566</v>
      </c>
      <c r="AF94" s="32" t="s">
        <v>554</v>
      </c>
      <c r="AG94" s="75"/>
      <c r="AH94" s="10" t="s">
        <v>28</v>
      </c>
      <c r="AI94" s="11">
        <v>1</v>
      </c>
      <c r="AJ94" s="10" t="s">
        <v>145</v>
      </c>
      <c r="AK94" s="12" t="s">
        <v>78</v>
      </c>
      <c r="AL94" s="149">
        <f>AI94*22</f>
        <v>22</v>
      </c>
      <c r="AM94" s="53"/>
      <c r="AN94" s="95">
        <v>45475</v>
      </c>
      <c r="AO94" s="32" t="s">
        <v>554</v>
      </c>
      <c r="AQ94" s="582"/>
      <c r="AR94" s="582"/>
      <c r="AS94" s="582"/>
      <c r="AT94" s="582"/>
      <c r="AU94" s="582"/>
      <c r="AX94" s="10" t="s">
        <v>28</v>
      </c>
      <c r="AY94" s="11">
        <v>1</v>
      </c>
      <c r="AZ94" s="10" t="s">
        <v>35</v>
      </c>
      <c r="BA94" s="12" t="s">
        <v>29</v>
      </c>
      <c r="BB94" s="149">
        <f>AY94*21.92</f>
        <v>21.92</v>
      </c>
      <c r="BC94" s="145"/>
      <c r="BD94" s="95">
        <v>45782</v>
      </c>
      <c r="BE94" s="23" t="s">
        <v>336</v>
      </c>
      <c r="BF94" s="75"/>
      <c r="BG94" s="10" t="s">
        <v>28</v>
      </c>
      <c r="BH94" s="11">
        <v>1</v>
      </c>
      <c r="BI94" s="10" t="s">
        <v>145</v>
      </c>
      <c r="BJ94" s="12" t="s">
        <v>29</v>
      </c>
      <c r="BK94" s="149">
        <f>BH94*32</f>
        <v>32</v>
      </c>
      <c r="BL94" s="53"/>
      <c r="BM94" s="95"/>
      <c r="BN94" s="23" t="s">
        <v>336</v>
      </c>
      <c r="BP94" s="582"/>
      <c r="BQ94" s="582"/>
      <c r="BR94" s="582"/>
      <c r="BS94" s="582"/>
      <c r="BT94" s="582"/>
      <c r="BX94" s="10" t="s">
        <v>28</v>
      </c>
      <c r="BY94" s="11">
        <v>1</v>
      </c>
      <c r="BZ94" s="10" t="s">
        <v>35</v>
      </c>
      <c r="CA94" s="12" t="s">
        <v>75</v>
      </c>
      <c r="CB94" s="149">
        <f>BY94*28.27</f>
        <v>28.27</v>
      </c>
      <c r="CC94" s="22"/>
      <c r="CD94" s="95">
        <v>45782</v>
      </c>
      <c r="CE94" s="32" t="s">
        <v>284</v>
      </c>
      <c r="CF94" s="75"/>
      <c r="CG94" s="10" t="s">
        <v>28</v>
      </c>
      <c r="CH94" s="11">
        <v>1</v>
      </c>
      <c r="CI94" s="10" t="s">
        <v>145</v>
      </c>
      <c r="CJ94" s="88" t="s">
        <v>75</v>
      </c>
      <c r="CK94" s="149">
        <f>CH94*47</f>
        <v>47</v>
      </c>
      <c r="CL94" s="145"/>
      <c r="CM94" s="95"/>
      <c r="CN94" s="32" t="s">
        <v>284</v>
      </c>
      <c r="CP94" s="582"/>
      <c r="CQ94" s="582"/>
      <c r="CR94" s="582"/>
      <c r="CS94" s="582"/>
      <c r="CT94" s="582"/>
      <c r="CX94" s="234" t="s">
        <v>751</v>
      </c>
      <c r="CY94" s="235" t="s">
        <v>752</v>
      </c>
      <c r="CZ94" s="112"/>
      <c r="DA94" s="279">
        <v>1</v>
      </c>
      <c r="DB94" s="160">
        <v>0</v>
      </c>
      <c r="DC94" s="160">
        <v>1</v>
      </c>
      <c r="DD94" s="160">
        <v>2</v>
      </c>
      <c r="DE94" s="280">
        <f t="shared" si="66"/>
        <v>4</v>
      </c>
      <c r="DF94" s="38"/>
      <c r="DG94" s="281"/>
      <c r="DH94" s="279">
        <v>2</v>
      </c>
      <c r="DI94" s="160">
        <v>1</v>
      </c>
      <c r="DJ94" s="160">
        <v>2</v>
      </c>
      <c r="DK94" s="280">
        <f t="shared" ref="DK94:DK115" si="70">SUM(DH94:DJ94)</f>
        <v>5</v>
      </c>
      <c r="DL94" s="281"/>
      <c r="DM94" s="282"/>
      <c r="DN94" s="279">
        <v>1</v>
      </c>
      <c r="DO94" s="160">
        <v>0</v>
      </c>
      <c r="DP94" s="160">
        <f t="shared" si="67"/>
        <v>2</v>
      </c>
      <c r="DQ94" s="160">
        <v>2</v>
      </c>
      <c r="DR94" s="160">
        <v>2</v>
      </c>
      <c r="DS94" s="160">
        <f t="shared" si="68"/>
        <v>5</v>
      </c>
      <c r="DT94" s="280">
        <f t="shared" si="69"/>
        <v>7</v>
      </c>
      <c r="FG94" s="1" t="s">
        <v>224</v>
      </c>
      <c r="FH94" s="1">
        <v>1</v>
      </c>
      <c r="FI94" s="166" t="s">
        <v>470</v>
      </c>
      <c r="FJ94" s="166" t="s">
        <v>889</v>
      </c>
      <c r="FK94" s="166" t="s">
        <v>889</v>
      </c>
      <c r="FL94" s="166"/>
      <c r="FM94" s="1" t="s">
        <v>889</v>
      </c>
      <c r="FN94" s="1" t="s">
        <v>889</v>
      </c>
      <c r="FO94" s="301">
        <f t="shared" si="60"/>
        <v>18.5</v>
      </c>
      <c r="FP94" s="1"/>
      <c r="FQ94" s="302" t="str">
        <f>IF(FI94=0,"0",IF(FI94="5/16","3.5",IF(FI94="3/8","4",IF(FI94="1/2","5.5",IF(FI94="5/8","6",IF(FI94="3/4","6.5","3.5"))))))</f>
        <v>6.5</v>
      </c>
      <c r="FR94" s="302" t="str">
        <f t="shared" si="61"/>
        <v>3</v>
      </c>
      <c r="FS94" s="302" t="str">
        <f t="shared" si="61"/>
        <v>3</v>
      </c>
      <c r="FT94" s="302" t="str">
        <f t="shared" si="62"/>
        <v>2</v>
      </c>
      <c r="FU94" s="302" t="str">
        <f t="shared" si="63"/>
        <v>4</v>
      </c>
      <c r="FV94" s="324" t="str">
        <f t="shared" si="64"/>
        <v>6.5</v>
      </c>
      <c r="FW94" s="323" t="s">
        <v>224</v>
      </c>
      <c r="FX94" s="1"/>
      <c r="FY94" s="1" t="s">
        <v>988</v>
      </c>
      <c r="FZ94" s="1"/>
      <c r="GA94" s="1">
        <f t="shared" si="65"/>
        <v>7.15</v>
      </c>
      <c r="GB94" s="1"/>
      <c r="GD94" s="166" t="s">
        <v>467</v>
      </c>
    </row>
    <row r="95" spans="1:267" ht="15.75" thickBot="1" x14ac:dyDescent="0.3">
      <c r="A95" s="189" t="s">
        <v>379</v>
      </c>
      <c r="B95" s="12">
        <v>1</v>
      </c>
      <c r="C95" s="86" t="s">
        <v>90</v>
      </c>
      <c r="D95" s="12" t="s">
        <v>91</v>
      </c>
      <c r="E95" s="24"/>
      <c r="F95" s="190"/>
      <c r="G95" s="75"/>
      <c r="H95" s="189" t="s">
        <v>379</v>
      </c>
      <c r="I95" s="12">
        <v>1</v>
      </c>
      <c r="J95" s="86" t="s">
        <v>90</v>
      </c>
      <c r="K95" s="12" t="s">
        <v>84</v>
      </c>
      <c r="L95" s="24"/>
      <c r="M95" s="190"/>
      <c r="N95" s="75"/>
      <c r="O95" s="189" t="s">
        <v>379</v>
      </c>
      <c r="P95" s="12">
        <v>1</v>
      </c>
      <c r="Q95" s="86" t="s">
        <v>90</v>
      </c>
      <c r="R95" s="12" t="s">
        <v>80</v>
      </c>
      <c r="S95" s="24"/>
      <c r="T95" s="190"/>
      <c r="Y95" s="10" t="s">
        <v>28</v>
      </c>
      <c r="Z95" s="11">
        <v>1</v>
      </c>
      <c r="AA95" s="10" t="s">
        <v>40</v>
      </c>
      <c r="AB95" s="12" t="s">
        <v>78</v>
      </c>
      <c r="AC95" s="149">
        <f>Z95*26</f>
        <v>26</v>
      </c>
      <c r="AD95" s="53"/>
      <c r="AE95" s="95">
        <v>45566</v>
      </c>
      <c r="AF95" s="32" t="s">
        <v>554</v>
      </c>
      <c r="AG95" s="75"/>
      <c r="AH95" s="10" t="s">
        <v>28</v>
      </c>
      <c r="AI95" s="11">
        <v>1</v>
      </c>
      <c r="AJ95" s="10" t="s">
        <v>147</v>
      </c>
      <c r="AK95" s="12" t="s">
        <v>78</v>
      </c>
      <c r="AL95" s="149">
        <v>30</v>
      </c>
      <c r="AM95" s="53"/>
      <c r="AN95" s="95">
        <v>45475</v>
      </c>
      <c r="AO95" s="32" t="s">
        <v>554</v>
      </c>
      <c r="AQ95" s="582"/>
      <c r="AR95" s="582"/>
      <c r="AS95" s="582"/>
      <c r="AT95" s="582"/>
      <c r="AU95" s="582"/>
      <c r="AX95" s="10" t="s">
        <v>28</v>
      </c>
      <c r="AY95" s="11">
        <v>1</v>
      </c>
      <c r="AZ95" s="10" t="s">
        <v>40</v>
      </c>
      <c r="BA95" s="12" t="s">
        <v>29</v>
      </c>
      <c r="BB95" s="149">
        <f>AY95*38</f>
        <v>38</v>
      </c>
      <c r="BC95" s="145"/>
      <c r="BD95" s="95">
        <v>45782</v>
      </c>
      <c r="BE95" s="23" t="s">
        <v>336</v>
      </c>
      <c r="BF95" s="75"/>
      <c r="BG95" s="10" t="s">
        <v>28</v>
      </c>
      <c r="BH95" s="11">
        <v>1</v>
      </c>
      <c r="BI95" s="10" t="s">
        <v>147</v>
      </c>
      <c r="BJ95" s="12" t="s">
        <v>29</v>
      </c>
      <c r="BK95" s="149">
        <f>BH95*90</f>
        <v>90</v>
      </c>
      <c r="BL95" s="53"/>
      <c r="BM95" s="95"/>
      <c r="BN95" s="23" t="s">
        <v>336</v>
      </c>
      <c r="BP95" s="582"/>
      <c r="BQ95" s="582"/>
      <c r="BR95" s="582"/>
      <c r="BS95" s="582"/>
      <c r="BT95" s="582"/>
      <c r="BX95" s="41" t="s">
        <v>28</v>
      </c>
      <c r="BY95" s="42">
        <v>1</v>
      </c>
      <c r="BZ95" s="41" t="s">
        <v>40</v>
      </c>
      <c r="CA95" s="88" t="s">
        <v>75</v>
      </c>
      <c r="CB95" s="149">
        <f>BY95*49</f>
        <v>49</v>
      </c>
      <c r="CC95" s="145"/>
      <c r="CD95" s="95">
        <v>45715</v>
      </c>
      <c r="CE95" s="32" t="s">
        <v>284</v>
      </c>
      <c r="CF95" s="75"/>
      <c r="CG95" s="10" t="s">
        <v>28</v>
      </c>
      <c r="CH95" s="11">
        <v>1</v>
      </c>
      <c r="CI95" s="10" t="s">
        <v>147</v>
      </c>
      <c r="CJ95" s="88" t="s">
        <v>75</v>
      </c>
      <c r="CK95" s="149">
        <f>CH95*112</f>
        <v>112</v>
      </c>
      <c r="CL95" s="145"/>
      <c r="CM95" s="95"/>
      <c r="CN95" s="32" t="s">
        <v>284</v>
      </c>
      <c r="CP95" s="582"/>
      <c r="CQ95" s="582"/>
      <c r="CR95" s="582"/>
      <c r="CS95" s="582"/>
      <c r="CT95" s="582"/>
      <c r="CX95" s="234" t="s">
        <v>754</v>
      </c>
      <c r="CY95" s="235" t="s">
        <v>755</v>
      </c>
      <c r="CZ95" s="112"/>
      <c r="DA95" s="279">
        <v>1</v>
      </c>
      <c r="DB95" s="160">
        <v>0</v>
      </c>
      <c r="DC95" s="160">
        <v>1</v>
      </c>
      <c r="DD95" s="160">
        <v>2</v>
      </c>
      <c r="DE95" s="280">
        <f t="shared" si="66"/>
        <v>4</v>
      </c>
      <c r="DF95" s="38"/>
      <c r="DG95" s="281"/>
      <c r="DH95" s="279">
        <v>2</v>
      </c>
      <c r="DI95" s="160">
        <v>1</v>
      </c>
      <c r="DJ95" s="160">
        <v>2</v>
      </c>
      <c r="DK95" s="280">
        <f t="shared" si="70"/>
        <v>5</v>
      </c>
      <c r="DL95" s="281"/>
      <c r="DM95" s="282"/>
      <c r="DN95" s="279">
        <v>1</v>
      </c>
      <c r="DO95" s="160">
        <v>0</v>
      </c>
      <c r="DP95" s="160">
        <f t="shared" si="67"/>
        <v>2</v>
      </c>
      <c r="DQ95" s="160">
        <v>2</v>
      </c>
      <c r="DR95" s="160">
        <v>2</v>
      </c>
      <c r="DS95" s="160">
        <f t="shared" si="68"/>
        <v>5</v>
      </c>
      <c r="DT95" s="280">
        <f t="shared" si="69"/>
        <v>7</v>
      </c>
      <c r="FG95" s="1" t="s">
        <v>947</v>
      </c>
      <c r="FH95" s="1">
        <v>1</v>
      </c>
      <c r="FI95" s="166" t="s">
        <v>470</v>
      </c>
      <c r="FJ95" s="166" t="s">
        <v>889</v>
      </c>
      <c r="FK95" s="166" t="s">
        <v>889</v>
      </c>
      <c r="FL95" s="166"/>
      <c r="FM95" s="1" t="s">
        <v>889</v>
      </c>
      <c r="FN95" s="1" t="s">
        <v>889</v>
      </c>
      <c r="FO95" s="301">
        <f t="shared" si="60"/>
        <v>21</v>
      </c>
      <c r="FP95" s="1"/>
      <c r="FQ95" s="302" t="str">
        <f>IF(FI95=0,"0",IF(FI95="5/16","5",IF(FI95="3/8","5.5",IF(FI95="1/2","7.5",IF(FI95="5/8","8.5",IF(FI95="3/4","9","5"))))))</f>
        <v>9</v>
      </c>
      <c r="FR95" s="302" t="str">
        <f t="shared" si="61"/>
        <v>3</v>
      </c>
      <c r="FS95" s="302" t="str">
        <f t="shared" si="61"/>
        <v>3</v>
      </c>
      <c r="FT95" s="302" t="str">
        <f t="shared" si="62"/>
        <v>2</v>
      </c>
      <c r="FU95" s="302" t="str">
        <f t="shared" si="63"/>
        <v>4</v>
      </c>
      <c r="FV95" s="324" t="str">
        <f t="shared" si="64"/>
        <v>9</v>
      </c>
      <c r="FW95" s="323" t="s">
        <v>947</v>
      </c>
      <c r="FX95" s="1"/>
      <c r="FY95" s="1" t="s">
        <v>976</v>
      </c>
      <c r="FZ95" s="1"/>
      <c r="GA95" s="1">
        <f t="shared" si="65"/>
        <v>9.9</v>
      </c>
      <c r="GB95" s="1"/>
      <c r="GD95" s="166" t="s">
        <v>468</v>
      </c>
    </row>
    <row r="96" spans="1:267" ht="15.75" thickBot="1" x14ac:dyDescent="0.3">
      <c r="A96" s="189" t="s">
        <v>381</v>
      </c>
      <c r="B96" s="12">
        <v>2</v>
      </c>
      <c r="C96" s="86" t="s">
        <v>382</v>
      </c>
      <c r="D96" s="12" t="s">
        <v>91</v>
      </c>
      <c r="E96" s="24"/>
      <c r="F96" s="190"/>
      <c r="G96" s="75"/>
      <c r="H96" s="189" t="s">
        <v>381</v>
      </c>
      <c r="I96" s="12">
        <v>2</v>
      </c>
      <c r="J96" s="86" t="s">
        <v>382</v>
      </c>
      <c r="K96" s="12" t="s">
        <v>84</v>
      </c>
      <c r="L96" s="24"/>
      <c r="M96" s="190"/>
      <c r="N96" s="75"/>
      <c r="O96" s="189" t="s">
        <v>381</v>
      </c>
      <c r="P96" s="12">
        <v>2</v>
      </c>
      <c r="Q96" s="86" t="s">
        <v>382</v>
      </c>
      <c r="R96" s="12" t="s">
        <v>80</v>
      </c>
      <c r="S96" s="24"/>
      <c r="T96" s="190"/>
      <c r="Y96" s="10" t="s">
        <v>28</v>
      </c>
      <c r="Z96" s="11">
        <v>1</v>
      </c>
      <c r="AA96" s="10" t="s">
        <v>43</v>
      </c>
      <c r="AB96" s="12" t="s">
        <v>78</v>
      </c>
      <c r="AC96" s="149">
        <f>Z96*30</f>
        <v>30</v>
      </c>
      <c r="AD96" s="53"/>
      <c r="AE96" s="95">
        <v>45566</v>
      </c>
      <c r="AF96" s="32" t="s">
        <v>554</v>
      </c>
      <c r="AG96" s="75"/>
      <c r="AH96" s="10" t="s">
        <v>28</v>
      </c>
      <c r="AI96" s="11">
        <v>1</v>
      </c>
      <c r="AJ96" s="10" t="s">
        <v>149</v>
      </c>
      <c r="AK96" s="12" t="s">
        <v>78</v>
      </c>
      <c r="AL96" s="149">
        <f>AI96*40</f>
        <v>40</v>
      </c>
      <c r="AM96" s="53"/>
      <c r="AN96" s="95">
        <v>45475</v>
      </c>
      <c r="AO96" s="32" t="s">
        <v>554</v>
      </c>
      <c r="AQ96" s="582"/>
      <c r="AR96" s="582"/>
      <c r="AS96" s="582"/>
      <c r="AT96" s="582"/>
      <c r="AU96" s="582"/>
      <c r="AX96" s="10" t="s">
        <v>28</v>
      </c>
      <c r="AY96" s="11">
        <v>1</v>
      </c>
      <c r="AZ96" s="10" t="s">
        <v>43</v>
      </c>
      <c r="BA96" s="12" t="s">
        <v>29</v>
      </c>
      <c r="BB96" s="149">
        <f>AY96*47</f>
        <v>47</v>
      </c>
      <c r="BC96" s="53"/>
      <c r="BD96" s="95">
        <v>45715</v>
      </c>
      <c r="BE96" s="23" t="s">
        <v>336</v>
      </c>
      <c r="BF96" s="75"/>
      <c r="BG96" s="10" t="s">
        <v>28</v>
      </c>
      <c r="BH96" s="11">
        <v>1</v>
      </c>
      <c r="BI96" s="10" t="s">
        <v>149</v>
      </c>
      <c r="BJ96" s="12" t="s">
        <v>29</v>
      </c>
      <c r="BK96" s="149">
        <f>BH96*121</f>
        <v>121</v>
      </c>
      <c r="BL96" s="53"/>
      <c r="BM96" s="95"/>
      <c r="BN96" s="23" t="s">
        <v>336</v>
      </c>
      <c r="BP96" s="582"/>
      <c r="BQ96" s="582"/>
      <c r="BR96" s="582"/>
      <c r="BS96" s="582"/>
      <c r="BT96" s="582"/>
      <c r="BX96" s="10" t="s">
        <v>28</v>
      </c>
      <c r="BY96" s="11">
        <v>1</v>
      </c>
      <c r="BZ96" s="10" t="s">
        <v>43</v>
      </c>
      <c r="CA96" s="12" t="s">
        <v>75</v>
      </c>
      <c r="CB96" s="149">
        <f>BY96*73.82</f>
        <v>73.819999999999993</v>
      </c>
      <c r="CC96" s="22"/>
      <c r="CD96" s="95">
        <v>45782</v>
      </c>
      <c r="CE96" s="32" t="s">
        <v>284</v>
      </c>
      <c r="CF96" s="75"/>
      <c r="CG96" s="10" t="s">
        <v>28</v>
      </c>
      <c r="CH96" s="11">
        <v>1</v>
      </c>
      <c r="CI96" s="10" t="s">
        <v>149</v>
      </c>
      <c r="CJ96" s="88" t="s">
        <v>75</v>
      </c>
      <c r="CK96" s="149">
        <f>CH96*148</f>
        <v>148</v>
      </c>
      <c r="CL96" s="145"/>
      <c r="CM96" s="95"/>
      <c r="CN96" s="32" t="s">
        <v>284</v>
      </c>
      <c r="CP96" s="582"/>
      <c r="CQ96" s="582"/>
      <c r="CR96" s="582"/>
      <c r="CS96" s="582"/>
      <c r="CT96" s="582"/>
      <c r="CX96" s="386" t="s">
        <v>832</v>
      </c>
      <c r="CY96" s="387" t="s">
        <v>833</v>
      </c>
      <c r="CZ96" s="112"/>
      <c r="DA96" s="279">
        <v>1</v>
      </c>
      <c r="DB96" s="160">
        <v>0</v>
      </c>
      <c r="DC96" s="160">
        <v>2</v>
      </c>
      <c r="DD96" s="160">
        <v>3</v>
      </c>
      <c r="DE96" s="280">
        <f t="shared" si="66"/>
        <v>6</v>
      </c>
      <c r="DF96" s="38"/>
      <c r="DG96" s="281"/>
      <c r="DH96" s="279">
        <v>2</v>
      </c>
      <c r="DI96" s="160">
        <v>2</v>
      </c>
      <c r="DJ96" s="160">
        <v>3</v>
      </c>
      <c r="DK96" s="280">
        <f t="shared" si="70"/>
        <v>7</v>
      </c>
      <c r="DL96" s="281"/>
      <c r="DM96" s="282"/>
      <c r="DN96" s="279">
        <v>1</v>
      </c>
      <c r="DO96" s="160">
        <v>0</v>
      </c>
      <c r="DP96" s="160">
        <f t="shared" si="67"/>
        <v>2</v>
      </c>
      <c r="DQ96" s="160">
        <v>2</v>
      </c>
      <c r="DR96" s="160">
        <v>2</v>
      </c>
      <c r="DS96" s="160">
        <f t="shared" si="68"/>
        <v>5</v>
      </c>
      <c r="DT96" s="280">
        <f t="shared" si="69"/>
        <v>7</v>
      </c>
      <c r="FG96" s="1" t="s">
        <v>948</v>
      </c>
      <c r="FH96" s="1">
        <v>1</v>
      </c>
      <c r="FI96" s="166" t="s">
        <v>470</v>
      </c>
      <c r="FJ96" s="166" t="s">
        <v>889</v>
      </c>
      <c r="FK96" s="166" t="s">
        <v>889</v>
      </c>
      <c r="FL96" s="166"/>
      <c r="FM96" s="1" t="s">
        <v>889</v>
      </c>
      <c r="FN96" s="1" t="s">
        <v>889</v>
      </c>
      <c r="FO96" s="301">
        <f t="shared" si="60"/>
        <v>23.5</v>
      </c>
      <c r="FP96" s="1"/>
      <c r="FQ96" s="302" t="str">
        <f>IF(FI96=0,"0",IF(FI96="5/16","7",IF(FI96="3/8","7.5",IF(FI96="1/2","9",IF(FI96="5/8","10.5",IF(FI96="3/4","11.5","7"))))))</f>
        <v>11.5</v>
      </c>
      <c r="FR96" s="302" t="str">
        <f t="shared" si="61"/>
        <v>3</v>
      </c>
      <c r="FS96" s="302" t="str">
        <f t="shared" si="61"/>
        <v>3</v>
      </c>
      <c r="FT96" s="302" t="str">
        <f t="shared" si="62"/>
        <v>2</v>
      </c>
      <c r="FU96" s="302" t="str">
        <f t="shared" si="63"/>
        <v>4</v>
      </c>
      <c r="FV96" s="324" t="str">
        <f t="shared" si="64"/>
        <v>11.5</v>
      </c>
      <c r="FW96" s="323" t="s">
        <v>948</v>
      </c>
      <c r="FX96" s="1"/>
      <c r="FY96" s="1" t="s">
        <v>967</v>
      </c>
      <c r="FZ96" s="1"/>
      <c r="GA96" s="1">
        <f t="shared" si="65"/>
        <v>12.65</v>
      </c>
      <c r="GB96" s="1"/>
      <c r="GD96" s="166" t="s">
        <v>469</v>
      </c>
    </row>
    <row r="97" spans="1:186" ht="15.75" thickBot="1" x14ac:dyDescent="0.3">
      <c r="A97" s="189" t="s">
        <v>81</v>
      </c>
      <c r="B97" s="12">
        <v>1</v>
      </c>
      <c r="C97" s="86" t="s">
        <v>228</v>
      </c>
      <c r="D97" s="12" t="s">
        <v>91</v>
      </c>
      <c r="E97" s="24"/>
      <c r="F97" s="190"/>
      <c r="G97" s="75"/>
      <c r="H97" s="189" t="s">
        <v>81</v>
      </c>
      <c r="I97" s="12">
        <v>1</v>
      </c>
      <c r="J97" s="86" t="s">
        <v>228</v>
      </c>
      <c r="K97" s="12" t="s">
        <v>84</v>
      </c>
      <c r="L97" s="24"/>
      <c r="M97" s="190"/>
      <c r="N97" s="75"/>
      <c r="O97" s="189" t="s">
        <v>81</v>
      </c>
      <c r="P97" s="12">
        <v>1</v>
      </c>
      <c r="Q97" s="86" t="s">
        <v>228</v>
      </c>
      <c r="R97" s="12" t="s">
        <v>80</v>
      </c>
      <c r="S97" s="24"/>
      <c r="T97" s="190"/>
      <c r="Y97" s="10" t="s">
        <v>28</v>
      </c>
      <c r="Z97" s="11">
        <v>1</v>
      </c>
      <c r="AA97" s="10" t="s">
        <v>45</v>
      </c>
      <c r="AB97" s="12" t="s">
        <v>78</v>
      </c>
      <c r="AC97" s="111"/>
      <c r="AD97" s="50"/>
      <c r="AE97" s="95"/>
      <c r="AF97" s="32" t="s">
        <v>554</v>
      </c>
      <c r="AG97" s="75"/>
      <c r="AH97" s="10" t="s">
        <v>28</v>
      </c>
      <c r="AI97" s="11">
        <v>1</v>
      </c>
      <c r="AJ97" s="10" t="s">
        <v>160</v>
      </c>
      <c r="AK97" s="12" t="s">
        <v>78</v>
      </c>
      <c r="AL97" s="111"/>
      <c r="AM97" s="50"/>
      <c r="AN97" s="95"/>
      <c r="AO97" s="32" t="s">
        <v>554</v>
      </c>
      <c r="AQ97" s="582"/>
      <c r="AR97" s="582"/>
      <c r="AS97" s="582"/>
      <c r="AT97" s="582"/>
      <c r="AU97" s="582"/>
      <c r="AX97" s="10" t="s">
        <v>28</v>
      </c>
      <c r="AY97" s="11">
        <v>1</v>
      </c>
      <c r="AZ97" s="10" t="s">
        <v>45</v>
      </c>
      <c r="BA97" s="12" t="s">
        <v>29</v>
      </c>
      <c r="BB97" s="111">
        <f>AY97*72</f>
        <v>72</v>
      </c>
      <c r="BC97" s="50"/>
      <c r="BD97" s="95">
        <v>45432</v>
      </c>
      <c r="BE97" s="23" t="s">
        <v>336</v>
      </c>
      <c r="BF97" s="75"/>
      <c r="BG97" s="10" t="s">
        <v>28</v>
      </c>
      <c r="BH97" s="11">
        <v>1</v>
      </c>
      <c r="BI97" s="10" t="s">
        <v>160</v>
      </c>
      <c r="BJ97" s="12" t="s">
        <v>29</v>
      </c>
      <c r="BK97" s="111"/>
      <c r="BL97" s="50"/>
      <c r="BM97" s="95"/>
      <c r="BN97" s="23" t="s">
        <v>336</v>
      </c>
      <c r="BP97" s="582"/>
      <c r="BQ97" s="582"/>
      <c r="BR97" s="582"/>
      <c r="BS97" s="582"/>
      <c r="BT97" s="582"/>
      <c r="BX97" s="10" t="s">
        <v>28</v>
      </c>
      <c r="BY97" s="11">
        <v>1</v>
      </c>
      <c r="BZ97" s="10" t="s">
        <v>45</v>
      </c>
      <c r="CA97" s="12" t="s">
        <v>75</v>
      </c>
      <c r="CB97" s="111"/>
      <c r="CC97" s="26"/>
      <c r="CD97" s="95"/>
      <c r="CE97" s="32" t="s">
        <v>284</v>
      </c>
      <c r="CF97" s="75"/>
      <c r="CG97" s="10" t="s">
        <v>28</v>
      </c>
      <c r="CH97" s="11">
        <v>1</v>
      </c>
      <c r="CI97" s="10" t="s">
        <v>160</v>
      </c>
      <c r="CJ97" s="12" t="s">
        <v>75</v>
      </c>
      <c r="CK97" s="111"/>
      <c r="CL97" s="26"/>
      <c r="CM97" s="95"/>
      <c r="CN97" s="32" t="s">
        <v>284</v>
      </c>
      <c r="CP97" s="582"/>
      <c r="CQ97" s="582"/>
      <c r="CR97" s="582"/>
      <c r="CS97" s="582"/>
      <c r="CT97" s="582"/>
      <c r="CX97" s="234" t="s">
        <v>834</v>
      </c>
      <c r="CY97" s="235" t="s">
        <v>835</v>
      </c>
      <c r="CZ97" s="112"/>
      <c r="DA97" s="279">
        <v>1</v>
      </c>
      <c r="DB97" s="160">
        <v>3</v>
      </c>
      <c r="DC97" s="160">
        <v>2</v>
      </c>
      <c r="DD97" s="160">
        <v>3</v>
      </c>
      <c r="DE97" s="280">
        <f t="shared" si="66"/>
        <v>9</v>
      </c>
      <c r="DF97" s="38"/>
      <c r="DG97" s="281"/>
      <c r="DH97" s="279">
        <v>2</v>
      </c>
      <c r="DI97" s="160">
        <v>2</v>
      </c>
      <c r="DJ97" s="160">
        <v>3</v>
      </c>
      <c r="DK97" s="280">
        <f t="shared" si="70"/>
        <v>7</v>
      </c>
      <c r="DL97" s="281"/>
      <c r="DM97" s="282"/>
      <c r="DN97" s="279">
        <v>1</v>
      </c>
      <c r="DO97" s="160">
        <v>3</v>
      </c>
      <c r="DP97" s="160">
        <f t="shared" si="67"/>
        <v>5</v>
      </c>
      <c r="DQ97" s="160">
        <v>2</v>
      </c>
      <c r="DR97" s="160">
        <v>2</v>
      </c>
      <c r="DS97" s="160">
        <f t="shared" si="68"/>
        <v>8</v>
      </c>
      <c r="DT97" s="280">
        <f t="shared" si="69"/>
        <v>10</v>
      </c>
      <c r="FG97" s="1" t="s">
        <v>949</v>
      </c>
      <c r="FH97" s="1">
        <v>1</v>
      </c>
      <c r="FI97" s="166" t="s">
        <v>470</v>
      </c>
      <c r="FJ97" s="166" t="s">
        <v>889</v>
      </c>
      <c r="FK97" s="166" t="s">
        <v>889</v>
      </c>
      <c r="FL97" s="166"/>
      <c r="FM97" s="1" t="s">
        <v>889</v>
      </c>
      <c r="FN97" s="1" t="s">
        <v>889</v>
      </c>
      <c r="FO97" s="301">
        <f t="shared" si="60"/>
        <v>26</v>
      </c>
      <c r="FP97" s="1"/>
      <c r="FQ97" s="302" t="str">
        <f>IF(FI97=0,"0",IF(FI97="5/16","8",IF(FI97="3/8","8.5",IF(FI97="1/2","11",IF(FI97="5/8","13",IF(FI97="3/4","14","8"))))))</f>
        <v>14</v>
      </c>
      <c r="FR97" s="302" t="str">
        <f t="shared" si="61"/>
        <v>3</v>
      </c>
      <c r="FS97" s="302" t="str">
        <f t="shared" si="61"/>
        <v>3</v>
      </c>
      <c r="FT97" s="302" t="str">
        <f t="shared" si="62"/>
        <v>2</v>
      </c>
      <c r="FU97" s="302" t="str">
        <f t="shared" si="63"/>
        <v>4</v>
      </c>
      <c r="FV97" s="324" t="str">
        <f t="shared" si="64"/>
        <v>14</v>
      </c>
      <c r="FW97" s="323" t="s">
        <v>949</v>
      </c>
      <c r="FX97" s="1"/>
      <c r="FY97" s="1" t="s">
        <v>989</v>
      </c>
      <c r="FZ97" s="1"/>
      <c r="GA97" s="1">
        <f t="shared" si="65"/>
        <v>15.400000000000002</v>
      </c>
      <c r="GB97" s="1"/>
      <c r="GD97" s="166" t="s">
        <v>470</v>
      </c>
    </row>
    <row r="98" spans="1:186" ht="15.75" thickBot="1" x14ac:dyDescent="0.3">
      <c r="A98" s="189" t="s">
        <v>82</v>
      </c>
      <c r="B98" s="12">
        <v>1</v>
      </c>
      <c r="C98" s="86" t="s">
        <v>90</v>
      </c>
      <c r="D98" s="12" t="s">
        <v>91</v>
      </c>
      <c r="E98" s="24"/>
      <c r="F98" s="190"/>
      <c r="G98" s="75"/>
      <c r="H98" s="189" t="s">
        <v>82</v>
      </c>
      <c r="I98" s="12">
        <v>1</v>
      </c>
      <c r="J98" s="86" t="s">
        <v>90</v>
      </c>
      <c r="K98" s="12" t="s">
        <v>84</v>
      </c>
      <c r="L98" s="24"/>
      <c r="M98" s="190"/>
      <c r="N98" s="75"/>
      <c r="O98" s="189" t="s">
        <v>82</v>
      </c>
      <c r="P98" s="12">
        <v>1</v>
      </c>
      <c r="Q98" s="86" t="s">
        <v>90</v>
      </c>
      <c r="R98" s="12" t="s">
        <v>80</v>
      </c>
      <c r="S98" s="24"/>
      <c r="T98" s="190"/>
      <c r="Y98" s="10" t="s">
        <v>28</v>
      </c>
      <c r="Z98" s="11">
        <v>1</v>
      </c>
      <c r="AA98" s="10" t="s">
        <v>48</v>
      </c>
      <c r="AB98" s="12" t="s">
        <v>78</v>
      </c>
      <c r="AC98" s="145">
        <f>Z98*48</f>
        <v>48</v>
      </c>
      <c r="AD98" s="50"/>
      <c r="AE98" s="95">
        <v>45566</v>
      </c>
      <c r="AF98" s="32" t="s">
        <v>554</v>
      </c>
      <c r="AG98" s="75"/>
      <c r="AH98" s="10" t="s">
        <v>28</v>
      </c>
      <c r="AI98" s="11">
        <v>1</v>
      </c>
      <c r="AJ98" s="10" t="s">
        <v>162</v>
      </c>
      <c r="AK98" s="12" t="s">
        <v>78</v>
      </c>
      <c r="AL98" s="145">
        <f>AI98*55</f>
        <v>55</v>
      </c>
      <c r="AM98" s="93"/>
      <c r="AN98" s="95">
        <v>45475</v>
      </c>
      <c r="AO98" s="32" t="s">
        <v>554</v>
      </c>
      <c r="AX98" s="10" t="s">
        <v>28</v>
      </c>
      <c r="AY98" s="11">
        <v>1</v>
      </c>
      <c r="AZ98" s="10" t="s">
        <v>48</v>
      </c>
      <c r="BA98" s="12" t="s">
        <v>29</v>
      </c>
      <c r="BB98" s="145">
        <f>AY98*84</f>
        <v>84</v>
      </c>
      <c r="BC98" s="50"/>
      <c r="BD98" s="95">
        <v>45715</v>
      </c>
      <c r="BE98" s="23" t="s">
        <v>336</v>
      </c>
      <c r="BF98" s="75"/>
      <c r="BG98" s="10" t="s">
        <v>28</v>
      </c>
      <c r="BH98" s="11">
        <v>1</v>
      </c>
      <c r="BI98" s="10" t="s">
        <v>162</v>
      </c>
      <c r="BJ98" s="12" t="s">
        <v>29</v>
      </c>
      <c r="BK98" s="145">
        <f>BH98*239</f>
        <v>239</v>
      </c>
      <c r="BL98" s="50"/>
      <c r="BM98" s="95"/>
      <c r="BN98" s="23" t="s">
        <v>336</v>
      </c>
      <c r="BX98" s="10" t="s">
        <v>28</v>
      </c>
      <c r="BY98" s="11">
        <v>1</v>
      </c>
      <c r="BZ98" s="10" t="s">
        <v>48</v>
      </c>
      <c r="CA98" s="12" t="s">
        <v>75</v>
      </c>
      <c r="CB98" s="145">
        <f>BY98*122</f>
        <v>122</v>
      </c>
      <c r="CC98" s="26"/>
      <c r="CD98" s="95">
        <v>45715</v>
      </c>
      <c r="CE98" s="32" t="s">
        <v>284</v>
      </c>
      <c r="CF98" s="75"/>
      <c r="CG98" s="10" t="s">
        <v>28</v>
      </c>
      <c r="CH98" s="11">
        <v>1</v>
      </c>
      <c r="CI98" s="10" t="s">
        <v>162</v>
      </c>
      <c r="CJ98" s="12" t="s">
        <v>75</v>
      </c>
      <c r="CK98" s="145">
        <f>CH98*315</f>
        <v>315</v>
      </c>
      <c r="CL98" s="26"/>
      <c r="CM98" s="95"/>
      <c r="CN98" s="32" t="s">
        <v>284</v>
      </c>
      <c r="CX98" s="234" t="s">
        <v>763</v>
      </c>
      <c r="CY98" s="235" t="s">
        <v>764</v>
      </c>
      <c r="CZ98" s="112"/>
      <c r="DA98" s="279">
        <v>1</v>
      </c>
      <c r="DB98" s="160">
        <v>3</v>
      </c>
      <c r="DC98" s="160">
        <v>2</v>
      </c>
      <c r="DD98" s="160">
        <v>3</v>
      </c>
      <c r="DE98" s="280">
        <f t="shared" si="66"/>
        <v>9</v>
      </c>
      <c r="DF98" s="38"/>
      <c r="DG98" s="281"/>
      <c r="DH98" s="279">
        <v>2</v>
      </c>
      <c r="DI98" s="160">
        <v>2</v>
      </c>
      <c r="DJ98" s="160">
        <v>3</v>
      </c>
      <c r="DK98" s="280">
        <f t="shared" si="70"/>
        <v>7</v>
      </c>
      <c r="DL98" s="281"/>
      <c r="DM98" s="282"/>
      <c r="DN98" s="279">
        <v>1</v>
      </c>
      <c r="DO98" s="160">
        <v>3</v>
      </c>
      <c r="DP98" s="160">
        <f t="shared" si="67"/>
        <v>5</v>
      </c>
      <c r="DQ98" s="160">
        <v>3</v>
      </c>
      <c r="DR98" s="160">
        <v>3</v>
      </c>
      <c r="DS98" s="160">
        <f t="shared" si="68"/>
        <v>10</v>
      </c>
      <c r="DT98" s="280">
        <f t="shared" si="69"/>
        <v>12</v>
      </c>
      <c r="FG98" s="1" t="s">
        <v>950</v>
      </c>
      <c r="FH98" s="1">
        <v>1</v>
      </c>
      <c r="FI98" s="166" t="s">
        <v>470</v>
      </c>
      <c r="FJ98" s="166" t="s">
        <v>889</v>
      </c>
      <c r="FK98" s="166" t="s">
        <v>889</v>
      </c>
      <c r="FL98" s="166"/>
      <c r="FM98" s="1" t="s">
        <v>889</v>
      </c>
      <c r="FN98" s="1" t="s">
        <v>889</v>
      </c>
      <c r="FO98" s="301">
        <f t="shared" si="60"/>
        <v>30</v>
      </c>
      <c r="FP98" s="1"/>
      <c r="FQ98" s="302" t="str">
        <f>IF(FI98=0,"0",IF(FI98="5/16","10",IF(FI98="3/8","10.5",IF(FI98="1/2","13.5",IF(FI98="5/8","15.5",IF(FI98="3/4","16","10"))))))</f>
        <v>16</v>
      </c>
      <c r="FR98" s="302" t="str">
        <f t="shared" ref="FR98:FS101" si="71">IF(FJ98="Yes","4","0")</f>
        <v>4</v>
      </c>
      <c r="FS98" s="302" t="str">
        <f t="shared" si="71"/>
        <v>4</v>
      </c>
      <c r="FT98" s="302" t="str">
        <f t="shared" si="62"/>
        <v>2</v>
      </c>
      <c r="FU98" s="302" t="str">
        <f t="shared" si="63"/>
        <v>4</v>
      </c>
      <c r="FV98" s="324" t="str">
        <f t="shared" si="64"/>
        <v>16</v>
      </c>
      <c r="FW98" s="323" t="s">
        <v>950</v>
      </c>
      <c r="FX98" s="1"/>
      <c r="FY98" s="1" t="s">
        <v>990</v>
      </c>
      <c r="FZ98" s="1"/>
      <c r="GA98" s="1">
        <f t="shared" si="65"/>
        <v>17.600000000000001</v>
      </c>
      <c r="GB98" s="1"/>
      <c r="GD98" s="166"/>
    </row>
    <row r="99" spans="1:186" ht="15.75" thickBot="1" x14ac:dyDescent="0.3">
      <c r="A99" s="189"/>
      <c r="B99" s="12">
        <v>1</v>
      </c>
      <c r="C99" s="86" t="s">
        <v>90</v>
      </c>
      <c r="D99" s="12" t="s">
        <v>91</v>
      </c>
      <c r="E99" s="24"/>
      <c r="F99" s="190"/>
      <c r="G99" s="75"/>
      <c r="H99" s="189"/>
      <c r="I99" s="12">
        <v>1</v>
      </c>
      <c r="J99" s="86" t="s">
        <v>90</v>
      </c>
      <c r="K99" s="12" t="s">
        <v>84</v>
      </c>
      <c r="L99" s="24"/>
      <c r="M99" s="190"/>
      <c r="N99" s="75"/>
      <c r="O99" s="189"/>
      <c r="P99" s="12">
        <v>1</v>
      </c>
      <c r="Q99" s="86" t="s">
        <v>90</v>
      </c>
      <c r="R99" s="12" t="s">
        <v>80</v>
      </c>
      <c r="S99" s="24"/>
      <c r="T99" s="190"/>
      <c r="Y99" s="10" t="s">
        <v>28</v>
      </c>
      <c r="Z99" s="11">
        <v>1</v>
      </c>
      <c r="AA99" s="10" t="s">
        <v>51</v>
      </c>
      <c r="AB99" s="12" t="s">
        <v>78</v>
      </c>
      <c r="AC99" s="145">
        <f>Z99*50</f>
        <v>50</v>
      </c>
      <c r="AD99" s="50"/>
      <c r="AE99" s="95">
        <v>45566</v>
      </c>
      <c r="AF99" s="32" t="s">
        <v>554</v>
      </c>
      <c r="AG99" s="75"/>
      <c r="AH99" s="10" t="s">
        <v>28</v>
      </c>
      <c r="AI99" s="11">
        <v>1</v>
      </c>
      <c r="AJ99" s="10" t="s">
        <v>164</v>
      </c>
      <c r="AK99" s="12" t="s">
        <v>78</v>
      </c>
      <c r="AL99" s="145">
        <f>AI99*80</f>
        <v>80</v>
      </c>
      <c r="AM99" s="50"/>
      <c r="AN99" s="95">
        <v>45475</v>
      </c>
      <c r="AO99" s="32" t="s">
        <v>554</v>
      </c>
      <c r="AX99" s="10" t="s">
        <v>28</v>
      </c>
      <c r="AY99" s="11">
        <v>1</v>
      </c>
      <c r="AZ99" s="10" t="s">
        <v>51</v>
      </c>
      <c r="BA99" s="12" t="s">
        <v>29</v>
      </c>
      <c r="BB99" s="145">
        <f>AY99*120</f>
        <v>120</v>
      </c>
      <c r="BC99" s="93"/>
      <c r="BD99" s="95">
        <v>45715</v>
      </c>
      <c r="BE99" s="23" t="s">
        <v>336</v>
      </c>
      <c r="BF99" s="75"/>
      <c r="BG99" s="10" t="s">
        <v>28</v>
      </c>
      <c r="BH99" s="11">
        <v>1</v>
      </c>
      <c r="BI99" s="10" t="s">
        <v>164</v>
      </c>
      <c r="BJ99" s="12" t="s">
        <v>29</v>
      </c>
      <c r="BK99" s="145">
        <f>BH99*346</f>
        <v>346</v>
      </c>
      <c r="BL99" s="50"/>
      <c r="BM99" s="95"/>
      <c r="BN99" s="23" t="s">
        <v>336</v>
      </c>
      <c r="BX99" s="10" t="s">
        <v>28</v>
      </c>
      <c r="BY99" s="11">
        <v>1</v>
      </c>
      <c r="BZ99" s="10" t="s">
        <v>51</v>
      </c>
      <c r="CA99" s="12" t="s">
        <v>75</v>
      </c>
      <c r="CB99" s="145">
        <f>BY99*191</f>
        <v>191</v>
      </c>
      <c r="CC99" s="26"/>
      <c r="CD99" s="95">
        <v>45782</v>
      </c>
      <c r="CE99" s="32" t="s">
        <v>284</v>
      </c>
      <c r="CF99" s="75"/>
      <c r="CG99" s="10" t="s">
        <v>28</v>
      </c>
      <c r="CH99" s="11">
        <v>1</v>
      </c>
      <c r="CI99" s="10" t="s">
        <v>164</v>
      </c>
      <c r="CJ99" s="12" t="s">
        <v>75</v>
      </c>
      <c r="CK99" s="145">
        <f>CH99*428</f>
        <v>428</v>
      </c>
      <c r="CL99" s="93"/>
      <c r="CM99" s="95"/>
      <c r="CN99" s="32" t="s">
        <v>284</v>
      </c>
      <c r="CX99" s="234" t="s">
        <v>765</v>
      </c>
      <c r="CY99" s="235" t="s">
        <v>766</v>
      </c>
      <c r="CZ99" s="112"/>
      <c r="DA99" s="279">
        <v>1</v>
      </c>
      <c r="DB99" s="160">
        <v>3</v>
      </c>
      <c r="DC99" s="160">
        <v>2</v>
      </c>
      <c r="DD99" s="160">
        <v>3</v>
      </c>
      <c r="DE99" s="280">
        <f t="shared" si="66"/>
        <v>9</v>
      </c>
      <c r="DF99" s="38"/>
      <c r="DG99" s="281"/>
      <c r="DH99" s="279">
        <v>2</v>
      </c>
      <c r="DI99" s="160">
        <v>3</v>
      </c>
      <c r="DJ99" s="160">
        <v>3</v>
      </c>
      <c r="DK99" s="280">
        <f t="shared" si="70"/>
        <v>8</v>
      </c>
      <c r="DL99" s="281"/>
      <c r="DM99" s="282"/>
      <c r="DN99" s="279">
        <v>1</v>
      </c>
      <c r="DO99" s="160">
        <v>3</v>
      </c>
      <c r="DP99" s="160">
        <f t="shared" si="67"/>
        <v>5</v>
      </c>
      <c r="DQ99" s="160">
        <v>3</v>
      </c>
      <c r="DR99" s="160">
        <v>3</v>
      </c>
      <c r="DS99" s="160">
        <f t="shared" si="68"/>
        <v>10</v>
      </c>
      <c r="DT99" s="280">
        <f t="shared" si="69"/>
        <v>12</v>
      </c>
      <c r="FG99" s="1" t="s">
        <v>951</v>
      </c>
      <c r="FH99" s="1">
        <v>1</v>
      </c>
      <c r="FI99" s="166" t="s">
        <v>470</v>
      </c>
      <c r="FJ99" s="166" t="s">
        <v>889</v>
      </c>
      <c r="FK99" s="166" t="s">
        <v>889</v>
      </c>
      <c r="FL99" s="166"/>
      <c r="FM99" s="1" t="s">
        <v>889</v>
      </c>
      <c r="FN99" s="1" t="s">
        <v>889</v>
      </c>
      <c r="FO99" s="301">
        <f t="shared" si="60"/>
        <v>36</v>
      </c>
      <c r="FP99" s="1"/>
      <c r="FQ99" s="302" t="str">
        <f>IF(FI99=0,"0",IF(FI99="5/16","12",IF(FI99="3/8","13",IF(FI99="1/2","17",IF(FI99="5/8","20",IF(FI99="3/4","22","12"))))))</f>
        <v>22</v>
      </c>
      <c r="FR99" s="302" t="str">
        <f t="shared" si="71"/>
        <v>4</v>
      </c>
      <c r="FS99" s="302" t="str">
        <f t="shared" si="71"/>
        <v>4</v>
      </c>
      <c r="FT99" s="302" t="str">
        <f t="shared" si="62"/>
        <v>2</v>
      </c>
      <c r="FU99" s="302" t="str">
        <f t="shared" si="63"/>
        <v>4</v>
      </c>
      <c r="FV99" s="324" t="str">
        <f t="shared" si="64"/>
        <v>22</v>
      </c>
      <c r="FW99" s="323" t="s">
        <v>951</v>
      </c>
      <c r="FX99" s="1"/>
      <c r="FY99" s="1" t="s">
        <v>969</v>
      </c>
      <c r="FZ99" s="1"/>
      <c r="GA99" s="1">
        <f t="shared" si="65"/>
        <v>24.200000000000003</v>
      </c>
      <c r="GB99" s="1"/>
      <c r="GD99" s="166"/>
    </row>
    <row r="100" spans="1:186" ht="15.75" thickBot="1" x14ac:dyDescent="0.3">
      <c r="A100" s="189" t="s">
        <v>380</v>
      </c>
      <c r="B100" s="12">
        <v>1</v>
      </c>
      <c r="C100" s="86" t="s">
        <v>90</v>
      </c>
      <c r="D100" s="12" t="s">
        <v>91</v>
      </c>
      <c r="E100" s="24"/>
      <c r="F100" s="190"/>
      <c r="G100" s="75"/>
      <c r="H100" s="189" t="s">
        <v>380</v>
      </c>
      <c r="I100" s="12">
        <v>1</v>
      </c>
      <c r="J100" s="86" t="s">
        <v>90</v>
      </c>
      <c r="K100" s="12" t="s">
        <v>84</v>
      </c>
      <c r="L100" s="24"/>
      <c r="M100" s="190"/>
      <c r="N100" s="75"/>
      <c r="O100" s="189" t="s">
        <v>380</v>
      </c>
      <c r="P100" s="12">
        <v>1</v>
      </c>
      <c r="Q100" s="86" t="s">
        <v>90</v>
      </c>
      <c r="R100" s="12" t="s">
        <v>80</v>
      </c>
      <c r="S100" s="24"/>
      <c r="T100" s="190"/>
      <c r="Y100" s="10" t="s">
        <v>28</v>
      </c>
      <c r="Z100" s="11">
        <v>1</v>
      </c>
      <c r="AA100" s="10" t="s">
        <v>53</v>
      </c>
      <c r="AB100" s="12" t="s">
        <v>78</v>
      </c>
      <c r="AC100" s="149">
        <f>Z100*75</f>
        <v>75</v>
      </c>
      <c r="AD100" s="50"/>
      <c r="AE100" s="95">
        <v>45397</v>
      </c>
      <c r="AF100" s="32" t="s">
        <v>554</v>
      </c>
      <c r="AG100" s="75"/>
      <c r="AH100" s="10" t="s">
        <v>28</v>
      </c>
      <c r="AI100" s="11">
        <v>1</v>
      </c>
      <c r="AJ100" s="10" t="s">
        <v>166</v>
      </c>
      <c r="AK100" s="12" t="s">
        <v>78</v>
      </c>
      <c r="AL100" s="149">
        <f>AI100*100</f>
        <v>100</v>
      </c>
      <c r="AM100" s="50"/>
      <c r="AN100" s="95">
        <v>45475</v>
      </c>
      <c r="AO100" s="32" t="s">
        <v>554</v>
      </c>
      <c r="AX100" s="10" t="s">
        <v>28</v>
      </c>
      <c r="AY100" s="11">
        <v>1</v>
      </c>
      <c r="AZ100" s="10" t="s">
        <v>53</v>
      </c>
      <c r="BA100" s="12" t="s">
        <v>29</v>
      </c>
      <c r="BB100" s="149">
        <f>AY100*162</f>
        <v>162</v>
      </c>
      <c r="BC100" s="93"/>
      <c r="BD100" s="95">
        <v>45715</v>
      </c>
      <c r="BE100" s="23" t="s">
        <v>336</v>
      </c>
      <c r="BF100" s="75"/>
      <c r="BG100" s="10" t="s">
        <v>28</v>
      </c>
      <c r="BH100" s="11">
        <v>1</v>
      </c>
      <c r="BI100" s="10" t="s">
        <v>166</v>
      </c>
      <c r="BJ100" s="12" t="s">
        <v>29</v>
      </c>
      <c r="BK100" s="149">
        <f>BH100*507</f>
        <v>507</v>
      </c>
      <c r="BL100" s="50"/>
      <c r="BM100" s="95"/>
      <c r="BN100" s="23" t="s">
        <v>336</v>
      </c>
      <c r="BX100" s="10" t="s">
        <v>28</v>
      </c>
      <c r="BY100" s="11">
        <v>1</v>
      </c>
      <c r="BZ100" s="10" t="s">
        <v>53</v>
      </c>
      <c r="CA100" s="12" t="s">
        <v>75</v>
      </c>
      <c r="CB100" s="149"/>
      <c r="CC100" s="93"/>
      <c r="CD100" s="95">
        <v>45715</v>
      </c>
      <c r="CE100" s="32" t="s">
        <v>284</v>
      </c>
      <c r="CF100" s="75"/>
      <c r="CG100" s="10" t="s">
        <v>28</v>
      </c>
      <c r="CH100" s="11">
        <v>1</v>
      </c>
      <c r="CI100" s="10" t="s">
        <v>166</v>
      </c>
      <c r="CJ100" s="88" t="s">
        <v>75</v>
      </c>
      <c r="CK100" s="149">
        <f>CH100*706</f>
        <v>706</v>
      </c>
      <c r="CL100" s="93"/>
      <c r="CM100" s="95"/>
      <c r="CN100" s="32" t="s">
        <v>284</v>
      </c>
      <c r="CX100" s="234" t="s">
        <v>767</v>
      </c>
      <c r="CY100" s="235" t="s">
        <v>768</v>
      </c>
      <c r="CZ100" s="112"/>
      <c r="DA100" s="279">
        <v>1</v>
      </c>
      <c r="DB100" s="160">
        <v>3</v>
      </c>
      <c r="DC100" s="160">
        <v>3</v>
      </c>
      <c r="DD100" s="160">
        <v>4</v>
      </c>
      <c r="DE100" s="280">
        <f t="shared" si="66"/>
        <v>11</v>
      </c>
      <c r="DF100" s="38"/>
      <c r="DG100" s="281"/>
      <c r="DH100" s="279">
        <v>2</v>
      </c>
      <c r="DI100" s="160">
        <v>3</v>
      </c>
      <c r="DJ100" s="160">
        <v>4</v>
      </c>
      <c r="DK100" s="280">
        <f t="shared" si="70"/>
        <v>9</v>
      </c>
      <c r="DL100" s="281"/>
      <c r="DM100" s="282"/>
      <c r="DN100" s="279">
        <v>1</v>
      </c>
      <c r="DO100" s="160">
        <v>3</v>
      </c>
      <c r="DP100" s="160">
        <f t="shared" si="67"/>
        <v>5</v>
      </c>
      <c r="DQ100" s="160">
        <v>3</v>
      </c>
      <c r="DR100" s="160">
        <v>3</v>
      </c>
      <c r="DS100" s="160">
        <f t="shared" si="68"/>
        <v>10</v>
      </c>
      <c r="DT100" s="280">
        <f t="shared" si="69"/>
        <v>12</v>
      </c>
      <c r="FG100" s="1" t="s">
        <v>952</v>
      </c>
      <c r="FH100" s="1">
        <v>1</v>
      </c>
      <c r="FI100" s="166" t="s">
        <v>470</v>
      </c>
      <c r="FJ100" s="166" t="s">
        <v>889</v>
      </c>
      <c r="FK100" s="166" t="s">
        <v>889</v>
      </c>
      <c r="FL100" s="166"/>
      <c r="FM100" s="1" t="s">
        <v>889</v>
      </c>
      <c r="FN100" s="1" t="s">
        <v>889</v>
      </c>
      <c r="FO100" s="301">
        <f t="shared" si="60"/>
        <v>40</v>
      </c>
      <c r="FP100" s="1"/>
      <c r="FQ100" s="302" t="str">
        <f>IF(FI100=0,"0",IF(FI100="5/16","13",IF(FI100="3/8","15",IF(FI100="1/2","20",IF(FI100="5/8","24",IF(FI100="3/4","26","13"))))))</f>
        <v>26</v>
      </c>
      <c r="FR100" s="302" t="str">
        <f t="shared" si="71"/>
        <v>4</v>
      </c>
      <c r="FS100" s="302" t="str">
        <f t="shared" si="71"/>
        <v>4</v>
      </c>
      <c r="FT100" s="302" t="str">
        <f t="shared" si="62"/>
        <v>2</v>
      </c>
      <c r="FU100" s="302" t="str">
        <f t="shared" si="63"/>
        <v>4</v>
      </c>
      <c r="FV100" s="324" t="str">
        <f t="shared" si="64"/>
        <v>26</v>
      </c>
      <c r="FW100" s="323" t="s">
        <v>952</v>
      </c>
      <c r="FX100" s="1"/>
      <c r="FY100" s="1" t="s">
        <v>981</v>
      </c>
      <c r="FZ100" s="1"/>
      <c r="GA100" s="1">
        <f t="shared" si="65"/>
        <v>28.6</v>
      </c>
      <c r="GB100" s="1"/>
      <c r="GD100" s="1"/>
    </row>
    <row r="101" spans="1:186" ht="15.75" thickBot="1" x14ac:dyDescent="0.3">
      <c r="A101" s="189" t="s">
        <v>367</v>
      </c>
      <c r="B101" s="12">
        <v>2</v>
      </c>
      <c r="C101" s="86" t="s">
        <v>90</v>
      </c>
      <c r="D101" s="12" t="s">
        <v>91</v>
      </c>
      <c r="E101" s="24"/>
      <c r="F101" s="191"/>
      <c r="G101" s="75"/>
      <c r="H101" s="189" t="s">
        <v>367</v>
      </c>
      <c r="I101" s="12">
        <v>2</v>
      </c>
      <c r="J101" s="86" t="s">
        <v>90</v>
      </c>
      <c r="K101" s="12" t="s">
        <v>84</v>
      </c>
      <c r="L101" s="24"/>
      <c r="M101" s="191"/>
      <c r="N101" s="75"/>
      <c r="O101" s="189" t="s">
        <v>367</v>
      </c>
      <c r="P101" s="12">
        <v>2</v>
      </c>
      <c r="Q101" s="86" t="s">
        <v>90</v>
      </c>
      <c r="R101" s="12" t="s">
        <v>84</v>
      </c>
      <c r="S101" s="24"/>
      <c r="T101" s="191"/>
      <c r="Y101" s="10" t="s">
        <v>28</v>
      </c>
      <c r="Z101" s="11">
        <v>1</v>
      </c>
      <c r="AA101" s="10" t="s">
        <v>56</v>
      </c>
      <c r="AB101" s="12" t="s">
        <v>78</v>
      </c>
      <c r="AC101" s="92">
        <f>Z101*85</f>
        <v>85</v>
      </c>
      <c r="AD101" s="50"/>
      <c r="AE101" s="95">
        <v>45397</v>
      </c>
      <c r="AF101" s="32" t="s">
        <v>554</v>
      </c>
      <c r="AG101" s="75"/>
      <c r="AH101" s="10" t="s">
        <v>28</v>
      </c>
      <c r="AI101" s="11">
        <v>1</v>
      </c>
      <c r="AJ101" s="10" t="s">
        <v>168</v>
      </c>
      <c r="AK101" s="12" t="s">
        <v>78</v>
      </c>
      <c r="AL101" s="92">
        <f>AI101*101</f>
        <v>101</v>
      </c>
      <c r="AM101" s="50"/>
      <c r="AN101" s="95">
        <v>45475</v>
      </c>
      <c r="AO101" s="32" t="s">
        <v>554</v>
      </c>
      <c r="AX101" s="10" t="s">
        <v>28</v>
      </c>
      <c r="AY101" s="11">
        <v>1</v>
      </c>
      <c r="AZ101" s="10" t="s">
        <v>56</v>
      </c>
      <c r="BA101" s="12" t="s">
        <v>29</v>
      </c>
      <c r="BB101" s="111">
        <f>AY101*232</f>
        <v>232</v>
      </c>
      <c r="BC101" s="93"/>
      <c r="BD101" s="95">
        <v>45715</v>
      </c>
      <c r="BE101" s="23" t="s">
        <v>336</v>
      </c>
      <c r="BF101" s="75"/>
      <c r="BG101" s="10" t="s">
        <v>28</v>
      </c>
      <c r="BH101" s="11">
        <v>1</v>
      </c>
      <c r="BI101" s="10" t="s">
        <v>168</v>
      </c>
      <c r="BJ101" s="12" t="s">
        <v>29</v>
      </c>
      <c r="BK101" s="92">
        <f>BH101*649</f>
        <v>649</v>
      </c>
      <c r="BL101" s="50"/>
      <c r="BM101" s="95"/>
      <c r="BN101" s="23" t="s">
        <v>336</v>
      </c>
      <c r="BX101" s="10" t="s">
        <v>28</v>
      </c>
      <c r="BY101" s="11">
        <v>1</v>
      </c>
      <c r="BZ101" s="10" t="s">
        <v>56</v>
      </c>
      <c r="CA101" s="12" t="s">
        <v>75</v>
      </c>
      <c r="CB101" s="111">
        <f>BY101*326.82</f>
        <v>326.82</v>
      </c>
      <c r="CC101" s="93"/>
      <c r="CD101" s="95">
        <v>45782</v>
      </c>
      <c r="CE101" s="32" t="s">
        <v>284</v>
      </c>
      <c r="CF101" s="75"/>
      <c r="CG101" s="10" t="s">
        <v>28</v>
      </c>
      <c r="CH101" s="11">
        <v>1</v>
      </c>
      <c r="CI101" s="10" t="s">
        <v>168</v>
      </c>
      <c r="CJ101" s="88" t="s">
        <v>75</v>
      </c>
      <c r="CK101" s="92">
        <f>CH101*841</f>
        <v>841</v>
      </c>
      <c r="CL101" s="93"/>
      <c r="CM101" s="95"/>
      <c r="CN101" s="32" t="s">
        <v>284</v>
      </c>
      <c r="CX101" s="234" t="s">
        <v>769</v>
      </c>
      <c r="CY101" s="235" t="s">
        <v>770</v>
      </c>
      <c r="CZ101" s="112"/>
      <c r="DA101" s="279">
        <v>1</v>
      </c>
      <c r="DB101" s="160">
        <v>4</v>
      </c>
      <c r="DC101" s="160">
        <v>3</v>
      </c>
      <c r="DD101" s="160">
        <v>4</v>
      </c>
      <c r="DE101" s="280">
        <f t="shared" si="66"/>
        <v>12</v>
      </c>
      <c r="DF101" s="38"/>
      <c r="DG101" s="281"/>
      <c r="DH101" s="279">
        <v>2</v>
      </c>
      <c r="DI101" s="160">
        <v>3</v>
      </c>
      <c r="DJ101" s="160">
        <v>4</v>
      </c>
      <c r="DK101" s="280">
        <f t="shared" si="70"/>
        <v>9</v>
      </c>
      <c r="DL101" s="281"/>
      <c r="DM101" s="282"/>
      <c r="DN101" s="279">
        <v>1</v>
      </c>
      <c r="DO101" s="160">
        <v>4</v>
      </c>
      <c r="DP101" s="160">
        <v>7</v>
      </c>
      <c r="DQ101" s="160">
        <v>3</v>
      </c>
      <c r="DR101" s="160">
        <v>3</v>
      </c>
      <c r="DS101" s="160">
        <f t="shared" si="68"/>
        <v>11</v>
      </c>
      <c r="DT101" s="280">
        <f t="shared" si="69"/>
        <v>14</v>
      </c>
      <c r="FG101" s="1" t="s">
        <v>953</v>
      </c>
      <c r="FH101" s="1">
        <v>1</v>
      </c>
      <c r="FI101" s="166" t="s">
        <v>470</v>
      </c>
      <c r="FJ101" s="166" t="s">
        <v>889</v>
      </c>
      <c r="FK101" s="166" t="s">
        <v>889</v>
      </c>
      <c r="FL101" s="166"/>
      <c r="FM101" s="1" t="s">
        <v>889</v>
      </c>
      <c r="FN101" s="1" t="s">
        <v>889</v>
      </c>
      <c r="FO101" s="301">
        <f t="shared" si="60"/>
        <v>42</v>
      </c>
      <c r="FP101" s="1"/>
      <c r="FQ101" s="302" t="str">
        <f>IF(FI101=0,"0",IF(FI101="5/16","14",IF(FI101="3/8","16",IF(FI101="1/2","22",IF(FI101="5/8","26",IF(FI101="3/4","28","14"))))))</f>
        <v>28</v>
      </c>
      <c r="FR101" s="302" t="str">
        <f t="shared" si="71"/>
        <v>4</v>
      </c>
      <c r="FS101" s="302" t="str">
        <f t="shared" si="71"/>
        <v>4</v>
      </c>
      <c r="FT101" s="302" t="str">
        <f t="shared" si="62"/>
        <v>2</v>
      </c>
      <c r="FU101" s="302" t="str">
        <f t="shared" si="63"/>
        <v>4</v>
      </c>
      <c r="FV101" s="324" t="str">
        <f t="shared" si="64"/>
        <v>28</v>
      </c>
      <c r="FW101" s="323" t="s">
        <v>953</v>
      </c>
      <c r="FX101" s="1"/>
      <c r="FY101" s="1" t="s">
        <v>991</v>
      </c>
      <c r="FZ101" s="1"/>
      <c r="GA101" s="1">
        <f t="shared" si="65"/>
        <v>30.800000000000004</v>
      </c>
      <c r="GB101" s="1"/>
      <c r="GD101" s="1"/>
    </row>
    <row r="102" spans="1:186" ht="15" customHeight="1" thickBot="1" x14ac:dyDescent="0.3">
      <c r="A102" s="189" t="s">
        <v>114</v>
      </c>
      <c r="B102" s="12">
        <v>1</v>
      </c>
      <c r="C102" s="86" t="s">
        <v>242</v>
      </c>
      <c r="D102" s="12" t="s">
        <v>91</v>
      </c>
      <c r="E102" s="24">
        <v>25</v>
      </c>
      <c r="F102" s="191">
        <v>1</v>
      </c>
      <c r="G102" s="75"/>
      <c r="H102" s="189" t="s">
        <v>114</v>
      </c>
      <c r="I102" s="12">
        <v>1</v>
      </c>
      <c r="J102" s="86" t="s">
        <v>242</v>
      </c>
      <c r="K102" s="12" t="s">
        <v>84</v>
      </c>
      <c r="L102" s="24">
        <v>30</v>
      </c>
      <c r="M102" s="191">
        <v>1</v>
      </c>
      <c r="N102" s="75"/>
      <c r="O102" s="189" t="s">
        <v>114</v>
      </c>
      <c r="P102" s="12">
        <v>1</v>
      </c>
      <c r="Q102" s="86" t="s">
        <v>242</v>
      </c>
      <c r="R102" s="12" t="s">
        <v>84</v>
      </c>
      <c r="S102" s="24">
        <v>30</v>
      </c>
      <c r="T102" s="191">
        <v>1</v>
      </c>
      <c r="Y102" s="10" t="s">
        <v>399</v>
      </c>
      <c r="Z102" s="11">
        <v>1</v>
      </c>
      <c r="AA102" s="10" t="s">
        <v>405</v>
      </c>
      <c r="AB102" s="12" t="s">
        <v>277</v>
      </c>
      <c r="AC102" s="568" t="s">
        <v>283</v>
      </c>
      <c r="AD102" s="569"/>
      <c r="AE102" s="569"/>
      <c r="AF102" s="570"/>
      <c r="AG102" s="75"/>
      <c r="AH102" s="10" t="s">
        <v>399</v>
      </c>
      <c r="AI102" s="11">
        <v>1</v>
      </c>
      <c r="AJ102" s="10" t="s">
        <v>408</v>
      </c>
      <c r="AK102" s="12" t="s">
        <v>277</v>
      </c>
      <c r="AL102" s="568" t="s">
        <v>283</v>
      </c>
      <c r="AM102" s="569"/>
      <c r="AN102" s="569"/>
      <c r="AO102" s="570"/>
      <c r="AX102" s="10" t="s">
        <v>399</v>
      </c>
      <c r="AY102" s="11">
        <v>1</v>
      </c>
      <c r="AZ102" s="10" t="s">
        <v>405</v>
      </c>
      <c r="BA102" s="12" t="s">
        <v>84</v>
      </c>
      <c r="BB102" s="568" t="s">
        <v>283</v>
      </c>
      <c r="BC102" s="569"/>
      <c r="BD102" s="569"/>
      <c r="BE102" s="570"/>
      <c r="BF102" s="75"/>
      <c r="BG102" s="10" t="s">
        <v>399</v>
      </c>
      <c r="BH102" s="11">
        <v>1</v>
      </c>
      <c r="BI102" s="10" t="s">
        <v>408</v>
      </c>
      <c r="BJ102" s="12" t="s">
        <v>84</v>
      </c>
      <c r="BK102" s="568" t="s">
        <v>283</v>
      </c>
      <c r="BL102" s="569"/>
      <c r="BM102" s="569"/>
      <c r="BN102" s="570"/>
      <c r="BX102" s="10" t="s">
        <v>399</v>
      </c>
      <c r="BY102" s="11">
        <v>1</v>
      </c>
      <c r="BZ102" s="10" t="s">
        <v>405</v>
      </c>
      <c r="CA102" s="12" t="s">
        <v>80</v>
      </c>
      <c r="CB102" s="568"/>
      <c r="CC102" s="569"/>
      <c r="CD102" s="569"/>
      <c r="CE102" s="570"/>
      <c r="CF102" s="75"/>
      <c r="CG102" s="10" t="s">
        <v>399</v>
      </c>
      <c r="CH102" s="11">
        <v>1</v>
      </c>
      <c r="CI102" s="10" t="s">
        <v>408</v>
      </c>
      <c r="CJ102" s="12" t="s">
        <v>80</v>
      </c>
      <c r="CK102" s="568" t="s">
        <v>283</v>
      </c>
      <c r="CL102" s="569"/>
      <c r="CM102" s="569"/>
      <c r="CN102" s="570"/>
      <c r="CX102" s="234" t="s">
        <v>771</v>
      </c>
      <c r="CY102" s="235" t="s">
        <v>772</v>
      </c>
      <c r="CZ102" s="112"/>
      <c r="DA102" s="279">
        <v>1</v>
      </c>
      <c r="DB102" s="160">
        <v>4</v>
      </c>
      <c r="DC102" s="160">
        <v>3</v>
      </c>
      <c r="DD102" s="160">
        <v>4</v>
      </c>
      <c r="DE102" s="280">
        <f t="shared" si="66"/>
        <v>12</v>
      </c>
      <c r="DF102" s="38"/>
      <c r="DG102" s="281"/>
      <c r="DH102" s="279">
        <v>2</v>
      </c>
      <c r="DI102" s="160">
        <v>3</v>
      </c>
      <c r="DJ102" s="160">
        <v>4</v>
      </c>
      <c r="DK102" s="280">
        <f t="shared" si="70"/>
        <v>9</v>
      </c>
      <c r="DL102" s="281"/>
      <c r="DM102" s="282"/>
      <c r="DN102" s="279">
        <v>1</v>
      </c>
      <c r="DO102" s="160">
        <v>4</v>
      </c>
      <c r="DP102" s="160">
        <v>7</v>
      </c>
      <c r="DQ102" s="160">
        <v>3</v>
      </c>
      <c r="DR102" s="160">
        <v>3</v>
      </c>
      <c r="DS102" s="160">
        <f t="shared" si="68"/>
        <v>11</v>
      </c>
      <c r="DT102" s="280">
        <f t="shared" si="69"/>
        <v>14</v>
      </c>
      <c r="FG102" s="1" t="s">
        <v>954</v>
      </c>
      <c r="FH102" s="1">
        <v>1</v>
      </c>
      <c r="FI102" s="166" t="s">
        <v>470</v>
      </c>
      <c r="FJ102" s="166" t="s">
        <v>889</v>
      </c>
      <c r="FK102" s="166" t="s">
        <v>889</v>
      </c>
      <c r="FL102" s="166"/>
      <c r="FM102" s="1" t="s">
        <v>889</v>
      </c>
      <c r="FN102" s="1" t="s">
        <v>889</v>
      </c>
      <c r="FO102" s="301">
        <f t="shared" si="60"/>
        <v>48</v>
      </c>
      <c r="FP102" s="1"/>
      <c r="FQ102" s="302" t="str">
        <f>IF(FI102=0,"0",IF(FI102="5/16","16",IF(FI102="3/8","18",IF(FI102="1/2","25",IF(FI102="5/8","30",IF(FI102="3/4","32","16"))))))</f>
        <v>32</v>
      </c>
      <c r="FR102" s="302" t="str">
        <f>IF(FJ102="Yes","5","0")</f>
        <v>5</v>
      </c>
      <c r="FS102" s="302" t="str">
        <f>IF(FK102="Yes","5","0")</f>
        <v>5</v>
      </c>
      <c r="FT102" s="302" t="str">
        <f t="shared" si="62"/>
        <v>2</v>
      </c>
      <c r="FU102" s="302" t="str">
        <f t="shared" si="63"/>
        <v>4</v>
      </c>
      <c r="FV102" s="324" t="str">
        <f t="shared" si="64"/>
        <v>32</v>
      </c>
      <c r="FW102" s="323" t="s">
        <v>954</v>
      </c>
      <c r="FX102" s="1"/>
      <c r="FY102" s="1" t="s">
        <v>982</v>
      </c>
      <c r="FZ102" s="1"/>
      <c r="GA102" s="1">
        <f t="shared" si="65"/>
        <v>35.200000000000003</v>
      </c>
      <c r="GB102" s="1"/>
      <c r="GD102" s="1"/>
    </row>
    <row r="103" spans="1:186" ht="15" customHeight="1" thickBot="1" x14ac:dyDescent="0.3">
      <c r="A103" s="189" t="s">
        <v>85</v>
      </c>
      <c r="B103" s="12">
        <v>1</v>
      </c>
      <c r="C103" s="86" t="s">
        <v>253</v>
      </c>
      <c r="D103" s="12" t="s">
        <v>91</v>
      </c>
      <c r="E103" s="24"/>
      <c r="F103" s="192">
        <f>B103*1</f>
        <v>1</v>
      </c>
      <c r="G103" s="75"/>
      <c r="H103" s="189" t="s">
        <v>85</v>
      </c>
      <c r="I103" s="12">
        <v>1</v>
      </c>
      <c r="J103" s="86" t="s">
        <v>253</v>
      </c>
      <c r="K103" s="12" t="s">
        <v>84</v>
      </c>
      <c r="L103" s="24"/>
      <c r="M103" s="192">
        <f>I103*1</f>
        <v>1</v>
      </c>
      <c r="N103" s="75"/>
      <c r="O103" s="189" t="s">
        <v>85</v>
      </c>
      <c r="P103" s="12">
        <v>1</v>
      </c>
      <c r="Q103" s="86" t="s">
        <v>253</v>
      </c>
      <c r="R103" s="12" t="s">
        <v>84</v>
      </c>
      <c r="S103" s="24"/>
      <c r="T103" s="192">
        <f>P103*1</f>
        <v>1</v>
      </c>
      <c r="Y103" s="10" t="s">
        <v>400</v>
      </c>
      <c r="Z103" s="11">
        <v>1</v>
      </c>
      <c r="AA103" s="10" t="s">
        <v>406</v>
      </c>
      <c r="AB103" s="12" t="s">
        <v>277</v>
      </c>
      <c r="AC103" s="571"/>
      <c r="AD103" s="572"/>
      <c r="AE103" s="572"/>
      <c r="AF103" s="573"/>
      <c r="AG103" s="75"/>
      <c r="AH103" s="10" t="s">
        <v>400</v>
      </c>
      <c r="AI103" s="11">
        <v>1</v>
      </c>
      <c r="AJ103" s="10" t="s">
        <v>409</v>
      </c>
      <c r="AK103" s="12" t="s">
        <v>277</v>
      </c>
      <c r="AL103" s="571"/>
      <c r="AM103" s="572"/>
      <c r="AN103" s="572"/>
      <c r="AO103" s="573"/>
      <c r="AX103" s="10" t="s">
        <v>400</v>
      </c>
      <c r="AY103" s="11">
        <v>1</v>
      </c>
      <c r="AZ103" s="10" t="s">
        <v>406</v>
      </c>
      <c r="BA103" s="12" t="s">
        <v>84</v>
      </c>
      <c r="BB103" s="571"/>
      <c r="BC103" s="572"/>
      <c r="BD103" s="572"/>
      <c r="BE103" s="573"/>
      <c r="BF103" s="75"/>
      <c r="BG103" s="10" t="s">
        <v>400</v>
      </c>
      <c r="BH103" s="11">
        <v>1</v>
      </c>
      <c r="BI103" s="10" t="s">
        <v>409</v>
      </c>
      <c r="BJ103" s="12" t="s">
        <v>84</v>
      </c>
      <c r="BK103" s="571"/>
      <c r="BL103" s="572"/>
      <c r="BM103" s="572"/>
      <c r="BN103" s="573"/>
      <c r="BX103" s="10" t="s">
        <v>400</v>
      </c>
      <c r="BY103" s="11">
        <v>1</v>
      </c>
      <c r="BZ103" s="10" t="s">
        <v>406</v>
      </c>
      <c r="CA103" s="12" t="s">
        <v>80</v>
      </c>
      <c r="CB103" s="571"/>
      <c r="CC103" s="572"/>
      <c r="CD103" s="572"/>
      <c r="CE103" s="573"/>
      <c r="CF103" s="75"/>
      <c r="CG103" s="10" t="s">
        <v>400</v>
      </c>
      <c r="CH103" s="11">
        <v>1</v>
      </c>
      <c r="CI103" s="10" t="s">
        <v>409</v>
      </c>
      <c r="CJ103" s="12" t="s">
        <v>80</v>
      </c>
      <c r="CK103" s="571"/>
      <c r="CL103" s="572"/>
      <c r="CM103" s="572"/>
      <c r="CN103" s="573"/>
      <c r="CX103" s="234" t="s">
        <v>773</v>
      </c>
      <c r="CY103" s="235" t="s">
        <v>774</v>
      </c>
      <c r="CZ103" s="112"/>
      <c r="DA103" s="279">
        <v>1</v>
      </c>
      <c r="DB103" s="160">
        <v>4</v>
      </c>
      <c r="DC103" s="160">
        <v>3</v>
      </c>
      <c r="DD103" s="160">
        <v>4</v>
      </c>
      <c r="DE103" s="280">
        <f t="shared" si="66"/>
        <v>12</v>
      </c>
      <c r="DF103" s="38"/>
      <c r="DG103" s="281"/>
      <c r="DH103" s="279">
        <v>3</v>
      </c>
      <c r="DI103" s="160">
        <v>3</v>
      </c>
      <c r="DJ103" s="160">
        <v>4</v>
      </c>
      <c r="DK103" s="280">
        <f t="shared" si="70"/>
        <v>10</v>
      </c>
      <c r="DL103" s="281"/>
      <c r="DM103" s="282"/>
      <c r="DN103" s="279">
        <v>1</v>
      </c>
      <c r="DO103" s="160">
        <v>4</v>
      </c>
      <c r="DP103" s="160">
        <v>7</v>
      </c>
      <c r="DQ103" s="160">
        <v>3</v>
      </c>
      <c r="DR103" s="160">
        <v>3</v>
      </c>
      <c r="DS103" s="160">
        <f t="shared" si="68"/>
        <v>11</v>
      </c>
      <c r="DT103" s="280">
        <f t="shared" si="69"/>
        <v>14</v>
      </c>
      <c r="FG103" s="1" t="s">
        <v>955</v>
      </c>
      <c r="FH103" s="1">
        <v>1</v>
      </c>
      <c r="FI103" s="166" t="s">
        <v>470</v>
      </c>
      <c r="FJ103" s="166" t="s">
        <v>889</v>
      </c>
      <c r="FK103" s="166" t="s">
        <v>889</v>
      </c>
      <c r="FL103" s="166"/>
      <c r="FM103" s="1" t="s">
        <v>889</v>
      </c>
      <c r="FN103" s="1" t="s">
        <v>889</v>
      </c>
      <c r="FO103" s="301">
        <f t="shared" si="60"/>
        <v>50</v>
      </c>
      <c r="FP103" s="1"/>
      <c r="FQ103" s="302" t="str">
        <f>IF(FI103=0,"0",IF(FI103="5/16","18",IF(FI103="3/8","20",IF(FI103="1/2","26",IF(FI103="5/8","32",IF(FI103="3/4","34","18"))))))</f>
        <v>34</v>
      </c>
      <c r="FR103" s="302" t="str">
        <f>IF(FJ103="Yes","5","0")</f>
        <v>5</v>
      </c>
      <c r="FS103" s="302" t="str">
        <f>IF(FK103="Yes","5","0")</f>
        <v>5</v>
      </c>
      <c r="FT103" s="302" t="str">
        <f t="shared" si="62"/>
        <v>2</v>
      </c>
      <c r="FU103" s="302" t="str">
        <f t="shared" si="63"/>
        <v>4</v>
      </c>
      <c r="FV103" s="324" t="str">
        <f t="shared" si="64"/>
        <v>34</v>
      </c>
      <c r="FW103" s="323" t="s">
        <v>955</v>
      </c>
      <c r="FX103" s="1"/>
      <c r="FY103" s="1" t="s">
        <v>992</v>
      </c>
      <c r="FZ103" s="1"/>
      <c r="GA103" s="1">
        <f t="shared" si="65"/>
        <v>37.400000000000006</v>
      </c>
      <c r="GB103" s="1"/>
      <c r="GD103" s="1"/>
    </row>
    <row r="104" spans="1:186" ht="15" customHeight="1" thickBot="1" x14ac:dyDescent="0.3">
      <c r="A104" s="189" t="s">
        <v>321</v>
      </c>
      <c r="B104" s="12">
        <v>4</v>
      </c>
      <c r="C104" s="86" t="s">
        <v>322</v>
      </c>
      <c r="D104" s="12" t="s">
        <v>91</v>
      </c>
      <c r="E104" s="24"/>
      <c r="F104" s="192"/>
      <c r="G104" s="75"/>
      <c r="H104" s="189" t="s">
        <v>321</v>
      </c>
      <c r="I104" s="12">
        <v>4</v>
      </c>
      <c r="J104" s="86" t="s">
        <v>322</v>
      </c>
      <c r="K104" s="12" t="s">
        <v>84</v>
      </c>
      <c r="L104" s="24"/>
      <c r="M104" s="192"/>
      <c r="N104" s="75"/>
      <c r="O104" s="189" t="s">
        <v>321</v>
      </c>
      <c r="P104" s="12">
        <v>4</v>
      </c>
      <c r="Q104" s="86" t="s">
        <v>322</v>
      </c>
      <c r="R104" s="12" t="s">
        <v>84</v>
      </c>
      <c r="S104" s="24"/>
      <c r="T104" s="192"/>
      <c r="Y104" s="10" t="s">
        <v>401</v>
      </c>
      <c r="Z104" s="11">
        <v>1</v>
      </c>
      <c r="AA104" s="10" t="s">
        <v>407</v>
      </c>
      <c r="AB104" s="12" t="s">
        <v>277</v>
      </c>
      <c r="AC104" s="571"/>
      <c r="AD104" s="572"/>
      <c r="AE104" s="572"/>
      <c r="AF104" s="573"/>
      <c r="AG104" s="75"/>
      <c r="AH104" s="10" t="s">
        <v>401</v>
      </c>
      <c r="AI104" s="11">
        <v>1</v>
      </c>
      <c r="AJ104" s="10" t="s">
        <v>410</v>
      </c>
      <c r="AK104" s="12" t="s">
        <v>277</v>
      </c>
      <c r="AL104" s="571"/>
      <c r="AM104" s="572"/>
      <c r="AN104" s="572"/>
      <c r="AO104" s="573"/>
      <c r="AX104" s="10" t="s">
        <v>401</v>
      </c>
      <c r="AY104" s="11">
        <v>1</v>
      </c>
      <c r="AZ104" s="10" t="s">
        <v>407</v>
      </c>
      <c r="BA104" s="12" t="s">
        <v>84</v>
      </c>
      <c r="BB104" s="571"/>
      <c r="BC104" s="572"/>
      <c r="BD104" s="572"/>
      <c r="BE104" s="573"/>
      <c r="BF104" s="75"/>
      <c r="BG104" s="10" t="s">
        <v>401</v>
      </c>
      <c r="BH104" s="11">
        <v>1</v>
      </c>
      <c r="BI104" s="10" t="s">
        <v>410</v>
      </c>
      <c r="BJ104" s="12" t="s">
        <v>84</v>
      </c>
      <c r="BK104" s="571"/>
      <c r="BL104" s="572"/>
      <c r="BM104" s="572"/>
      <c r="BN104" s="573"/>
      <c r="BX104" s="10" t="s">
        <v>401</v>
      </c>
      <c r="BY104" s="11">
        <v>1</v>
      </c>
      <c r="BZ104" s="10" t="s">
        <v>407</v>
      </c>
      <c r="CA104" s="12" t="s">
        <v>80</v>
      </c>
      <c r="CB104" s="571"/>
      <c r="CC104" s="572"/>
      <c r="CD104" s="572"/>
      <c r="CE104" s="573"/>
      <c r="CF104" s="75"/>
      <c r="CG104" s="10" t="s">
        <v>401</v>
      </c>
      <c r="CH104" s="11">
        <v>1</v>
      </c>
      <c r="CI104" s="10" t="s">
        <v>410</v>
      </c>
      <c r="CJ104" s="12" t="s">
        <v>80</v>
      </c>
      <c r="CK104" s="571"/>
      <c r="CL104" s="572"/>
      <c r="CM104" s="572"/>
      <c r="CN104" s="573"/>
      <c r="CX104" s="234" t="s">
        <v>776</v>
      </c>
      <c r="CY104" s="235" t="s">
        <v>777</v>
      </c>
      <c r="CZ104" s="112"/>
      <c r="DA104" s="279">
        <v>2</v>
      </c>
      <c r="DB104" s="160">
        <v>4</v>
      </c>
      <c r="DC104" s="160">
        <v>3</v>
      </c>
      <c r="DD104" s="160">
        <v>4</v>
      </c>
      <c r="DE104" s="280">
        <f t="shared" si="66"/>
        <v>13</v>
      </c>
      <c r="DF104" s="38"/>
      <c r="DG104" s="281"/>
      <c r="DH104" s="279">
        <v>3</v>
      </c>
      <c r="DI104" s="160">
        <v>3</v>
      </c>
      <c r="DJ104" s="160">
        <v>4</v>
      </c>
      <c r="DK104" s="280">
        <f t="shared" si="70"/>
        <v>10</v>
      </c>
      <c r="DL104" s="281"/>
      <c r="DM104" s="282"/>
      <c r="DN104" s="279">
        <v>2</v>
      </c>
      <c r="DO104" s="160">
        <v>4</v>
      </c>
      <c r="DP104" s="160">
        <v>7</v>
      </c>
      <c r="DQ104" s="160">
        <v>3</v>
      </c>
      <c r="DR104" s="160">
        <v>3</v>
      </c>
      <c r="DS104" s="160">
        <f t="shared" si="68"/>
        <v>12</v>
      </c>
      <c r="DT104" s="280">
        <f t="shared" si="69"/>
        <v>15</v>
      </c>
      <c r="FG104" s="1" t="s">
        <v>956</v>
      </c>
      <c r="FH104" s="1">
        <v>1</v>
      </c>
      <c r="FI104" s="166" t="s">
        <v>470</v>
      </c>
      <c r="FJ104" s="166" t="s">
        <v>889</v>
      </c>
      <c r="FK104" s="166" t="s">
        <v>889</v>
      </c>
      <c r="FL104" s="166"/>
      <c r="FM104" s="1" t="s">
        <v>889</v>
      </c>
      <c r="FN104" s="1" t="s">
        <v>889</v>
      </c>
      <c r="FO104" s="301">
        <f t="shared" si="60"/>
        <v>56</v>
      </c>
      <c r="FP104" s="1"/>
      <c r="FQ104" s="302" t="str">
        <f>IF(FI104=0,"0",IF(FI104="5/16","22",IF(FI104="3/8","24",IF(FI104="1/2","32",IF(FI104="5/8","36",IF(FI104="3/4","38","22"))))))</f>
        <v>38</v>
      </c>
      <c r="FR104" s="302" t="str">
        <f>IF(FJ104="Yes","6","0")</f>
        <v>6</v>
      </c>
      <c r="FS104" s="302" t="str">
        <f>IF(FK104="Yes","6","0")</f>
        <v>6</v>
      </c>
      <c r="FT104" s="302" t="str">
        <f t="shared" si="62"/>
        <v>2</v>
      </c>
      <c r="FU104" s="302" t="str">
        <f t="shared" si="63"/>
        <v>4</v>
      </c>
      <c r="FV104" s="324" t="str">
        <f t="shared" si="64"/>
        <v>38</v>
      </c>
      <c r="FW104" s="323" t="s">
        <v>956</v>
      </c>
      <c r="FX104" s="1"/>
      <c r="FY104" s="1" t="s">
        <v>993</v>
      </c>
      <c r="FZ104" s="1"/>
      <c r="GA104" s="1">
        <f t="shared" si="65"/>
        <v>41.800000000000004</v>
      </c>
      <c r="GB104" s="1"/>
      <c r="GD104" s="1"/>
    </row>
    <row r="105" spans="1:186" ht="15" customHeight="1" x14ac:dyDescent="0.25">
      <c r="A105" s="189" t="s">
        <v>323</v>
      </c>
      <c r="B105" s="12">
        <v>4</v>
      </c>
      <c r="C105" s="86" t="s">
        <v>324</v>
      </c>
      <c r="D105" s="12" t="s">
        <v>91</v>
      </c>
      <c r="E105" s="24"/>
      <c r="F105" s="192"/>
      <c r="G105" s="75"/>
      <c r="H105" s="189" t="s">
        <v>323</v>
      </c>
      <c r="I105" s="12">
        <v>4</v>
      </c>
      <c r="J105" s="86" t="s">
        <v>324</v>
      </c>
      <c r="K105" s="12" t="s">
        <v>84</v>
      </c>
      <c r="L105" s="24"/>
      <c r="M105" s="192"/>
      <c r="N105" s="75"/>
      <c r="O105" s="189" t="s">
        <v>323</v>
      </c>
      <c r="P105" s="12">
        <v>4</v>
      </c>
      <c r="Q105" s="86" t="s">
        <v>324</v>
      </c>
      <c r="R105" s="12" t="s">
        <v>84</v>
      </c>
      <c r="S105" s="24"/>
      <c r="T105" s="192"/>
      <c r="Y105" s="10" t="s">
        <v>402</v>
      </c>
      <c r="Z105" s="11">
        <v>1</v>
      </c>
      <c r="AA105" s="10" t="s">
        <v>121</v>
      </c>
      <c r="AB105" s="12" t="s">
        <v>277</v>
      </c>
      <c r="AC105" s="571"/>
      <c r="AD105" s="572"/>
      <c r="AE105" s="572"/>
      <c r="AF105" s="573"/>
      <c r="AG105" s="75"/>
      <c r="AH105" s="10" t="s">
        <v>402</v>
      </c>
      <c r="AI105" s="11">
        <v>1</v>
      </c>
      <c r="AJ105" s="10" t="s">
        <v>411</v>
      </c>
      <c r="AK105" s="12" t="s">
        <v>277</v>
      </c>
      <c r="AL105" s="571"/>
      <c r="AM105" s="572"/>
      <c r="AN105" s="572"/>
      <c r="AO105" s="573"/>
      <c r="AX105" s="10" t="s">
        <v>402</v>
      </c>
      <c r="AY105" s="11">
        <v>1</v>
      </c>
      <c r="AZ105" s="10" t="s">
        <v>121</v>
      </c>
      <c r="BA105" s="12" t="s">
        <v>84</v>
      </c>
      <c r="BB105" s="571"/>
      <c r="BC105" s="572"/>
      <c r="BD105" s="572"/>
      <c r="BE105" s="573"/>
      <c r="BF105" s="75"/>
      <c r="BG105" s="10" t="s">
        <v>402</v>
      </c>
      <c r="BH105" s="11">
        <v>1</v>
      </c>
      <c r="BI105" s="10" t="s">
        <v>411</v>
      </c>
      <c r="BJ105" s="12" t="s">
        <v>84</v>
      </c>
      <c r="BK105" s="571"/>
      <c r="BL105" s="572"/>
      <c r="BM105" s="572"/>
      <c r="BN105" s="573"/>
      <c r="BX105" s="10" t="s">
        <v>402</v>
      </c>
      <c r="BY105" s="11">
        <v>1</v>
      </c>
      <c r="BZ105" s="10" t="s">
        <v>121</v>
      </c>
      <c r="CA105" s="12" t="s">
        <v>80</v>
      </c>
      <c r="CB105" s="571"/>
      <c r="CC105" s="572"/>
      <c r="CD105" s="572"/>
      <c r="CE105" s="573"/>
      <c r="CF105" s="75"/>
      <c r="CG105" s="10" t="s">
        <v>402</v>
      </c>
      <c r="CH105" s="11">
        <v>1</v>
      </c>
      <c r="CI105" s="10" t="s">
        <v>411</v>
      </c>
      <c r="CJ105" s="12" t="s">
        <v>80</v>
      </c>
      <c r="CK105" s="571"/>
      <c r="CL105" s="572"/>
      <c r="CM105" s="572"/>
      <c r="CN105" s="573"/>
      <c r="CX105" s="234" t="s">
        <v>778</v>
      </c>
      <c r="CY105" s="235" t="s">
        <v>779</v>
      </c>
      <c r="CZ105" s="112"/>
      <c r="DA105" s="279">
        <v>2</v>
      </c>
      <c r="DB105" s="160">
        <v>4</v>
      </c>
      <c r="DC105" s="160">
        <v>3</v>
      </c>
      <c r="DD105" s="160">
        <v>4</v>
      </c>
      <c r="DE105" s="280">
        <f t="shared" si="66"/>
        <v>13</v>
      </c>
      <c r="DF105" s="38"/>
      <c r="DG105" s="281"/>
      <c r="DH105" s="279">
        <v>3</v>
      </c>
      <c r="DI105" s="160">
        <v>3</v>
      </c>
      <c r="DJ105" s="160">
        <v>4</v>
      </c>
      <c r="DK105" s="280">
        <f t="shared" si="70"/>
        <v>10</v>
      </c>
      <c r="DL105" s="281"/>
      <c r="DM105" s="282"/>
      <c r="DN105" s="279">
        <v>2</v>
      </c>
      <c r="DO105" s="160">
        <v>4</v>
      </c>
      <c r="DP105" s="160">
        <v>7</v>
      </c>
      <c r="DQ105" s="160">
        <v>4</v>
      </c>
      <c r="DR105" s="160">
        <v>4</v>
      </c>
      <c r="DS105" s="160">
        <f t="shared" si="68"/>
        <v>14</v>
      </c>
      <c r="DT105" s="280">
        <f t="shared" si="69"/>
        <v>17</v>
      </c>
      <c r="FG105" s="1"/>
      <c r="FH105" s="1"/>
      <c r="FI105" s="1"/>
      <c r="FJ105" s="1"/>
      <c r="FK105" s="1"/>
      <c r="FL105" s="1"/>
      <c r="FM105" s="1"/>
      <c r="FN105" s="1"/>
      <c r="FO105" s="1"/>
      <c r="FP105" s="1"/>
      <c r="FQ105" s="1"/>
      <c r="FR105" s="1"/>
      <c r="FS105" s="1"/>
      <c r="FT105" s="302"/>
      <c r="FU105" s="302"/>
      <c r="FV105" s="302"/>
      <c r="GD105" s="1"/>
    </row>
    <row r="106" spans="1:186" ht="15" customHeight="1" x14ac:dyDescent="0.25">
      <c r="A106" s="189" t="s">
        <v>325</v>
      </c>
      <c r="B106" s="12">
        <v>4</v>
      </c>
      <c r="C106" s="86" t="s">
        <v>326</v>
      </c>
      <c r="D106" s="12" t="s">
        <v>91</v>
      </c>
      <c r="E106" s="24"/>
      <c r="F106" s="192"/>
      <c r="G106" s="75"/>
      <c r="H106" s="189" t="s">
        <v>325</v>
      </c>
      <c r="I106" s="12">
        <v>4</v>
      </c>
      <c r="J106" s="86" t="s">
        <v>326</v>
      </c>
      <c r="K106" s="12" t="s">
        <v>84</v>
      </c>
      <c r="L106" s="24"/>
      <c r="M106" s="192"/>
      <c r="N106" s="75"/>
      <c r="O106" s="189" t="s">
        <v>325</v>
      </c>
      <c r="P106" s="12">
        <v>4</v>
      </c>
      <c r="Q106" s="86" t="s">
        <v>326</v>
      </c>
      <c r="R106" s="12" t="s">
        <v>84</v>
      </c>
      <c r="S106" s="24"/>
      <c r="T106" s="192"/>
      <c r="Y106" s="10" t="s">
        <v>403</v>
      </c>
      <c r="Z106" s="11">
        <v>1</v>
      </c>
      <c r="AA106" s="10" t="s">
        <v>100</v>
      </c>
      <c r="AB106" s="12" t="s">
        <v>277</v>
      </c>
      <c r="AC106" s="571"/>
      <c r="AD106" s="572"/>
      <c r="AE106" s="572"/>
      <c r="AF106" s="573"/>
      <c r="AG106" s="75"/>
      <c r="AH106" s="10" t="s">
        <v>403</v>
      </c>
      <c r="AI106" s="11">
        <v>1</v>
      </c>
      <c r="AJ106" s="10" t="s">
        <v>412</v>
      </c>
      <c r="AK106" s="12" t="s">
        <v>277</v>
      </c>
      <c r="AL106" s="571"/>
      <c r="AM106" s="572"/>
      <c r="AN106" s="572"/>
      <c r="AO106" s="573"/>
      <c r="AX106" s="10" t="s">
        <v>403</v>
      </c>
      <c r="AY106" s="11">
        <v>1</v>
      </c>
      <c r="AZ106" s="10" t="s">
        <v>100</v>
      </c>
      <c r="BA106" s="12" t="s">
        <v>84</v>
      </c>
      <c r="BB106" s="571"/>
      <c r="BC106" s="572"/>
      <c r="BD106" s="572"/>
      <c r="BE106" s="573"/>
      <c r="BF106" s="75"/>
      <c r="BG106" s="10" t="s">
        <v>403</v>
      </c>
      <c r="BH106" s="11">
        <v>1</v>
      </c>
      <c r="BI106" s="10" t="s">
        <v>412</v>
      </c>
      <c r="BJ106" s="12" t="s">
        <v>84</v>
      </c>
      <c r="BK106" s="571"/>
      <c r="BL106" s="572"/>
      <c r="BM106" s="572"/>
      <c r="BN106" s="573"/>
      <c r="BX106" s="10" t="s">
        <v>403</v>
      </c>
      <c r="BY106" s="11">
        <v>1</v>
      </c>
      <c r="BZ106" s="10" t="s">
        <v>100</v>
      </c>
      <c r="CA106" s="12" t="s">
        <v>80</v>
      </c>
      <c r="CB106" s="571"/>
      <c r="CC106" s="572"/>
      <c r="CD106" s="572"/>
      <c r="CE106" s="573"/>
      <c r="CF106" s="75"/>
      <c r="CG106" s="10" t="s">
        <v>403</v>
      </c>
      <c r="CH106" s="11">
        <v>1</v>
      </c>
      <c r="CI106" s="10" t="s">
        <v>412</v>
      </c>
      <c r="CJ106" s="12" t="s">
        <v>80</v>
      </c>
      <c r="CK106" s="571"/>
      <c r="CL106" s="572"/>
      <c r="CM106" s="572"/>
      <c r="CN106" s="573"/>
      <c r="CX106" s="234" t="s">
        <v>780</v>
      </c>
      <c r="CY106" s="235" t="s">
        <v>781</v>
      </c>
      <c r="CZ106" s="112"/>
      <c r="DA106" s="279">
        <v>2</v>
      </c>
      <c r="DB106" s="160">
        <v>4</v>
      </c>
      <c r="DC106" s="160">
        <v>3</v>
      </c>
      <c r="DD106" s="160">
        <v>4</v>
      </c>
      <c r="DE106" s="280">
        <f t="shared" si="66"/>
        <v>13</v>
      </c>
      <c r="DF106" s="38"/>
      <c r="DG106" s="281"/>
      <c r="DH106" s="279">
        <v>3</v>
      </c>
      <c r="DI106" s="160">
        <v>3</v>
      </c>
      <c r="DJ106" s="160">
        <v>4</v>
      </c>
      <c r="DK106" s="280">
        <f t="shared" si="70"/>
        <v>10</v>
      </c>
      <c r="DL106" s="281"/>
      <c r="DM106" s="282"/>
      <c r="DN106" s="279">
        <v>2</v>
      </c>
      <c r="DO106" s="160">
        <v>4</v>
      </c>
      <c r="DP106" s="160">
        <v>7</v>
      </c>
      <c r="DQ106" s="160">
        <v>4</v>
      </c>
      <c r="DR106" s="160">
        <v>4</v>
      </c>
      <c r="DS106" s="160">
        <f t="shared" si="68"/>
        <v>14</v>
      </c>
      <c r="DT106" s="280">
        <f t="shared" si="69"/>
        <v>17</v>
      </c>
      <c r="FG106" s="1"/>
      <c r="FH106" s="1"/>
      <c r="FI106" s="1"/>
      <c r="FJ106" s="1"/>
      <c r="FK106" s="1"/>
      <c r="FL106" s="1"/>
      <c r="FM106" s="1"/>
      <c r="FN106" s="159" t="s">
        <v>957</v>
      </c>
      <c r="FO106" s="321">
        <f>SUM(FO91:FO104)</f>
        <v>441</v>
      </c>
      <c r="FP106" s="1"/>
      <c r="FQ106" s="1"/>
      <c r="FR106" s="1"/>
      <c r="FS106" s="1"/>
      <c r="FT106" s="302"/>
      <c r="FU106" s="302"/>
      <c r="FV106" s="302"/>
      <c r="GD106" s="1"/>
    </row>
    <row r="107" spans="1:186" ht="15" customHeight="1" x14ac:dyDescent="0.25">
      <c r="A107" s="189" t="s">
        <v>327</v>
      </c>
      <c r="B107" s="12">
        <v>4</v>
      </c>
      <c r="C107" s="86" t="s">
        <v>328</v>
      </c>
      <c r="D107" s="12" t="s">
        <v>91</v>
      </c>
      <c r="E107" s="24"/>
      <c r="F107" s="192"/>
      <c r="G107" s="75"/>
      <c r="H107" s="189" t="s">
        <v>327</v>
      </c>
      <c r="I107" s="12">
        <v>4</v>
      </c>
      <c r="J107" s="86" t="s">
        <v>328</v>
      </c>
      <c r="K107" s="12" t="s">
        <v>84</v>
      </c>
      <c r="L107" s="24"/>
      <c r="M107" s="192"/>
      <c r="N107" s="75"/>
      <c r="O107" s="189" t="s">
        <v>327</v>
      </c>
      <c r="P107" s="12">
        <v>4</v>
      </c>
      <c r="Q107" s="86" t="s">
        <v>328</v>
      </c>
      <c r="R107" s="12" t="s">
        <v>84</v>
      </c>
      <c r="S107" s="24"/>
      <c r="T107" s="192"/>
      <c r="Y107" s="10" t="s">
        <v>404</v>
      </c>
      <c r="Z107" s="11">
        <v>1</v>
      </c>
      <c r="AA107" s="10" t="s">
        <v>122</v>
      </c>
      <c r="AB107" s="12" t="s">
        <v>277</v>
      </c>
      <c r="AC107" s="574"/>
      <c r="AD107" s="575"/>
      <c r="AE107" s="575"/>
      <c r="AF107" s="576"/>
      <c r="AG107" s="75"/>
      <c r="AH107" s="10" t="s">
        <v>404</v>
      </c>
      <c r="AI107" s="11">
        <v>1</v>
      </c>
      <c r="AJ107" s="10" t="s">
        <v>413</v>
      </c>
      <c r="AK107" s="12" t="s">
        <v>277</v>
      </c>
      <c r="AL107" s="574"/>
      <c r="AM107" s="575"/>
      <c r="AN107" s="575"/>
      <c r="AO107" s="576"/>
      <c r="AX107" s="10" t="s">
        <v>404</v>
      </c>
      <c r="AY107" s="11">
        <v>1</v>
      </c>
      <c r="AZ107" s="10" t="s">
        <v>122</v>
      </c>
      <c r="BA107" s="12" t="s">
        <v>84</v>
      </c>
      <c r="BB107" s="574"/>
      <c r="BC107" s="575"/>
      <c r="BD107" s="575"/>
      <c r="BE107" s="576"/>
      <c r="BF107" s="75"/>
      <c r="BG107" s="10" t="s">
        <v>404</v>
      </c>
      <c r="BH107" s="11">
        <v>1</v>
      </c>
      <c r="BI107" s="10" t="s">
        <v>413</v>
      </c>
      <c r="BJ107" s="12" t="s">
        <v>84</v>
      </c>
      <c r="BK107" s="574"/>
      <c r="BL107" s="575"/>
      <c r="BM107" s="575"/>
      <c r="BN107" s="576"/>
      <c r="BX107" s="10" t="s">
        <v>404</v>
      </c>
      <c r="BY107" s="11">
        <v>1</v>
      </c>
      <c r="BZ107" s="10" t="s">
        <v>122</v>
      </c>
      <c r="CA107" s="12" t="s">
        <v>80</v>
      </c>
      <c r="CB107" s="574"/>
      <c r="CC107" s="575"/>
      <c r="CD107" s="575"/>
      <c r="CE107" s="576"/>
      <c r="CF107" s="75"/>
      <c r="CG107" s="10" t="s">
        <v>404</v>
      </c>
      <c r="CH107" s="11">
        <v>1</v>
      </c>
      <c r="CI107" s="10" t="s">
        <v>413</v>
      </c>
      <c r="CJ107" s="12" t="s">
        <v>80</v>
      </c>
      <c r="CK107" s="574"/>
      <c r="CL107" s="575"/>
      <c r="CM107" s="575"/>
      <c r="CN107" s="576"/>
      <c r="CX107" s="234" t="s">
        <v>782</v>
      </c>
      <c r="CY107" s="235" t="s">
        <v>783</v>
      </c>
      <c r="CZ107" s="112"/>
      <c r="DA107" s="279">
        <v>2</v>
      </c>
      <c r="DB107" s="160">
        <v>4</v>
      </c>
      <c r="DC107" s="160">
        <v>3</v>
      </c>
      <c r="DD107" s="160">
        <v>4</v>
      </c>
      <c r="DE107" s="280">
        <f t="shared" si="66"/>
        <v>13</v>
      </c>
      <c r="DF107" s="38"/>
      <c r="DG107" s="281"/>
      <c r="DH107" s="279">
        <v>3</v>
      </c>
      <c r="DI107" s="160">
        <v>3</v>
      </c>
      <c r="DJ107" s="160">
        <v>4</v>
      </c>
      <c r="DK107" s="280">
        <f t="shared" si="70"/>
        <v>10</v>
      </c>
      <c r="DL107" s="281"/>
      <c r="DM107" s="282"/>
      <c r="DN107" s="279">
        <v>2</v>
      </c>
      <c r="DO107" s="160">
        <v>4</v>
      </c>
      <c r="DP107" s="160">
        <v>7</v>
      </c>
      <c r="DQ107" s="160">
        <v>4</v>
      </c>
      <c r="DR107" s="160">
        <v>4</v>
      </c>
      <c r="DS107" s="160">
        <f t="shared" si="68"/>
        <v>14</v>
      </c>
      <c r="DT107" s="280">
        <f t="shared" si="69"/>
        <v>17</v>
      </c>
    </row>
    <row r="108" spans="1:186" x14ac:dyDescent="0.25">
      <c r="A108" s="189"/>
      <c r="B108" s="12"/>
      <c r="C108" s="86"/>
      <c r="D108" s="12"/>
      <c r="E108" s="24"/>
      <c r="F108" s="192"/>
      <c r="G108" s="75"/>
      <c r="H108" s="189"/>
      <c r="I108" s="12"/>
      <c r="J108" s="86"/>
      <c r="K108" s="12"/>
      <c r="L108" s="24"/>
      <c r="M108" s="192"/>
      <c r="N108" s="75"/>
      <c r="O108" s="189"/>
      <c r="P108" s="12"/>
      <c r="Q108" s="86"/>
      <c r="R108" s="12"/>
      <c r="S108" s="24"/>
      <c r="T108" s="192"/>
      <c r="CX108" s="234" t="s">
        <v>784</v>
      </c>
      <c r="CY108" s="235" t="s">
        <v>785</v>
      </c>
      <c r="CZ108" s="112"/>
      <c r="DA108" s="279">
        <v>2</v>
      </c>
      <c r="DB108" s="160">
        <v>4</v>
      </c>
      <c r="DC108" s="160">
        <v>4</v>
      </c>
      <c r="DD108" s="160">
        <v>5</v>
      </c>
      <c r="DE108" s="280">
        <f t="shared" si="66"/>
        <v>15</v>
      </c>
      <c r="DF108" s="38"/>
      <c r="DG108" s="281"/>
      <c r="DH108" s="279">
        <v>3</v>
      </c>
      <c r="DI108" s="160">
        <v>4</v>
      </c>
      <c r="DJ108" s="160">
        <v>5</v>
      </c>
      <c r="DK108" s="280">
        <f t="shared" si="70"/>
        <v>12</v>
      </c>
      <c r="DL108" s="281"/>
      <c r="DM108" s="282"/>
      <c r="DN108" s="279">
        <v>2</v>
      </c>
      <c r="DO108" s="160">
        <v>4</v>
      </c>
      <c r="DP108" s="160">
        <v>7</v>
      </c>
      <c r="DQ108" s="160">
        <v>4</v>
      </c>
      <c r="DR108" s="160">
        <v>4</v>
      </c>
      <c r="DS108" s="160">
        <f t="shared" si="68"/>
        <v>14</v>
      </c>
      <c r="DT108" s="280">
        <f t="shared" si="69"/>
        <v>17</v>
      </c>
    </row>
    <row r="109" spans="1:186" x14ac:dyDescent="0.25">
      <c r="A109" s="189" t="s">
        <v>368</v>
      </c>
      <c r="B109" s="12">
        <v>4</v>
      </c>
      <c r="C109" s="86" t="s">
        <v>256</v>
      </c>
      <c r="D109" s="12" t="s">
        <v>91</v>
      </c>
      <c r="E109" s="24"/>
      <c r="F109" s="192"/>
      <c r="G109" s="75"/>
      <c r="H109" s="189" t="s">
        <v>368</v>
      </c>
      <c r="I109" s="12">
        <v>4</v>
      </c>
      <c r="J109" s="86" t="s">
        <v>256</v>
      </c>
      <c r="K109" s="12" t="s">
        <v>84</v>
      </c>
      <c r="L109" s="24"/>
      <c r="M109" s="192"/>
      <c r="N109" s="75"/>
      <c r="O109" s="189" t="s">
        <v>368</v>
      </c>
      <c r="P109" s="12">
        <v>4</v>
      </c>
      <c r="Q109" s="86" t="s">
        <v>256</v>
      </c>
      <c r="R109" s="12" t="s">
        <v>80</v>
      </c>
      <c r="S109" s="24"/>
      <c r="T109" s="192"/>
      <c r="CX109" s="234" t="s">
        <v>786</v>
      </c>
      <c r="CY109" s="235" t="s">
        <v>787</v>
      </c>
      <c r="CZ109" s="112"/>
      <c r="DA109" s="279">
        <v>2</v>
      </c>
      <c r="DB109" s="160">
        <v>4</v>
      </c>
      <c r="DC109" s="160">
        <v>4</v>
      </c>
      <c r="DD109" s="160">
        <v>5</v>
      </c>
      <c r="DE109" s="280">
        <f t="shared" si="66"/>
        <v>15</v>
      </c>
      <c r="DF109" s="38"/>
      <c r="DG109" s="281"/>
      <c r="DH109" s="279">
        <v>3</v>
      </c>
      <c r="DI109" s="160">
        <v>4</v>
      </c>
      <c r="DJ109" s="160">
        <v>5</v>
      </c>
      <c r="DK109" s="280">
        <f t="shared" si="70"/>
        <v>12</v>
      </c>
      <c r="DL109" s="281"/>
      <c r="DM109" s="282"/>
      <c r="DN109" s="279">
        <v>2</v>
      </c>
      <c r="DO109" s="160">
        <v>4</v>
      </c>
      <c r="DP109" s="160">
        <v>7</v>
      </c>
      <c r="DQ109" s="160">
        <v>4</v>
      </c>
      <c r="DR109" s="160">
        <v>4</v>
      </c>
      <c r="DS109" s="160">
        <f t="shared" si="68"/>
        <v>14</v>
      </c>
      <c r="DT109" s="280">
        <f t="shared" si="69"/>
        <v>17</v>
      </c>
    </row>
    <row r="110" spans="1:186" x14ac:dyDescent="0.25">
      <c r="A110" s="189" t="s">
        <v>369</v>
      </c>
      <c r="B110" s="12">
        <v>16</v>
      </c>
      <c r="C110" s="86" t="s">
        <v>370</v>
      </c>
      <c r="D110" s="12" t="s">
        <v>91</v>
      </c>
      <c r="E110" s="24"/>
      <c r="F110" s="192"/>
      <c r="G110" s="75"/>
      <c r="H110" s="189" t="s">
        <v>369</v>
      </c>
      <c r="I110" s="12">
        <v>16</v>
      </c>
      <c r="J110" s="86" t="s">
        <v>370</v>
      </c>
      <c r="K110" s="12" t="s">
        <v>84</v>
      </c>
      <c r="L110" s="24"/>
      <c r="M110" s="192"/>
      <c r="N110" s="75"/>
      <c r="O110" s="189" t="s">
        <v>369</v>
      </c>
      <c r="P110" s="12">
        <v>16</v>
      </c>
      <c r="Q110" s="86" t="s">
        <v>370</v>
      </c>
      <c r="R110" s="12" t="s">
        <v>80</v>
      </c>
      <c r="S110" s="24"/>
      <c r="T110" s="192"/>
      <c r="CX110" s="234" t="s">
        <v>788</v>
      </c>
      <c r="CY110" s="235" t="s">
        <v>789</v>
      </c>
      <c r="CZ110" s="112"/>
      <c r="DA110" s="279">
        <v>2</v>
      </c>
      <c r="DB110" s="160">
        <v>4</v>
      </c>
      <c r="DC110" s="160">
        <v>4</v>
      </c>
      <c r="DD110" s="160">
        <v>5</v>
      </c>
      <c r="DE110" s="280">
        <f t="shared" si="66"/>
        <v>15</v>
      </c>
      <c r="DF110" s="38"/>
      <c r="DG110" s="281"/>
      <c r="DH110" s="279">
        <v>3</v>
      </c>
      <c r="DI110" s="160">
        <v>4</v>
      </c>
      <c r="DJ110" s="160">
        <v>5</v>
      </c>
      <c r="DK110" s="280">
        <f t="shared" si="70"/>
        <v>12</v>
      </c>
      <c r="DL110" s="281"/>
      <c r="DM110" s="282"/>
      <c r="DN110" s="279">
        <v>2</v>
      </c>
      <c r="DO110" s="160">
        <v>4</v>
      </c>
      <c r="DP110" s="160">
        <v>7</v>
      </c>
      <c r="DQ110" s="160">
        <v>4</v>
      </c>
      <c r="DR110" s="160">
        <v>4</v>
      </c>
      <c r="DS110" s="160">
        <f t="shared" si="68"/>
        <v>14</v>
      </c>
      <c r="DT110" s="280">
        <f t="shared" si="69"/>
        <v>17</v>
      </c>
    </row>
    <row r="111" spans="1:186" x14ac:dyDescent="0.25">
      <c r="A111" s="189"/>
      <c r="B111" s="12"/>
      <c r="C111" s="143"/>
      <c r="D111" s="12"/>
      <c r="E111" s="24"/>
      <c r="F111" s="192"/>
      <c r="G111" s="75"/>
      <c r="H111" s="189"/>
      <c r="I111" s="12"/>
      <c r="J111" s="143"/>
      <c r="K111" s="12"/>
      <c r="L111" s="24"/>
      <c r="M111" s="192"/>
      <c r="N111" s="75"/>
      <c r="O111" s="189"/>
      <c r="P111" s="12"/>
      <c r="Q111" s="143"/>
      <c r="R111" s="12"/>
      <c r="S111" s="24"/>
      <c r="T111" s="192"/>
      <c r="CX111" s="234" t="s">
        <v>790</v>
      </c>
      <c r="CY111" s="235" t="s">
        <v>791</v>
      </c>
      <c r="CZ111" s="112"/>
      <c r="DA111" s="279">
        <v>2</v>
      </c>
      <c r="DB111" s="160">
        <v>4</v>
      </c>
      <c r="DC111" s="160">
        <v>4</v>
      </c>
      <c r="DD111" s="160">
        <v>5</v>
      </c>
      <c r="DE111" s="280">
        <f t="shared" si="66"/>
        <v>15</v>
      </c>
      <c r="DF111" s="38"/>
      <c r="DG111" s="281"/>
      <c r="DH111" s="279">
        <v>3</v>
      </c>
      <c r="DI111" s="160">
        <v>4</v>
      </c>
      <c r="DJ111" s="160">
        <v>5</v>
      </c>
      <c r="DK111" s="280">
        <f t="shared" si="70"/>
        <v>12</v>
      </c>
      <c r="DL111" s="281"/>
      <c r="DM111" s="282"/>
      <c r="DN111" s="279">
        <v>2</v>
      </c>
      <c r="DO111" s="160">
        <v>4</v>
      </c>
      <c r="DP111" s="160">
        <v>7</v>
      </c>
      <c r="DQ111" s="160">
        <v>4</v>
      </c>
      <c r="DR111" s="160">
        <v>4</v>
      </c>
      <c r="DS111" s="160">
        <f t="shared" si="68"/>
        <v>14</v>
      </c>
      <c r="DT111" s="280">
        <f t="shared" si="69"/>
        <v>17</v>
      </c>
    </row>
    <row r="112" spans="1:186" x14ac:dyDescent="0.25">
      <c r="A112" s="566" t="s">
        <v>590</v>
      </c>
      <c r="B112" s="566"/>
      <c r="C112" s="566"/>
      <c r="D112" s="566"/>
      <c r="E112" s="566"/>
      <c r="F112" s="566"/>
      <c r="G112" s="566"/>
      <c r="H112" s="566"/>
      <c r="I112" s="566"/>
      <c r="J112" s="566"/>
      <c r="K112" s="566"/>
      <c r="L112" s="566"/>
      <c r="M112" s="566"/>
      <c r="N112" s="566"/>
      <c r="O112" s="566"/>
      <c r="P112" s="566"/>
      <c r="Q112" s="566"/>
      <c r="R112" s="566"/>
      <c r="S112" s="566"/>
      <c r="T112" s="566"/>
      <c r="CX112" s="234" t="s">
        <v>792</v>
      </c>
      <c r="CY112" s="235" t="s">
        <v>793</v>
      </c>
      <c r="CZ112" s="112"/>
      <c r="DA112" s="279">
        <v>2</v>
      </c>
      <c r="DB112" s="160">
        <v>4</v>
      </c>
      <c r="DC112" s="160">
        <v>4</v>
      </c>
      <c r="DD112" s="160">
        <v>5</v>
      </c>
      <c r="DE112" s="280">
        <f t="shared" si="66"/>
        <v>15</v>
      </c>
      <c r="DF112" s="38"/>
      <c r="DG112" s="281"/>
      <c r="DH112" s="279">
        <v>4</v>
      </c>
      <c r="DI112" s="160">
        <v>4</v>
      </c>
      <c r="DJ112" s="160">
        <v>5</v>
      </c>
      <c r="DK112" s="280">
        <f t="shared" si="70"/>
        <v>13</v>
      </c>
      <c r="DL112" s="281"/>
      <c r="DM112" s="282"/>
      <c r="DN112" s="279">
        <v>2</v>
      </c>
      <c r="DO112" s="160">
        <v>4</v>
      </c>
      <c r="DP112" s="160">
        <v>7</v>
      </c>
      <c r="DQ112" s="160">
        <v>4</v>
      </c>
      <c r="DR112" s="160">
        <v>4</v>
      </c>
      <c r="DS112" s="160">
        <f t="shared" si="68"/>
        <v>14</v>
      </c>
      <c r="DT112" s="280">
        <f t="shared" si="69"/>
        <v>17</v>
      </c>
    </row>
    <row r="113" spans="1:124" x14ac:dyDescent="0.25">
      <c r="A113" s="566"/>
      <c r="B113" s="566"/>
      <c r="C113" s="566"/>
      <c r="D113" s="566"/>
      <c r="E113" s="566"/>
      <c r="F113" s="566"/>
      <c r="G113" s="566"/>
      <c r="H113" s="566"/>
      <c r="I113" s="566"/>
      <c r="J113" s="566"/>
      <c r="K113" s="566"/>
      <c r="L113" s="566"/>
      <c r="M113" s="566"/>
      <c r="N113" s="566"/>
      <c r="O113" s="566"/>
      <c r="P113" s="566"/>
      <c r="Q113" s="566"/>
      <c r="R113" s="566"/>
      <c r="S113" s="566"/>
      <c r="T113" s="566"/>
      <c r="CX113" s="234" t="s">
        <v>794</v>
      </c>
      <c r="CY113" s="235" t="s">
        <v>795</v>
      </c>
      <c r="CZ113" s="112"/>
      <c r="DA113" s="279">
        <v>2</v>
      </c>
      <c r="DB113" s="160">
        <v>4</v>
      </c>
      <c r="DC113" s="160">
        <v>4</v>
      </c>
      <c r="DD113" s="160">
        <v>5</v>
      </c>
      <c r="DE113" s="280">
        <f t="shared" si="66"/>
        <v>15</v>
      </c>
      <c r="DF113" s="38"/>
      <c r="DG113" s="281"/>
      <c r="DH113" s="279">
        <v>4</v>
      </c>
      <c r="DI113" s="160">
        <v>4</v>
      </c>
      <c r="DJ113" s="160">
        <v>5</v>
      </c>
      <c r="DK113" s="280">
        <f t="shared" si="70"/>
        <v>13</v>
      </c>
      <c r="DL113" s="281"/>
      <c r="DM113" s="282"/>
      <c r="DN113" s="279">
        <v>2</v>
      </c>
      <c r="DO113" s="160">
        <v>4</v>
      </c>
      <c r="DP113" s="160">
        <v>7</v>
      </c>
      <c r="DQ113" s="160">
        <v>4</v>
      </c>
      <c r="DR113" s="160">
        <v>4</v>
      </c>
      <c r="DS113" s="160">
        <f t="shared" si="68"/>
        <v>14</v>
      </c>
      <c r="DT113" s="280">
        <f t="shared" si="69"/>
        <v>17</v>
      </c>
    </row>
    <row r="114" spans="1:124" x14ac:dyDescent="0.25">
      <c r="A114" s="566"/>
      <c r="B114" s="566"/>
      <c r="C114" s="566"/>
      <c r="D114" s="566"/>
      <c r="E114" s="566"/>
      <c r="F114" s="566"/>
      <c r="G114" s="566"/>
      <c r="H114" s="566"/>
      <c r="I114" s="566"/>
      <c r="J114" s="566"/>
      <c r="K114" s="566"/>
      <c r="L114" s="566"/>
      <c r="M114" s="566"/>
      <c r="N114" s="566"/>
      <c r="O114" s="566"/>
      <c r="P114" s="566"/>
      <c r="Q114" s="566"/>
      <c r="R114" s="566"/>
      <c r="S114" s="566"/>
      <c r="T114" s="566"/>
      <c r="CX114" s="234" t="s">
        <v>796</v>
      </c>
      <c r="CY114" s="235" t="s">
        <v>797</v>
      </c>
      <c r="CZ114" s="112"/>
      <c r="DA114" s="279">
        <v>2</v>
      </c>
      <c r="DB114" s="160">
        <v>4</v>
      </c>
      <c r="DC114" s="160">
        <v>4</v>
      </c>
      <c r="DD114" s="160">
        <v>5</v>
      </c>
      <c r="DE114" s="280">
        <f t="shared" si="66"/>
        <v>15</v>
      </c>
      <c r="DF114" s="38"/>
      <c r="DG114" s="281"/>
      <c r="DH114" s="279">
        <v>4</v>
      </c>
      <c r="DI114" s="160">
        <v>4</v>
      </c>
      <c r="DJ114" s="160">
        <v>5</v>
      </c>
      <c r="DK114" s="280">
        <f t="shared" si="70"/>
        <v>13</v>
      </c>
      <c r="DL114" s="281"/>
      <c r="DM114" s="282"/>
      <c r="DN114" s="279">
        <v>2</v>
      </c>
      <c r="DO114" s="160">
        <v>4</v>
      </c>
      <c r="DP114" s="160">
        <v>7</v>
      </c>
      <c r="DQ114" s="160">
        <v>4</v>
      </c>
      <c r="DR114" s="160">
        <v>4</v>
      </c>
      <c r="DS114" s="160">
        <f t="shared" si="68"/>
        <v>14</v>
      </c>
      <c r="DT114" s="280">
        <f t="shared" si="69"/>
        <v>17</v>
      </c>
    </row>
    <row r="115" spans="1:124" ht="15.75" thickBot="1" x14ac:dyDescent="0.3">
      <c r="A115" s="566"/>
      <c r="B115" s="566"/>
      <c r="C115" s="566"/>
      <c r="D115" s="566"/>
      <c r="E115" s="566"/>
      <c r="F115" s="566"/>
      <c r="G115" s="566"/>
      <c r="H115" s="566"/>
      <c r="I115" s="566"/>
      <c r="J115" s="566"/>
      <c r="K115" s="566"/>
      <c r="L115" s="566"/>
      <c r="M115" s="566"/>
      <c r="N115" s="566"/>
      <c r="O115" s="566"/>
      <c r="P115" s="566"/>
      <c r="Q115" s="566"/>
      <c r="R115" s="566"/>
      <c r="S115" s="566"/>
      <c r="T115" s="566"/>
      <c r="CX115" s="252" t="s">
        <v>798</v>
      </c>
      <c r="CY115" s="253" t="s">
        <v>799</v>
      </c>
      <c r="CZ115" s="115"/>
      <c r="DA115" s="283">
        <v>2</v>
      </c>
      <c r="DB115" s="284">
        <v>4</v>
      </c>
      <c r="DC115" s="284">
        <v>4</v>
      </c>
      <c r="DD115" s="284">
        <v>5</v>
      </c>
      <c r="DE115" s="285">
        <f t="shared" si="66"/>
        <v>15</v>
      </c>
      <c r="DF115" s="385"/>
      <c r="DG115" s="286"/>
      <c r="DH115" s="283">
        <v>4</v>
      </c>
      <c r="DI115" s="284">
        <v>4</v>
      </c>
      <c r="DJ115" s="284">
        <v>5</v>
      </c>
      <c r="DK115" s="285">
        <f t="shared" si="70"/>
        <v>13</v>
      </c>
      <c r="DL115" s="286"/>
      <c r="DM115" s="287"/>
      <c r="DN115" s="283">
        <v>2</v>
      </c>
      <c r="DO115" s="284">
        <v>4</v>
      </c>
      <c r="DP115" s="284">
        <v>7</v>
      </c>
      <c r="DQ115" s="284">
        <v>4</v>
      </c>
      <c r="DR115" s="284">
        <v>4</v>
      </c>
      <c r="DS115" s="284">
        <f t="shared" si="68"/>
        <v>14</v>
      </c>
      <c r="DT115" s="285">
        <f t="shared" si="69"/>
        <v>17</v>
      </c>
    </row>
    <row r="116" spans="1:124" x14ac:dyDescent="0.25">
      <c r="A116" s="566"/>
      <c r="B116" s="566"/>
      <c r="C116" s="566"/>
      <c r="D116" s="566"/>
      <c r="E116" s="566"/>
      <c r="F116" s="566"/>
      <c r="G116" s="566"/>
      <c r="H116" s="566"/>
      <c r="I116" s="566"/>
      <c r="J116" s="566"/>
      <c r="K116" s="566"/>
      <c r="L116" s="566"/>
      <c r="M116" s="566"/>
      <c r="N116" s="566"/>
      <c r="O116" s="566"/>
      <c r="P116" s="566"/>
      <c r="Q116" s="566"/>
      <c r="R116" s="566"/>
      <c r="S116" s="566"/>
      <c r="T116" s="566"/>
    </row>
    <row r="117" spans="1:124" x14ac:dyDescent="0.25">
      <c r="A117" s="203"/>
      <c r="B117" s="203"/>
      <c r="C117" s="203"/>
      <c r="D117" s="203"/>
      <c r="E117" s="203"/>
      <c r="F117" s="203"/>
      <c r="G117" s="203"/>
      <c r="H117" s="203"/>
      <c r="I117" s="203"/>
      <c r="J117" s="203"/>
      <c r="K117" s="203"/>
      <c r="L117" s="203"/>
      <c r="M117" s="203"/>
      <c r="N117" s="203"/>
      <c r="O117" s="203"/>
      <c r="P117" s="203"/>
      <c r="Q117" s="203"/>
      <c r="R117" s="203"/>
      <c r="S117" s="203"/>
      <c r="T117" s="203"/>
    </row>
    <row r="118" spans="1:124" x14ac:dyDescent="0.25">
      <c r="A118" s="203"/>
      <c r="B118" s="203"/>
      <c r="C118" s="203"/>
      <c r="D118" s="203"/>
      <c r="E118" s="203"/>
      <c r="F118" s="203"/>
      <c r="G118" s="203"/>
      <c r="H118" s="203"/>
      <c r="I118" s="203"/>
      <c r="J118" s="203"/>
      <c r="K118" s="203"/>
      <c r="L118" s="203"/>
      <c r="M118" s="203"/>
      <c r="N118" s="203"/>
      <c r="O118" s="203"/>
      <c r="P118" s="203"/>
      <c r="Q118" s="203"/>
      <c r="R118" s="203"/>
      <c r="S118" s="203"/>
      <c r="T118" s="203"/>
    </row>
    <row r="119" spans="1:124" x14ac:dyDescent="0.25">
      <c r="A119" s="203"/>
      <c r="B119" s="203"/>
      <c r="C119" s="203"/>
      <c r="D119" s="203"/>
      <c r="E119" s="203"/>
      <c r="F119" s="203"/>
      <c r="G119" s="203"/>
      <c r="H119" s="203"/>
      <c r="I119" s="203"/>
      <c r="J119" s="203"/>
      <c r="K119" s="203"/>
      <c r="L119" s="203"/>
      <c r="M119" s="203"/>
      <c r="N119" s="203"/>
      <c r="O119" s="203"/>
      <c r="P119" s="203"/>
      <c r="Q119" s="203"/>
      <c r="R119" s="203"/>
      <c r="S119" s="203"/>
      <c r="T119" s="203"/>
    </row>
    <row r="120" spans="1:124" x14ac:dyDescent="0.25">
      <c r="A120" s="203"/>
      <c r="B120" s="203"/>
      <c r="C120" s="203"/>
      <c r="D120" s="203"/>
      <c r="E120" s="203"/>
      <c r="F120" s="203"/>
      <c r="G120" s="203"/>
      <c r="H120" s="203"/>
      <c r="I120" s="203"/>
      <c r="J120" s="203"/>
      <c r="K120" s="203"/>
      <c r="L120" s="203"/>
      <c r="M120" s="203"/>
      <c r="N120" s="203"/>
      <c r="O120" s="203"/>
      <c r="P120" s="203"/>
      <c r="Q120" s="203"/>
      <c r="R120" s="203"/>
      <c r="S120" s="203"/>
      <c r="T120" s="203"/>
    </row>
    <row r="121" spans="1:124" x14ac:dyDescent="0.25">
      <c r="A121" s="203"/>
      <c r="B121" s="203"/>
      <c r="C121" s="203"/>
      <c r="D121" s="203"/>
      <c r="E121" s="203"/>
      <c r="F121" s="203"/>
      <c r="G121" s="203"/>
      <c r="H121" s="203"/>
      <c r="I121" s="203"/>
      <c r="J121" s="203"/>
      <c r="K121" s="203"/>
      <c r="L121" s="203"/>
      <c r="M121" s="203"/>
      <c r="N121" s="203"/>
      <c r="O121" s="203"/>
      <c r="P121" s="203"/>
      <c r="Q121" s="203"/>
      <c r="R121" s="203"/>
      <c r="S121" s="203"/>
      <c r="T121" s="203"/>
    </row>
    <row r="122" spans="1:124" x14ac:dyDescent="0.25">
      <c r="A122" s="203"/>
      <c r="B122" s="203"/>
      <c r="C122" s="203"/>
      <c r="D122" s="203"/>
      <c r="E122" s="203"/>
      <c r="F122" s="203"/>
      <c r="G122" s="203"/>
      <c r="H122" s="203"/>
      <c r="I122" s="203"/>
      <c r="J122" s="203"/>
      <c r="K122" s="203"/>
      <c r="L122" s="203"/>
      <c r="M122" s="203"/>
      <c r="N122" s="203"/>
      <c r="O122" s="203"/>
      <c r="P122" s="203"/>
      <c r="Q122" s="203"/>
      <c r="R122" s="203"/>
      <c r="S122" s="203"/>
      <c r="T122" s="203"/>
    </row>
    <row r="123" spans="1:124" x14ac:dyDescent="0.25">
      <c r="A123" s="203"/>
      <c r="B123" s="203"/>
      <c r="C123" s="203"/>
      <c r="D123" s="203"/>
      <c r="E123" s="203"/>
      <c r="F123" s="203"/>
      <c r="G123" s="203"/>
      <c r="H123" s="203"/>
      <c r="I123" s="203"/>
      <c r="J123" s="203"/>
      <c r="K123" s="203"/>
      <c r="L123" s="203"/>
      <c r="M123" s="203"/>
      <c r="N123" s="203"/>
      <c r="O123" s="203"/>
      <c r="P123" s="203"/>
      <c r="Q123" s="203"/>
      <c r="R123" s="203"/>
      <c r="S123" s="203"/>
      <c r="T123" s="203"/>
    </row>
    <row r="124" spans="1:124" x14ac:dyDescent="0.25">
      <c r="A124" s="203"/>
      <c r="B124" s="203"/>
      <c r="C124" s="203"/>
      <c r="D124" s="203"/>
      <c r="E124" s="203"/>
      <c r="F124" s="203"/>
      <c r="G124" s="203"/>
      <c r="H124" s="203"/>
      <c r="I124" s="203"/>
      <c r="J124" s="203"/>
      <c r="K124" s="203"/>
      <c r="L124" s="203"/>
      <c r="M124" s="203"/>
      <c r="N124" s="203"/>
      <c r="O124" s="203"/>
      <c r="P124" s="203"/>
      <c r="Q124" s="203"/>
      <c r="R124" s="203"/>
      <c r="S124" s="203"/>
      <c r="T124" s="203"/>
    </row>
    <row r="125" spans="1:124" x14ac:dyDescent="0.25">
      <c r="A125" s="203"/>
      <c r="B125" s="203"/>
      <c r="C125" s="203"/>
      <c r="D125" s="203"/>
      <c r="E125" s="203"/>
      <c r="F125" s="203"/>
      <c r="G125" s="203"/>
      <c r="H125" s="203"/>
      <c r="I125" s="203"/>
      <c r="J125" s="203"/>
      <c r="K125" s="203"/>
      <c r="L125" s="203"/>
      <c r="M125" s="203"/>
      <c r="N125" s="203"/>
      <c r="O125" s="203"/>
      <c r="P125" s="203"/>
      <c r="Q125" s="203"/>
      <c r="R125" s="203"/>
      <c r="S125" s="203"/>
      <c r="T125" s="203"/>
    </row>
    <row r="126" spans="1:124" x14ac:dyDescent="0.25">
      <c r="A126" s="203"/>
      <c r="B126" s="203"/>
      <c r="C126" s="203"/>
      <c r="D126" s="203"/>
      <c r="E126" s="203"/>
      <c r="F126" s="203"/>
      <c r="G126" s="203"/>
      <c r="H126" s="203"/>
      <c r="I126" s="203"/>
      <c r="J126" s="203"/>
      <c r="K126" s="203"/>
      <c r="L126" s="203"/>
      <c r="M126" s="203"/>
      <c r="N126" s="203"/>
      <c r="O126" s="203"/>
      <c r="P126" s="203"/>
      <c r="Q126" s="203"/>
      <c r="R126" s="203"/>
      <c r="S126" s="203"/>
      <c r="T126" s="203"/>
    </row>
    <row r="127" spans="1:124" x14ac:dyDescent="0.25">
      <c r="A127" s="203"/>
      <c r="B127" s="203"/>
      <c r="C127" s="203"/>
      <c r="D127" s="203"/>
      <c r="E127" s="203"/>
      <c r="F127" s="203"/>
      <c r="G127" s="203"/>
      <c r="H127" s="203"/>
      <c r="I127" s="203"/>
      <c r="J127" s="203"/>
      <c r="K127" s="203"/>
      <c r="L127" s="203"/>
      <c r="M127" s="203"/>
      <c r="N127" s="203"/>
      <c r="O127" s="203"/>
      <c r="P127" s="203"/>
      <c r="Q127" s="203"/>
      <c r="R127" s="203"/>
      <c r="S127" s="203"/>
      <c r="T127" s="203"/>
    </row>
    <row r="128" spans="1:124" ht="21" x14ac:dyDescent="0.25">
      <c r="A128" s="203"/>
      <c r="B128" s="203"/>
      <c r="C128" s="203"/>
      <c r="D128" s="203"/>
      <c r="E128" s="203"/>
      <c r="F128" s="203"/>
      <c r="G128" s="203"/>
      <c r="H128" s="203"/>
      <c r="I128" s="203"/>
      <c r="J128" s="203"/>
      <c r="K128" s="203"/>
      <c r="L128" s="203"/>
      <c r="M128" s="203"/>
      <c r="N128" s="203"/>
      <c r="O128" s="203"/>
      <c r="P128" s="203"/>
      <c r="Q128" s="203"/>
      <c r="R128" s="203"/>
      <c r="S128" s="203"/>
      <c r="T128" s="203"/>
      <c r="CX128" s="534" t="s">
        <v>837</v>
      </c>
      <c r="CY128" s="534"/>
      <c r="CZ128" s="534"/>
      <c r="DA128" s="534"/>
      <c r="DB128" s="534"/>
      <c r="DC128" s="534"/>
      <c r="DD128" s="534"/>
      <c r="DE128" s="534"/>
      <c r="DF128" s="534"/>
      <c r="DG128" s="534"/>
      <c r="DH128" s="534"/>
      <c r="DI128" s="534"/>
      <c r="DJ128" s="534"/>
      <c r="DK128" s="534"/>
      <c r="DL128" s="534"/>
      <c r="DM128" s="534"/>
      <c r="DN128" s="534"/>
      <c r="DO128" s="534"/>
    </row>
    <row r="129" spans="1:172" ht="18.75" x14ac:dyDescent="0.3">
      <c r="A129" s="203"/>
      <c r="B129" s="203"/>
      <c r="C129" s="203"/>
      <c r="D129" s="203"/>
      <c r="E129" s="203"/>
      <c r="F129" s="203"/>
      <c r="G129" s="203"/>
      <c r="H129" s="203"/>
      <c r="I129" s="203"/>
      <c r="J129" s="203"/>
      <c r="K129" s="203"/>
      <c r="L129" s="203"/>
      <c r="M129" s="203"/>
      <c r="N129" s="203"/>
      <c r="O129" s="203"/>
      <c r="P129" s="203"/>
      <c r="Q129" s="203"/>
      <c r="R129" s="203"/>
      <c r="S129" s="203"/>
      <c r="T129" s="203"/>
      <c r="CX129" s="535" t="s">
        <v>838</v>
      </c>
      <c r="CY129" s="535"/>
      <c r="CZ129" s="535"/>
      <c r="DA129" s="535"/>
      <c r="DB129" s="535"/>
      <c r="DC129" s="535"/>
      <c r="DD129" s="535"/>
      <c r="DE129" s="535"/>
      <c r="DF129" s="535"/>
      <c r="DG129" s="535"/>
      <c r="DH129" s="535"/>
      <c r="DI129" s="535"/>
      <c r="DJ129" s="535"/>
      <c r="DK129" s="535"/>
      <c r="DL129" s="535"/>
      <c r="DM129" s="535"/>
      <c r="DN129" s="535"/>
      <c r="DO129" s="535"/>
    </row>
    <row r="130" spans="1:172" ht="15.75" thickBot="1" x14ac:dyDescent="0.3">
      <c r="A130" s="203"/>
      <c r="B130" s="203"/>
      <c r="C130" s="203"/>
      <c r="D130" s="203"/>
      <c r="E130" s="203"/>
      <c r="F130" s="203"/>
      <c r="G130" s="203"/>
      <c r="H130" s="203"/>
      <c r="I130" s="203"/>
      <c r="J130" s="203"/>
      <c r="K130" s="203"/>
      <c r="L130" s="203"/>
      <c r="M130" s="203"/>
      <c r="N130" s="203"/>
      <c r="O130" s="203"/>
      <c r="P130" s="203"/>
      <c r="Q130" s="203"/>
      <c r="R130" s="203"/>
      <c r="S130" s="203"/>
      <c r="T130" s="203"/>
    </row>
    <row r="131" spans="1:172" ht="15.75" x14ac:dyDescent="0.25">
      <c r="A131" s="203"/>
      <c r="B131" s="203"/>
      <c r="C131" s="203"/>
      <c r="D131" s="203"/>
      <c r="E131" s="203"/>
      <c r="F131" s="203"/>
      <c r="G131" s="203"/>
      <c r="H131" s="203"/>
      <c r="I131" s="203"/>
      <c r="J131" s="203"/>
      <c r="K131" s="203"/>
      <c r="L131" s="203"/>
      <c r="M131" s="203"/>
      <c r="N131" s="203"/>
      <c r="O131" s="203"/>
      <c r="P131" s="203"/>
      <c r="Q131" s="203"/>
      <c r="R131" s="203"/>
      <c r="S131" s="203"/>
      <c r="T131" s="203"/>
      <c r="CX131" s="288"/>
      <c r="DB131" s="536" t="s">
        <v>839</v>
      </c>
      <c r="DC131" s="537"/>
      <c r="DD131" s="537"/>
      <c r="DE131" s="538"/>
      <c r="DF131" s="1"/>
      <c r="DG131" s="536" t="s">
        <v>1173</v>
      </c>
      <c r="DH131" s="537"/>
      <c r="DI131" s="537"/>
      <c r="DJ131" s="538"/>
      <c r="DL131" s="536" t="s">
        <v>840</v>
      </c>
      <c r="DM131" s="537"/>
      <c r="DN131" s="537"/>
      <c r="DO131" s="538"/>
      <c r="DQ131" s="536" t="s">
        <v>841</v>
      </c>
      <c r="DR131" s="537"/>
      <c r="DS131" s="537"/>
      <c r="DT131" s="538"/>
      <c r="DV131" s="536" t="s">
        <v>842</v>
      </c>
      <c r="DW131" s="537"/>
      <c r="DX131" s="537"/>
      <c r="DY131" s="538"/>
    </row>
    <row r="132" spans="1:172" x14ac:dyDescent="0.25">
      <c r="A132" s="203"/>
      <c r="B132" s="203"/>
      <c r="C132" s="203"/>
      <c r="D132" s="203"/>
      <c r="E132" s="203"/>
      <c r="F132" s="203"/>
      <c r="G132" s="203"/>
      <c r="H132" s="203"/>
      <c r="I132" s="203"/>
      <c r="J132" s="203"/>
      <c r="K132" s="203"/>
      <c r="L132" s="203"/>
      <c r="M132" s="203"/>
      <c r="N132" s="203"/>
      <c r="O132" s="203"/>
      <c r="P132" s="203"/>
      <c r="Q132" s="203"/>
      <c r="R132" s="203"/>
      <c r="S132" s="203"/>
      <c r="T132" s="203"/>
      <c r="DB132" s="289" t="s">
        <v>843</v>
      </c>
      <c r="DC132" s="290" t="s">
        <v>824</v>
      </c>
      <c r="DD132" s="290" t="s">
        <v>824</v>
      </c>
      <c r="DE132" s="291"/>
      <c r="DF132" s="1"/>
      <c r="DG132" s="289" t="s">
        <v>843</v>
      </c>
      <c r="DH132" s="290" t="s">
        <v>824</v>
      </c>
      <c r="DI132" s="290" t="s">
        <v>824</v>
      </c>
      <c r="DJ132" s="291"/>
      <c r="DL132" s="289" t="s">
        <v>843</v>
      </c>
      <c r="DM132" s="290" t="s">
        <v>824</v>
      </c>
      <c r="DN132" s="290" t="s">
        <v>824</v>
      </c>
      <c r="DO132" s="291"/>
      <c r="DQ132" s="289" t="s">
        <v>843</v>
      </c>
      <c r="DR132" s="290" t="s">
        <v>824</v>
      </c>
      <c r="DS132" s="290" t="s">
        <v>824</v>
      </c>
      <c r="DT132" s="291"/>
      <c r="DV132" s="289" t="s">
        <v>843</v>
      </c>
      <c r="DW132" s="290" t="s">
        <v>824</v>
      </c>
      <c r="DX132" s="290" t="s">
        <v>824</v>
      </c>
      <c r="DY132" s="291"/>
    </row>
    <row r="133" spans="1:172" ht="15.75" thickBot="1" x14ac:dyDescent="0.3">
      <c r="A133" s="203"/>
      <c r="B133" s="203"/>
      <c r="C133" s="203"/>
      <c r="D133" s="203"/>
      <c r="E133" s="203"/>
      <c r="F133" s="203"/>
      <c r="G133" s="203"/>
      <c r="H133" s="203"/>
      <c r="I133" s="203"/>
      <c r="J133" s="203"/>
      <c r="K133" s="203"/>
      <c r="L133" s="203"/>
      <c r="M133" s="203"/>
      <c r="N133" s="203"/>
      <c r="O133" s="203"/>
      <c r="P133" s="203"/>
      <c r="Q133" s="203"/>
      <c r="R133" s="203"/>
      <c r="S133" s="203"/>
      <c r="T133" s="203"/>
      <c r="DB133" s="289" t="s">
        <v>844</v>
      </c>
      <c r="DC133" s="292" t="s">
        <v>845</v>
      </c>
      <c r="DD133" s="292" t="s">
        <v>846</v>
      </c>
      <c r="DE133" s="259" t="s">
        <v>828</v>
      </c>
      <c r="DF133" s="1"/>
      <c r="DG133" s="289" t="s">
        <v>844</v>
      </c>
      <c r="DH133" s="292" t="s">
        <v>845</v>
      </c>
      <c r="DI133" s="292" t="s">
        <v>846</v>
      </c>
      <c r="DJ133" s="259" t="s">
        <v>828</v>
      </c>
      <c r="DL133" s="289" t="s">
        <v>844</v>
      </c>
      <c r="DM133" s="292" t="s">
        <v>845</v>
      </c>
      <c r="DN133" s="292" t="s">
        <v>846</v>
      </c>
      <c r="DO133" s="259" t="s">
        <v>828</v>
      </c>
      <c r="DQ133" s="289" t="s">
        <v>844</v>
      </c>
      <c r="DR133" s="293" t="s">
        <v>845</v>
      </c>
      <c r="DS133" s="293" t="s">
        <v>846</v>
      </c>
      <c r="DT133" s="247" t="s">
        <v>828</v>
      </c>
      <c r="DV133" s="289" t="s">
        <v>844</v>
      </c>
      <c r="DW133" s="293" t="s">
        <v>845</v>
      </c>
      <c r="DX133" s="293" t="s">
        <v>846</v>
      </c>
      <c r="DY133" s="247" t="s">
        <v>828</v>
      </c>
    </row>
    <row r="134" spans="1:172" x14ac:dyDescent="0.25">
      <c r="A134" s="203"/>
      <c r="B134" s="203"/>
      <c r="C134" s="203"/>
      <c r="D134" s="203"/>
      <c r="E134" s="203"/>
      <c r="F134" s="203"/>
      <c r="G134" s="203"/>
      <c r="H134" s="203"/>
      <c r="I134" s="203"/>
      <c r="J134" s="203"/>
      <c r="K134" s="203"/>
      <c r="L134" s="203"/>
      <c r="M134" s="203"/>
      <c r="N134" s="203"/>
      <c r="O134" s="203"/>
      <c r="P134" s="203"/>
      <c r="Q134" s="203"/>
      <c r="R134" s="203"/>
      <c r="S134" s="203"/>
      <c r="T134" s="203"/>
      <c r="CX134" s="222" t="s">
        <v>748</v>
      </c>
      <c r="CY134" s="223" t="s">
        <v>749</v>
      </c>
      <c r="CZ134" s="214"/>
      <c r="DA134" s="294"/>
      <c r="DB134" s="275">
        <v>2</v>
      </c>
      <c r="DC134" s="275">
        <v>2</v>
      </c>
      <c r="DD134" s="275">
        <v>2</v>
      </c>
      <c r="DE134" s="215">
        <f>SUM(DB134:DD134)</f>
        <v>6</v>
      </c>
      <c r="DF134" s="374"/>
      <c r="DG134" s="275">
        <v>2</v>
      </c>
      <c r="DH134" s="276">
        <v>3</v>
      </c>
      <c r="DI134" s="276">
        <v>4</v>
      </c>
      <c r="DJ134" s="215">
        <f>SUM(DG134:DI134)</f>
        <v>9</v>
      </c>
      <c r="DK134" s="294"/>
      <c r="DL134" s="275">
        <v>2</v>
      </c>
      <c r="DM134" s="276">
        <v>5</v>
      </c>
      <c r="DN134" s="276">
        <v>4</v>
      </c>
      <c r="DO134" s="215">
        <f>SUM(DL134:DN134)</f>
        <v>11</v>
      </c>
      <c r="DQ134" s="275">
        <v>2</v>
      </c>
      <c r="DR134" s="276">
        <f>DM134-DH134+DM134</f>
        <v>7</v>
      </c>
      <c r="DS134" s="276">
        <v>4</v>
      </c>
      <c r="DT134" s="215">
        <f>SUM(DQ134:DS134)</f>
        <v>13</v>
      </c>
      <c r="DV134" s="275">
        <v>2</v>
      </c>
      <c r="DW134" s="276">
        <f>DR134-DM134+DR134</f>
        <v>9</v>
      </c>
      <c r="DX134" s="276">
        <v>4</v>
      </c>
      <c r="DY134" s="215">
        <f>SUM(DV134:DX134)</f>
        <v>15</v>
      </c>
    </row>
    <row r="135" spans="1:172" ht="26.25" x14ac:dyDescent="0.4">
      <c r="A135" s="203"/>
      <c r="B135" s="203"/>
      <c r="C135" s="203"/>
      <c r="D135" s="203"/>
      <c r="E135" s="203"/>
      <c r="F135" s="203"/>
      <c r="G135" s="203"/>
      <c r="H135" s="203"/>
      <c r="I135" s="203"/>
      <c r="J135" s="203"/>
      <c r="K135" s="203"/>
      <c r="L135" s="203"/>
      <c r="M135" s="203"/>
      <c r="N135" s="203"/>
      <c r="O135" s="203"/>
      <c r="P135" s="203"/>
      <c r="Q135" s="203"/>
      <c r="R135" s="203"/>
      <c r="S135" s="203"/>
      <c r="T135" s="203"/>
      <c r="Y135" s="577" t="s">
        <v>695</v>
      </c>
      <c r="Z135" s="436"/>
      <c r="AA135" s="436"/>
      <c r="AB135" s="436"/>
      <c r="AC135" s="436"/>
      <c r="AD135" s="436"/>
      <c r="AE135" s="436"/>
      <c r="AF135" s="436"/>
      <c r="AG135" s="436"/>
      <c r="AH135" s="436"/>
      <c r="AI135" s="436"/>
      <c r="AJ135" s="436"/>
      <c r="AK135" s="436"/>
      <c r="AL135" s="436"/>
      <c r="AM135" s="436"/>
      <c r="AN135" s="436"/>
      <c r="AO135" s="436"/>
      <c r="AX135" s="577" t="s">
        <v>703</v>
      </c>
      <c r="AY135" s="436"/>
      <c r="AZ135" s="436"/>
      <c r="BA135" s="436"/>
      <c r="BB135" s="436"/>
      <c r="BC135" s="436"/>
      <c r="BD135" s="436"/>
      <c r="BE135" s="436"/>
      <c r="BF135" s="436"/>
      <c r="BG135" s="436"/>
      <c r="BH135" s="436"/>
      <c r="BI135" s="436"/>
      <c r="BJ135" s="436"/>
      <c r="BK135" s="436"/>
      <c r="BL135" s="436"/>
      <c r="BM135" s="436"/>
      <c r="BN135" s="436"/>
      <c r="BX135" s="577" t="s">
        <v>725</v>
      </c>
      <c r="BY135" s="436"/>
      <c r="BZ135" s="436"/>
      <c r="CA135" s="436"/>
      <c r="CB135" s="436"/>
      <c r="CC135" s="436"/>
      <c r="CD135" s="436"/>
      <c r="CE135" s="436"/>
      <c r="CF135" s="436"/>
      <c r="CG135" s="436"/>
      <c r="CH135" s="436"/>
      <c r="CI135" s="436"/>
      <c r="CJ135" s="436"/>
      <c r="CK135" s="436"/>
      <c r="CL135" s="436"/>
      <c r="CM135" s="436"/>
      <c r="CN135" s="436"/>
      <c r="CX135" s="234" t="s">
        <v>751</v>
      </c>
      <c r="CY135" s="235" t="s">
        <v>752</v>
      </c>
      <c r="CZ135" s="129"/>
      <c r="DA135" s="19"/>
      <c r="DB135" s="279">
        <v>2</v>
      </c>
      <c r="DC135" s="279">
        <v>2</v>
      </c>
      <c r="DD135" s="279">
        <v>2</v>
      </c>
      <c r="DE135" s="280">
        <f t="shared" ref="DE135:DE156" si="72">SUM(DB135:DD135)</f>
        <v>6</v>
      </c>
      <c r="DF135" s="38"/>
      <c r="DG135" s="279">
        <v>2</v>
      </c>
      <c r="DH135" s="160">
        <v>3</v>
      </c>
      <c r="DI135" s="160">
        <v>4</v>
      </c>
      <c r="DJ135" s="280">
        <f t="shared" ref="DJ135:DJ156" si="73">SUM(DG135:DI135)</f>
        <v>9</v>
      </c>
      <c r="DK135" s="19"/>
      <c r="DL135" s="279">
        <v>2</v>
      </c>
      <c r="DM135" s="160">
        <v>5</v>
      </c>
      <c r="DN135" s="160">
        <v>4</v>
      </c>
      <c r="DO135" s="280">
        <f t="shared" ref="DO135:DO156" si="74">SUM(DL135:DN135)</f>
        <v>11</v>
      </c>
      <c r="DQ135" s="279">
        <v>2</v>
      </c>
      <c r="DR135" s="160">
        <f t="shared" ref="DR135:DR156" si="75">DM135-DH135+DM135</f>
        <v>7</v>
      </c>
      <c r="DS135" s="160">
        <v>4</v>
      </c>
      <c r="DT135" s="280">
        <f t="shared" ref="DT135:DT156" si="76">SUM(DQ135:DS135)</f>
        <v>13</v>
      </c>
      <c r="DV135" s="279">
        <v>2</v>
      </c>
      <c r="DW135" s="160">
        <f t="shared" ref="DW135:DW156" si="77">DR135-DM135+DR135</f>
        <v>9</v>
      </c>
      <c r="DX135" s="160">
        <v>4</v>
      </c>
      <c r="DY135" s="280">
        <f t="shared" ref="DY135:DY156" si="78">SUM(DV135:DX135)</f>
        <v>15</v>
      </c>
    </row>
    <row r="136" spans="1:172" ht="23.25" x14ac:dyDescent="0.35">
      <c r="A136" s="203"/>
      <c r="B136" s="203"/>
      <c r="C136" s="203"/>
      <c r="D136" s="203"/>
      <c r="E136" s="203"/>
      <c r="F136" s="203"/>
      <c r="G136" s="203"/>
      <c r="H136" s="203"/>
      <c r="I136" s="203"/>
      <c r="J136" s="203"/>
      <c r="K136" s="203"/>
      <c r="L136" s="203"/>
      <c r="M136" s="203"/>
      <c r="N136" s="203"/>
      <c r="O136" s="203"/>
      <c r="P136" s="203"/>
      <c r="Q136" s="203"/>
      <c r="R136" s="203"/>
      <c r="S136" s="203"/>
      <c r="T136" s="203"/>
      <c r="Y136" s="579" t="s">
        <v>248</v>
      </c>
      <c r="Z136" s="580"/>
      <c r="AA136" s="580"/>
      <c r="AB136" s="580"/>
      <c r="AC136" s="580"/>
      <c r="AD136" s="580"/>
      <c r="AE136" s="580"/>
      <c r="AF136" s="581"/>
      <c r="AG136" s="75"/>
      <c r="AH136" s="579" t="s">
        <v>280</v>
      </c>
      <c r="AI136" s="580"/>
      <c r="AJ136" s="580"/>
      <c r="AK136" s="580"/>
      <c r="AL136" s="580"/>
      <c r="AM136" s="580"/>
      <c r="AN136" s="580"/>
      <c r="AO136" s="581"/>
      <c r="AX136" s="579" t="s">
        <v>248</v>
      </c>
      <c r="AY136" s="580"/>
      <c r="AZ136" s="580"/>
      <c r="BA136" s="580"/>
      <c r="BB136" s="580"/>
      <c r="BC136" s="580"/>
      <c r="BD136" s="580"/>
      <c r="BE136" s="581"/>
      <c r="BF136" s="75"/>
      <c r="BG136" s="579" t="s">
        <v>280</v>
      </c>
      <c r="BH136" s="580"/>
      <c r="BI136" s="580"/>
      <c r="BJ136" s="580"/>
      <c r="BK136" s="580"/>
      <c r="BL136" s="580"/>
      <c r="BM136" s="580"/>
      <c r="BN136" s="581"/>
      <c r="BX136" s="579" t="s">
        <v>248</v>
      </c>
      <c r="BY136" s="580"/>
      <c r="BZ136" s="580"/>
      <c r="CA136" s="580"/>
      <c r="CB136" s="580"/>
      <c r="CC136" s="580"/>
      <c r="CD136" s="580"/>
      <c r="CE136" s="581"/>
      <c r="CF136" s="75"/>
      <c r="CG136" s="579" t="s">
        <v>280</v>
      </c>
      <c r="CH136" s="580"/>
      <c r="CI136" s="580"/>
      <c r="CJ136" s="580"/>
      <c r="CK136" s="580"/>
      <c r="CL136" s="580"/>
      <c r="CM136" s="580"/>
      <c r="CN136" s="581"/>
      <c r="CX136" s="234" t="s">
        <v>754</v>
      </c>
      <c r="CY136" s="235" t="s">
        <v>755</v>
      </c>
      <c r="CZ136" s="129"/>
      <c r="DA136" s="19"/>
      <c r="DB136" s="279">
        <v>2</v>
      </c>
      <c r="DC136" s="279">
        <v>2</v>
      </c>
      <c r="DD136" s="279">
        <v>2</v>
      </c>
      <c r="DE136" s="280">
        <f t="shared" si="72"/>
        <v>6</v>
      </c>
      <c r="DF136" s="38"/>
      <c r="DG136" s="279">
        <v>2</v>
      </c>
      <c r="DH136" s="160">
        <v>3</v>
      </c>
      <c r="DI136" s="160">
        <v>4</v>
      </c>
      <c r="DJ136" s="280">
        <f t="shared" si="73"/>
        <v>9</v>
      </c>
      <c r="DK136" s="19"/>
      <c r="DL136" s="279">
        <v>2</v>
      </c>
      <c r="DM136" s="160">
        <v>5</v>
      </c>
      <c r="DN136" s="160">
        <v>4</v>
      </c>
      <c r="DO136" s="280">
        <f t="shared" si="74"/>
        <v>11</v>
      </c>
      <c r="DQ136" s="279">
        <v>2</v>
      </c>
      <c r="DR136" s="160">
        <f t="shared" si="75"/>
        <v>7</v>
      </c>
      <c r="DS136" s="160">
        <v>4</v>
      </c>
      <c r="DT136" s="280">
        <f t="shared" si="76"/>
        <v>13</v>
      </c>
      <c r="DV136" s="279">
        <v>2</v>
      </c>
      <c r="DW136" s="160">
        <f t="shared" si="77"/>
        <v>9</v>
      </c>
      <c r="DX136" s="160">
        <v>4</v>
      </c>
      <c r="DY136" s="280">
        <f t="shared" si="78"/>
        <v>15</v>
      </c>
    </row>
    <row r="137" spans="1:172" x14ac:dyDescent="0.25">
      <c r="A137" s="203"/>
      <c r="B137" s="203"/>
      <c r="C137" s="203"/>
      <c r="D137" s="203"/>
      <c r="E137" s="203"/>
      <c r="F137" s="203"/>
      <c r="G137" s="203"/>
      <c r="H137" s="203"/>
      <c r="I137" s="203"/>
      <c r="J137" s="203"/>
      <c r="K137" s="203"/>
      <c r="L137" s="203"/>
      <c r="M137" s="203"/>
      <c r="N137" s="203"/>
      <c r="O137" s="203"/>
      <c r="P137" s="203"/>
      <c r="Q137" s="203"/>
      <c r="R137" s="203"/>
      <c r="S137" s="203"/>
      <c r="T137" s="203"/>
      <c r="Y137" s="10" t="s">
        <v>28</v>
      </c>
      <c r="Z137" s="11">
        <v>1</v>
      </c>
      <c r="AA137" s="10" t="s">
        <v>36</v>
      </c>
      <c r="AB137" s="12" t="s">
        <v>243</v>
      </c>
      <c r="AC137" s="149">
        <f>Z137*20</f>
        <v>20</v>
      </c>
      <c r="AD137" s="53"/>
      <c r="AE137" s="95">
        <v>45490</v>
      </c>
      <c r="AF137" s="23" t="s">
        <v>1109</v>
      </c>
      <c r="AG137" s="75"/>
      <c r="AH137" s="10" t="s">
        <v>28</v>
      </c>
      <c r="AI137" s="11">
        <v>1</v>
      </c>
      <c r="AJ137" s="10" t="s">
        <v>141</v>
      </c>
      <c r="AK137" s="12" t="s">
        <v>243</v>
      </c>
      <c r="AL137" s="145">
        <f>AI137*17</f>
        <v>17</v>
      </c>
      <c r="AM137" s="50"/>
      <c r="AN137" s="95"/>
      <c r="AO137" s="23" t="s">
        <v>207</v>
      </c>
      <c r="AX137" s="10" t="s">
        <v>28</v>
      </c>
      <c r="AY137" s="11">
        <v>1</v>
      </c>
      <c r="AZ137" s="10" t="s">
        <v>36</v>
      </c>
      <c r="BA137" s="12" t="s">
        <v>273</v>
      </c>
      <c r="BB137" s="149"/>
      <c r="BC137" s="53"/>
      <c r="BD137" s="95"/>
      <c r="BE137" s="23" t="s">
        <v>336</v>
      </c>
      <c r="BF137" s="75"/>
      <c r="BG137" s="10" t="s">
        <v>28</v>
      </c>
      <c r="BH137" s="11">
        <v>1</v>
      </c>
      <c r="BI137" s="10" t="s">
        <v>141</v>
      </c>
      <c r="BJ137" s="12" t="s">
        <v>273</v>
      </c>
      <c r="BK137" s="145">
        <f>BH137*12</f>
        <v>12</v>
      </c>
      <c r="BL137" s="50"/>
      <c r="BM137" s="95">
        <v>45457</v>
      </c>
      <c r="BN137" s="23" t="s">
        <v>1141</v>
      </c>
      <c r="BX137" s="10" t="s">
        <v>28</v>
      </c>
      <c r="BY137" s="11">
        <v>1</v>
      </c>
      <c r="BZ137" s="10" t="s">
        <v>36</v>
      </c>
      <c r="CA137" s="12" t="s">
        <v>274</v>
      </c>
      <c r="CB137" s="145"/>
      <c r="CC137" s="26"/>
      <c r="CD137" s="95"/>
      <c r="CE137" s="32" t="s">
        <v>336</v>
      </c>
      <c r="CF137" s="75"/>
      <c r="CG137" s="10" t="s">
        <v>28</v>
      </c>
      <c r="CH137" s="11">
        <v>1</v>
      </c>
      <c r="CI137" s="10" t="s">
        <v>141</v>
      </c>
      <c r="CJ137" s="12" t="s">
        <v>274</v>
      </c>
      <c r="CK137" s="145">
        <f>CH137*19</f>
        <v>19</v>
      </c>
      <c r="CL137" s="26"/>
      <c r="CM137" s="95">
        <v>45457</v>
      </c>
      <c r="CN137" s="23" t="s">
        <v>284</v>
      </c>
      <c r="CX137" s="386" t="s">
        <v>832</v>
      </c>
      <c r="CY137" s="387" t="s">
        <v>833</v>
      </c>
      <c r="CZ137" s="129"/>
      <c r="DA137" s="19"/>
      <c r="DB137" s="279">
        <v>2</v>
      </c>
      <c r="DC137" s="160">
        <v>3</v>
      </c>
      <c r="DD137" s="160">
        <v>4</v>
      </c>
      <c r="DE137" s="280">
        <f t="shared" si="72"/>
        <v>9</v>
      </c>
      <c r="DF137" s="38"/>
      <c r="DG137" s="279">
        <v>2</v>
      </c>
      <c r="DH137" s="160">
        <v>3</v>
      </c>
      <c r="DI137" s="160">
        <v>4</v>
      </c>
      <c r="DJ137" s="280">
        <f t="shared" si="73"/>
        <v>9</v>
      </c>
      <c r="DK137" s="19"/>
      <c r="DL137" s="279">
        <v>2</v>
      </c>
      <c r="DM137" s="160">
        <v>5</v>
      </c>
      <c r="DN137" s="160">
        <v>4</v>
      </c>
      <c r="DO137" s="280">
        <f t="shared" si="74"/>
        <v>11</v>
      </c>
      <c r="DQ137" s="279">
        <v>2</v>
      </c>
      <c r="DR137" s="160">
        <f t="shared" si="75"/>
        <v>7</v>
      </c>
      <c r="DS137" s="160">
        <v>4</v>
      </c>
      <c r="DT137" s="280">
        <f t="shared" si="76"/>
        <v>13</v>
      </c>
      <c r="DV137" s="279">
        <v>2</v>
      </c>
      <c r="DW137" s="160">
        <f t="shared" si="77"/>
        <v>9</v>
      </c>
      <c r="DX137" s="160">
        <v>4</v>
      </c>
      <c r="DY137" s="280">
        <f t="shared" si="78"/>
        <v>15</v>
      </c>
    </row>
    <row r="138" spans="1:172" x14ac:dyDescent="0.25">
      <c r="A138" s="203"/>
      <c r="B138" s="203"/>
      <c r="C138" s="203"/>
      <c r="D138" s="203"/>
      <c r="E138" s="203"/>
      <c r="F138" s="203"/>
      <c r="G138" s="203"/>
      <c r="H138" s="203"/>
      <c r="I138" s="203"/>
      <c r="J138" s="203"/>
      <c r="K138" s="203"/>
      <c r="L138" s="203"/>
      <c r="M138" s="203"/>
      <c r="N138" s="203"/>
      <c r="O138" s="203"/>
      <c r="P138" s="203"/>
      <c r="Q138" s="203"/>
      <c r="R138" s="203"/>
      <c r="S138" s="203"/>
      <c r="T138" s="203"/>
      <c r="Y138" s="10" t="s">
        <v>28</v>
      </c>
      <c r="Z138" s="11">
        <v>1</v>
      </c>
      <c r="AA138" s="10" t="s">
        <v>34</v>
      </c>
      <c r="AB138" s="12" t="s">
        <v>243</v>
      </c>
      <c r="AC138" s="149">
        <f>Z138*20</f>
        <v>20</v>
      </c>
      <c r="AD138" s="53"/>
      <c r="AE138" s="95">
        <v>45490</v>
      </c>
      <c r="AF138" s="23" t="s">
        <v>1109</v>
      </c>
      <c r="AG138" s="75"/>
      <c r="AH138" s="10" t="s">
        <v>28</v>
      </c>
      <c r="AI138" s="11">
        <v>1</v>
      </c>
      <c r="AJ138" s="10" t="s">
        <v>143</v>
      </c>
      <c r="AK138" s="12" t="s">
        <v>243</v>
      </c>
      <c r="AL138" s="145">
        <f>AI138*25</f>
        <v>25</v>
      </c>
      <c r="AM138" s="50"/>
      <c r="AN138" s="95">
        <v>45413</v>
      </c>
      <c r="AO138" s="23" t="s">
        <v>207</v>
      </c>
      <c r="AQ138" s="582" t="s">
        <v>590</v>
      </c>
      <c r="AR138" s="582"/>
      <c r="AS138" s="582"/>
      <c r="AT138" s="582"/>
      <c r="AU138" s="582"/>
      <c r="AX138" s="10" t="s">
        <v>28</v>
      </c>
      <c r="AY138" s="11">
        <v>1</v>
      </c>
      <c r="AZ138" s="10" t="s">
        <v>34</v>
      </c>
      <c r="BA138" s="12" t="s">
        <v>273</v>
      </c>
      <c r="BB138" s="149"/>
      <c r="BC138" s="53"/>
      <c r="BD138" s="95"/>
      <c r="BE138" s="23" t="s">
        <v>336</v>
      </c>
      <c r="BF138" s="75"/>
      <c r="BG138" s="10" t="s">
        <v>28</v>
      </c>
      <c r="BH138" s="11">
        <v>1</v>
      </c>
      <c r="BI138" s="10" t="s">
        <v>143</v>
      </c>
      <c r="BJ138" s="12" t="s">
        <v>273</v>
      </c>
      <c r="BK138" s="145">
        <f>BH138*20</f>
        <v>20</v>
      </c>
      <c r="BL138" s="50"/>
      <c r="BM138" s="95">
        <v>45457</v>
      </c>
      <c r="BN138" s="23" t="s">
        <v>1141</v>
      </c>
      <c r="BP138" s="582" t="s">
        <v>590</v>
      </c>
      <c r="BQ138" s="582"/>
      <c r="BR138" s="582"/>
      <c r="BS138" s="582"/>
      <c r="BT138" s="582"/>
      <c r="BX138" s="10" t="s">
        <v>28</v>
      </c>
      <c r="BY138" s="11">
        <v>1</v>
      </c>
      <c r="BZ138" s="10" t="s">
        <v>34</v>
      </c>
      <c r="CA138" s="12" t="s">
        <v>274</v>
      </c>
      <c r="CB138" s="145"/>
      <c r="CC138" s="26"/>
      <c r="CD138" s="95"/>
      <c r="CE138" s="23"/>
      <c r="CF138" s="75"/>
      <c r="CG138" s="10" t="s">
        <v>28</v>
      </c>
      <c r="CH138" s="11">
        <v>1</v>
      </c>
      <c r="CI138" s="10" t="s">
        <v>143</v>
      </c>
      <c r="CJ138" s="12" t="s">
        <v>274</v>
      </c>
      <c r="CK138" s="145">
        <f>CH138*29</f>
        <v>29</v>
      </c>
      <c r="CL138" s="26"/>
      <c r="CM138" s="95">
        <v>45457</v>
      </c>
      <c r="CN138" s="23" t="s">
        <v>284</v>
      </c>
      <c r="CP138" s="582" t="s">
        <v>590</v>
      </c>
      <c r="CQ138" s="582"/>
      <c r="CR138" s="582"/>
      <c r="CS138" s="582"/>
      <c r="CT138" s="582"/>
      <c r="CX138" s="234" t="s">
        <v>834</v>
      </c>
      <c r="CY138" s="235" t="s">
        <v>835</v>
      </c>
      <c r="CZ138" s="129"/>
      <c r="DA138" s="19"/>
      <c r="DB138" s="279">
        <v>2</v>
      </c>
      <c r="DC138" s="160">
        <v>3</v>
      </c>
      <c r="DD138" s="160">
        <v>4</v>
      </c>
      <c r="DE138" s="280">
        <f t="shared" si="72"/>
        <v>9</v>
      </c>
      <c r="DF138" s="38"/>
      <c r="DG138" s="279">
        <v>2</v>
      </c>
      <c r="DH138" s="160">
        <v>3</v>
      </c>
      <c r="DI138" s="160">
        <v>4</v>
      </c>
      <c r="DJ138" s="280">
        <f t="shared" si="73"/>
        <v>9</v>
      </c>
      <c r="DK138" s="19"/>
      <c r="DL138" s="279">
        <v>2</v>
      </c>
      <c r="DM138" s="160">
        <v>5</v>
      </c>
      <c r="DN138" s="160">
        <v>4</v>
      </c>
      <c r="DO138" s="280">
        <f t="shared" si="74"/>
        <v>11</v>
      </c>
      <c r="DQ138" s="279">
        <v>2</v>
      </c>
      <c r="DR138" s="160">
        <f t="shared" si="75"/>
        <v>7</v>
      </c>
      <c r="DS138" s="160">
        <v>4</v>
      </c>
      <c r="DT138" s="280">
        <f t="shared" si="76"/>
        <v>13</v>
      </c>
      <c r="DV138" s="279">
        <v>2</v>
      </c>
      <c r="DW138" s="160">
        <f t="shared" si="77"/>
        <v>9</v>
      </c>
      <c r="DX138" s="160">
        <v>4</v>
      </c>
      <c r="DY138" s="280">
        <f t="shared" si="78"/>
        <v>15</v>
      </c>
    </row>
    <row r="139" spans="1:172" x14ac:dyDescent="0.25">
      <c r="A139" s="203"/>
      <c r="B139" s="203"/>
      <c r="C139" s="203"/>
      <c r="D139" s="203"/>
      <c r="E139" s="203"/>
      <c r="F139" s="203"/>
      <c r="G139" s="203"/>
      <c r="H139" s="203"/>
      <c r="I139" s="203"/>
      <c r="J139" s="203"/>
      <c r="K139" s="203"/>
      <c r="L139" s="203"/>
      <c r="M139" s="203"/>
      <c r="N139" s="203"/>
      <c r="O139" s="203"/>
      <c r="P139" s="203"/>
      <c r="Q139" s="203"/>
      <c r="R139" s="203"/>
      <c r="S139" s="203"/>
      <c r="T139" s="203"/>
      <c r="Y139" s="10" t="s">
        <v>28</v>
      </c>
      <c r="Z139" s="11">
        <v>1</v>
      </c>
      <c r="AA139" s="10" t="s">
        <v>35</v>
      </c>
      <c r="AB139" s="12" t="s">
        <v>243</v>
      </c>
      <c r="AC139" s="149">
        <f>Z139*20</f>
        <v>20</v>
      </c>
      <c r="AD139" s="53"/>
      <c r="AE139" s="95">
        <v>45495</v>
      </c>
      <c r="AF139" s="23" t="s">
        <v>1109</v>
      </c>
      <c r="AG139" s="75"/>
      <c r="AH139" s="10" t="s">
        <v>28</v>
      </c>
      <c r="AI139" s="11">
        <v>1</v>
      </c>
      <c r="AJ139" s="10" t="s">
        <v>145</v>
      </c>
      <c r="AK139" s="12" t="s">
        <v>243</v>
      </c>
      <c r="AL139" s="149">
        <f>AI139*60</f>
        <v>60</v>
      </c>
      <c r="AM139" s="53"/>
      <c r="AN139" s="95">
        <v>45413</v>
      </c>
      <c r="AO139" s="23" t="s">
        <v>207</v>
      </c>
      <c r="AQ139" s="582"/>
      <c r="AR139" s="582"/>
      <c r="AS139" s="582"/>
      <c r="AT139" s="582"/>
      <c r="AU139" s="582"/>
      <c r="AX139" s="10" t="s">
        <v>28</v>
      </c>
      <c r="AY139" s="11">
        <v>1</v>
      </c>
      <c r="AZ139" s="10" t="s">
        <v>35</v>
      </c>
      <c r="BA139" s="12" t="s">
        <v>273</v>
      </c>
      <c r="BB139" s="149"/>
      <c r="BC139" s="53"/>
      <c r="BD139" s="95"/>
      <c r="BE139" s="23" t="s">
        <v>336</v>
      </c>
      <c r="BF139" s="75"/>
      <c r="BG139" s="10" t="s">
        <v>28</v>
      </c>
      <c r="BH139" s="11">
        <v>1</v>
      </c>
      <c r="BI139" s="10" t="s">
        <v>145</v>
      </c>
      <c r="BJ139" s="12" t="s">
        <v>273</v>
      </c>
      <c r="BK139" s="149">
        <f>BH139*37</f>
        <v>37</v>
      </c>
      <c r="BL139" s="53"/>
      <c r="BM139" s="95">
        <v>45457</v>
      </c>
      <c r="BN139" s="23" t="s">
        <v>1141</v>
      </c>
      <c r="BP139" s="582"/>
      <c r="BQ139" s="582"/>
      <c r="BR139" s="582"/>
      <c r="BS139" s="582"/>
      <c r="BT139" s="582"/>
      <c r="BX139" s="10" t="s">
        <v>28</v>
      </c>
      <c r="BY139" s="11">
        <v>1</v>
      </c>
      <c r="BZ139" s="10" t="s">
        <v>35</v>
      </c>
      <c r="CA139" s="12" t="s">
        <v>274</v>
      </c>
      <c r="CB139" s="145"/>
      <c r="CC139" s="22"/>
      <c r="CD139" s="95"/>
      <c r="CE139" s="23" t="s">
        <v>336</v>
      </c>
      <c r="CF139" s="75"/>
      <c r="CG139" s="10" t="s">
        <v>28</v>
      </c>
      <c r="CH139" s="11">
        <v>1</v>
      </c>
      <c r="CI139" s="10" t="s">
        <v>145</v>
      </c>
      <c r="CJ139" s="12" t="s">
        <v>274</v>
      </c>
      <c r="CK139" s="145">
        <f>CH139*35</f>
        <v>35</v>
      </c>
      <c r="CL139" s="22"/>
      <c r="CM139" s="95">
        <v>45457</v>
      </c>
      <c r="CN139" s="23" t="s">
        <v>284</v>
      </c>
      <c r="CP139" s="582"/>
      <c r="CQ139" s="582"/>
      <c r="CR139" s="582"/>
      <c r="CS139" s="582"/>
      <c r="CT139" s="582"/>
      <c r="CX139" s="234" t="s">
        <v>763</v>
      </c>
      <c r="CY139" s="235" t="s">
        <v>764</v>
      </c>
      <c r="CZ139" s="129"/>
      <c r="DA139" s="19"/>
      <c r="DB139" s="279">
        <v>2</v>
      </c>
      <c r="DC139" s="160">
        <v>3</v>
      </c>
      <c r="DD139" s="160">
        <v>4</v>
      </c>
      <c r="DE139" s="280">
        <f t="shared" si="72"/>
        <v>9</v>
      </c>
      <c r="DF139" s="38"/>
      <c r="DG139" s="279">
        <v>2</v>
      </c>
      <c r="DH139" s="160">
        <v>3</v>
      </c>
      <c r="DI139" s="160">
        <v>4</v>
      </c>
      <c r="DJ139" s="280">
        <f t="shared" si="73"/>
        <v>9</v>
      </c>
      <c r="DK139" s="19"/>
      <c r="DL139" s="279">
        <v>2</v>
      </c>
      <c r="DM139" s="160">
        <v>5</v>
      </c>
      <c r="DN139" s="160">
        <v>4</v>
      </c>
      <c r="DO139" s="280">
        <f t="shared" si="74"/>
        <v>11</v>
      </c>
      <c r="DQ139" s="279">
        <v>2</v>
      </c>
      <c r="DR139" s="160">
        <f t="shared" si="75"/>
        <v>7</v>
      </c>
      <c r="DS139" s="160">
        <v>4</v>
      </c>
      <c r="DT139" s="280">
        <f t="shared" si="76"/>
        <v>13</v>
      </c>
      <c r="DV139" s="279">
        <v>2</v>
      </c>
      <c r="DW139" s="160">
        <f t="shared" si="77"/>
        <v>9</v>
      </c>
      <c r="DX139" s="160">
        <v>4</v>
      </c>
      <c r="DY139" s="280">
        <f t="shared" si="78"/>
        <v>15</v>
      </c>
    </row>
    <row r="140" spans="1:172" ht="23.25" x14ac:dyDescent="0.35">
      <c r="A140" s="567" t="s">
        <v>561</v>
      </c>
      <c r="B140" s="567"/>
      <c r="C140" s="567"/>
      <c r="D140" s="567"/>
      <c r="E140" s="567"/>
      <c r="F140" s="567"/>
      <c r="G140" s="75"/>
      <c r="H140" s="567" t="s">
        <v>561</v>
      </c>
      <c r="I140" s="567"/>
      <c r="J140" s="567"/>
      <c r="K140" s="567"/>
      <c r="L140" s="567"/>
      <c r="M140" s="567"/>
      <c r="N140" s="75"/>
      <c r="O140" s="567" t="s">
        <v>561</v>
      </c>
      <c r="P140" s="567"/>
      <c r="Q140" s="567"/>
      <c r="R140" s="567"/>
      <c r="S140" s="567"/>
      <c r="T140" s="567"/>
      <c r="Y140" s="10" t="s">
        <v>28</v>
      </c>
      <c r="Z140" s="11">
        <v>1</v>
      </c>
      <c r="AA140" s="10" t="s">
        <v>40</v>
      </c>
      <c r="AB140" s="12" t="s">
        <v>243</v>
      </c>
      <c r="AC140" s="149"/>
      <c r="AD140" s="53"/>
      <c r="AE140" s="95"/>
      <c r="AF140" s="23" t="s">
        <v>1109</v>
      </c>
      <c r="AG140" s="75"/>
      <c r="AH140" s="10" t="s">
        <v>28</v>
      </c>
      <c r="AI140" s="11">
        <v>1</v>
      </c>
      <c r="AJ140" s="10" t="s">
        <v>147</v>
      </c>
      <c r="AK140" s="12" t="s">
        <v>243</v>
      </c>
      <c r="AL140" s="149">
        <f>AI140*40</f>
        <v>40</v>
      </c>
      <c r="AM140" s="53"/>
      <c r="AN140" s="95">
        <v>45413</v>
      </c>
      <c r="AO140" s="23" t="s">
        <v>207</v>
      </c>
      <c r="AQ140" s="582"/>
      <c r="AR140" s="582"/>
      <c r="AS140" s="582"/>
      <c r="AT140" s="582"/>
      <c r="AU140" s="582"/>
      <c r="AX140" s="10" t="s">
        <v>28</v>
      </c>
      <c r="AY140" s="11">
        <v>1</v>
      </c>
      <c r="AZ140" s="10" t="s">
        <v>40</v>
      </c>
      <c r="BA140" s="12" t="s">
        <v>273</v>
      </c>
      <c r="BB140" s="149"/>
      <c r="BC140" s="53"/>
      <c r="BD140" s="95"/>
      <c r="BE140" s="23" t="s">
        <v>336</v>
      </c>
      <c r="BF140" s="75"/>
      <c r="BG140" s="10" t="s">
        <v>28</v>
      </c>
      <c r="BH140" s="11">
        <v>1</v>
      </c>
      <c r="BI140" s="10" t="s">
        <v>147</v>
      </c>
      <c r="BJ140" s="12" t="s">
        <v>273</v>
      </c>
      <c r="BK140" s="149">
        <f>BH140*52</f>
        <v>52</v>
      </c>
      <c r="BL140" s="53"/>
      <c r="BM140" s="95">
        <v>45457</v>
      </c>
      <c r="BN140" s="23" t="s">
        <v>1141</v>
      </c>
      <c r="BP140" s="582"/>
      <c r="BQ140" s="582"/>
      <c r="BR140" s="582"/>
      <c r="BS140" s="582"/>
      <c r="BT140" s="582"/>
      <c r="BX140" s="10" t="s">
        <v>28</v>
      </c>
      <c r="BY140" s="11">
        <v>1</v>
      </c>
      <c r="BZ140" s="10" t="s">
        <v>40</v>
      </c>
      <c r="CA140" s="12" t="s">
        <v>274</v>
      </c>
      <c r="CB140" s="149"/>
      <c r="CC140" s="22"/>
      <c r="CD140" s="95"/>
      <c r="CE140" s="23"/>
      <c r="CF140" s="75"/>
      <c r="CG140" s="10" t="s">
        <v>28</v>
      </c>
      <c r="CH140" s="11">
        <v>1</v>
      </c>
      <c r="CI140" s="10" t="s">
        <v>147</v>
      </c>
      <c r="CJ140" s="12" t="s">
        <v>274</v>
      </c>
      <c r="CK140" s="149">
        <f>CH140*75</f>
        <v>75</v>
      </c>
      <c r="CL140" s="22"/>
      <c r="CM140" s="95">
        <v>45457</v>
      </c>
      <c r="CN140" s="23" t="s">
        <v>284</v>
      </c>
      <c r="CP140" s="582"/>
      <c r="CQ140" s="582"/>
      <c r="CR140" s="582"/>
      <c r="CS140" s="582"/>
      <c r="CT140" s="582"/>
      <c r="CX140" s="234" t="s">
        <v>765</v>
      </c>
      <c r="CY140" s="235" t="s">
        <v>766</v>
      </c>
      <c r="CZ140" s="129"/>
      <c r="DA140" s="19"/>
      <c r="DB140" s="279">
        <v>2</v>
      </c>
      <c r="DC140" s="160">
        <v>3</v>
      </c>
      <c r="DD140" s="160">
        <v>4</v>
      </c>
      <c r="DE140" s="280">
        <f t="shared" si="72"/>
        <v>9</v>
      </c>
      <c r="DF140" s="38"/>
      <c r="DG140" s="279">
        <v>2</v>
      </c>
      <c r="DH140" s="160">
        <v>3</v>
      </c>
      <c r="DI140" s="160">
        <v>4</v>
      </c>
      <c r="DJ140" s="280">
        <f t="shared" si="73"/>
        <v>9</v>
      </c>
      <c r="DK140" s="19"/>
      <c r="DL140" s="279">
        <v>2</v>
      </c>
      <c r="DM140" s="160">
        <v>5</v>
      </c>
      <c r="DN140" s="160">
        <v>4</v>
      </c>
      <c r="DO140" s="280">
        <f t="shared" si="74"/>
        <v>11</v>
      </c>
      <c r="DQ140" s="279">
        <v>2</v>
      </c>
      <c r="DR140" s="160">
        <f t="shared" si="75"/>
        <v>7</v>
      </c>
      <c r="DS140" s="160">
        <v>4</v>
      </c>
      <c r="DT140" s="280">
        <f t="shared" si="76"/>
        <v>13</v>
      </c>
      <c r="DV140" s="279">
        <v>2</v>
      </c>
      <c r="DW140" s="160">
        <f t="shared" si="77"/>
        <v>9</v>
      </c>
      <c r="DX140" s="160">
        <v>4</v>
      </c>
      <c r="DY140" s="280">
        <f t="shared" si="78"/>
        <v>15</v>
      </c>
    </row>
    <row r="141" spans="1:172" x14ac:dyDescent="0.25">
      <c r="A141" s="189" t="s">
        <v>87</v>
      </c>
      <c r="B141" s="12">
        <v>1</v>
      </c>
      <c r="C141" s="86" t="s">
        <v>90</v>
      </c>
      <c r="D141" s="12" t="s">
        <v>277</v>
      </c>
      <c r="E141" s="24"/>
      <c r="F141" s="190"/>
      <c r="G141" s="75"/>
      <c r="H141" s="189" t="s">
        <v>87</v>
      </c>
      <c r="I141" s="12">
        <v>1</v>
      </c>
      <c r="J141" s="86" t="s">
        <v>90</v>
      </c>
      <c r="K141" s="12" t="s">
        <v>84</v>
      </c>
      <c r="L141" s="24"/>
      <c r="M141" s="190"/>
      <c r="N141" s="75"/>
      <c r="O141" s="189" t="s">
        <v>87</v>
      </c>
      <c r="P141" s="12">
        <v>1</v>
      </c>
      <c r="Q141" s="86" t="s">
        <v>90</v>
      </c>
      <c r="R141" s="12" t="s">
        <v>80</v>
      </c>
      <c r="S141" s="24"/>
      <c r="T141" s="190"/>
      <c r="Y141" s="10" t="s">
        <v>28</v>
      </c>
      <c r="Z141" s="11">
        <v>1</v>
      </c>
      <c r="AA141" s="10" t="s">
        <v>43</v>
      </c>
      <c r="AB141" s="12" t="s">
        <v>243</v>
      </c>
      <c r="AC141" s="149">
        <f>Z141*43</f>
        <v>43</v>
      </c>
      <c r="AD141" s="53"/>
      <c r="AE141" s="95">
        <v>45495</v>
      </c>
      <c r="AF141" s="23" t="s">
        <v>1109</v>
      </c>
      <c r="AG141" s="75"/>
      <c r="AH141" s="10" t="s">
        <v>28</v>
      </c>
      <c r="AI141" s="11">
        <v>1</v>
      </c>
      <c r="AJ141" s="10" t="s">
        <v>149</v>
      </c>
      <c r="AK141" s="12" t="s">
        <v>243</v>
      </c>
      <c r="AL141" s="149">
        <f>AI141*40</f>
        <v>40</v>
      </c>
      <c r="AM141" s="53"/>
      <c r="AN141" s="95">
        <v>45407</v>
      </c>
      <c r="AO141" s="23" t="s">
        <v>207</v>
      </c>
      <c r="AQ141" s="582"/>
      <c r="AR141" s="582"/>
      <c r="AS141" s="582"/>
      <c r="AT141" s="582"/>
      <c r="AU141" s="582"/>
      <c r="AX141" s="10" t="s">
        <v>28</v>
      </c>
      <c r="AY141" s="11">
        <v>1</v>
      </c>
      <c r="AZ141" s="10" t="s">
        <v>43</v>
      </c>
      <c r="BA141" s="12" t="s">
        <v>273</v>
      </c>
      <c r="BB141" s="149"/>
      <c r="BC141" s="53"/>
      <c r="BD141" s="95"/>
      <c r="BE141" s="23"/>
      <c r="BF141" s="75"/>
      <c r="BG141" s="10" t="s">
        <v>28</v>
      </c>
      <c r="BH141" s="11">
        <v>1</v>
      </c>
      <c r="BI141" s="10" t="s">
        <v>149</v>
      </c>
      <c r="BJ141" s="12" t="s">
        <v>273</v>
      </c>
      <c r="BK141" s="149">
        <f>BH141*60</f>
        <v>60</v>
      </c>
      <c r="BL141" s="53"/>
      <c r="BM141" s="95">
        <v>45457</v>
      </c>
      <c r="BN141" s="23" t="s">
        <v>1141</v>
      </c>
      <c r="BP141" s="582"/>
      <c r="BQ141" s="582"/>
      <c r="BR141" s="582"/>
      <c r="BS141" s="582"/>
      <c r="BT141" s="582"/>
      <c r="BX141" s="10" t="s">
        <v>28</v>
      </c>
      <c r="BY141" s="11">
        <v>1</v>
      </c>
      <c r="BZ141" s="10" t="s">
        <v>43</v>
      </c>
      <c r="CA141" s="12" t="s">
        <v>274</v>
      </c>
      <c r="CB141" s="149"/>
      <c r="CC141" s="22"/>
      <c r="CD141" s="95"/>
      <c r="CE141" s="23" t="s">
        <v>336</v>
      </c>
      <c r="CF141" s="75"/>
      <c r="CG141" s="10" t="s">
        <v>28</v>
      </c>
      <c r="CH141" s="11">
        <v>1</v>
      </c>
      <c r="CI141" s="10" t="s">
        <v>149</v>
      </c>
      <c r="CJ141" s="12" t="s">
        <v>274</v>
      </c>
      <c r="CK141" s="149">
        <f>CH141*108</f>
        <v>108</v>
      </c>
      <c r="CL141" s="22"/>
      <c r="CM141" s="95">
        <v>45457</v>
      </c>
      <c r="CN141" s="23" t="s">
        <v>284</v>
      </c>
      <c r="CP141" s="582"/>
      <c r="CQ141" s="582"/>
      <c r="CR141" s="582"/>
      <c r="CS141" s="582"/>
      <c r="CT141" s="582"/>
      <c r="CX141" s="234" t="s">
        <v>767</v>
      </c>
      <c r="CY141" s="235" t="s">
        <v>768</v>
      </c>
      <c r="CZ141" s="129"/>
      <c r="DA141" s="19"/>
      <c r="DB141" s="279">
        <v>2</v>
      </c>
      <c r="DC141" s="160">
        <v>3</v>
      </c>
      <c r="DD141" s="160">
        <v>4</v>
      </c>
      <c r="DE141" s="280">
        <f t="shared" si="72"/>
        <v>9</v>
      </c>
      <c r="DF141" s="38"/>
      <c r="DG141" s="279">
        <v>2</v>
      </c>
      <c r="DH141" s="160">
        <v>3</v>
      </c>
      <c r="DI141" s="160">
        <v>4</v>
      </c>
      <c r="DJ141" s="280">
        <f t="shared" si="73"/>
        <v>9</v>
      </c>
      <c r="DK141" s="19"/>
      <c r="DL141" s="279">
        <v>2</v>
      </c>
      <c r="DM141" s="160">
        <v>5</v>
      </c>
      <c r="DN141" s="160">
        <v>4</v>
      </c>
      <c r="DO141" s="280">
        <f t="shared" si="74"/>
        <v>11</v>
      </c>
      <c r="DQ141" s="279">
        <v>2</v>
      </c>
      <c r="DR141" s="160">
        <f t="shared" si="75"/>
        <v>7</v>
      </c>
      <c r="DS141" s="160">
        <v>4</v>
      </c>
      <c r="DT141" s="280">
        <f t="shared" si="76"/>
        <v>13</v>
      </c>
      <c r="DV141" s="279">
        <v>2</v>
      </c>
      <c r="DW141" s="160">
        <f t="shared" si="77"/>
        <v>9</v>
      </c>
      <c r="DX141" s="160">
        <v>4</v>
      </c>
      <c r="DY141" s="280">
        <f t="shared" si="78"/>
        <v>15</v>
      </c>
    </row>
    <row r="142" spans="1:172" x14ac:dyDescent="0.25">
      <c r="A142" s="189"/>
      <c r="B142" s="12">
        <v>1</v>
      </c>
      <c r="C142" s="86" t="s">
        <v>90</v>
      </c>
      <c r="D142" s="12" t="s">
        <v>277</v>
      </c>
      <c r="E142" s="24"/>
      <c r="F142" s="190"/>
      <c r="G142" s="75"/>
      <c r="H142" s="189"/>
      <c r="I142" s="12">
        <v>1</v>
      </c>
      <c r="J142" s="86" t="s">
        <v>90</v>
      </c>
      <c r="K142" s="12" t="s">
        <v>84</v>
      </c>
      <c r="L142" s="24"/>
      <c r="M142" s="190"/>
      <c r="N142" s="75"/>
      <c r="O142" s="189"/>
      <c r="P142" s="12">
        <v>1</v>
      </c>
      <c r="Q142" s="86" t="s">
        <v>90</v>
      </c>
      <c r="R142" s="12" t="s">
        <v>80</v>
      </c>
      <c r="S142" s="24"/>
      <c r="T142" s="190"/>
      <c r="Y142" s="10" t="s">
        <v>28</v>
      </c>
      <c r="Z142" s="11">
        <v>1</v>
      </c>
      <c r="AA142" s="10" t="s">
        <v>45</v>
      </c>
      <c r="AB142" s="12" t="s">
        <v>243</v>
      </c>
      <c r="AC142" s="111"/>
      <c r="AD142" s="50"/>
      <c r="AE142" s="95"/>
      <c r="AF142" s="23"/>
      <c r="AG142" s="75"/>
      <c r="AH142" s="10" t="s">
        <v>28</v>
      </c>
      <c r="AI142" s="11">
        <v>1</v>
      </c>
      <c r="AJ142" s="10" t="s">
        <v>160</v>
      </c>
      <c r="AK142" s="12" t="s">
        <v>243</v>
      </c>
      <c r="AL142" s="145"/>
      <c r="AM142" s="50"/>
      <c r="AN142" s="95"/>
      <c r="AO142" s="23"/>
      <c r="AQ142" s="582"/>
      <c r="AR142" s="582"/>
      <c r="AS142" s="582"/>
      <c r="AT142" s="582"/>
      <c r="AU142" s="582"/>
      <c r="AX142" s="10" t="s">
        <v>28</v>
      </c>
      <c r="AY142" s="11">
        <v>1</v>
      </c>
      <c r="AZ142" s="10" t="s">
        <v>45</v>
      </c>
      <c r="BA142" s="12" t="s">
        <v>273</v>
      </c>
      <c r="BB142" s="111"/>
      <c r="BC142" s="50"/>
      <c r="BD142" s="95"/>
      <c r="BE142" s="23"/>
      <c r="BF142" s="75"/>
      <c r="BG142" s="10" t="s">
        <v>28</v>
      </c>
      <c r="BH142" s="11">
        <v>1</v>
      </c>
      <c r="BI142" s="10" t="s">
        <v>160</v>
      </c>
      <c r="BJ142" s="12" t="s">
        <v>273</v>
      </c>
      <c r="BK142" s="145"/>
      <c r="BL142" s="50"/>
      <c r="BM142" s="95"/>
      <c r="BN142" s="23" t="s">
        <v>1141</v>
      </c>
      <c r="BP142" s="582"/>
      <c r="BQ142" s="582"/>
      <c r="BR142" s="582"/>
      <c r="BS142" s="582"/>
      <c r="BT142" s="582"/>
      <c r="BX142" s="10" t="s">
        <v>28</v>
      </c>
      <c r="BY142" s="11">
        <v>1</v>
      </c>
      <c r="BZ142" s="10" t="s">
        <v>45</v>
      </c>
      <c r="CA142" s="12" t="s">
        <v>274</v>
      </c>
      <c r="CB142" s="111"/>
      <c r="CC142" s="26"/>
      <c r="CD142" s="95"/>
      <c r="CE142" s="23"/>
      <c r="CF142" s="75"/>
      <c r="CG142" s="10" t="s">
        <v>28</v>
      </c>
      <c r="CH142" s="11">
        <v>1</v>
      </c>
      <c r="CI142" s="10" t="s">
        <v>160</v>
      </c>
      <c r="CJ142" s="12" t="s">
        <v>274</v>
      </c>
      <c r="CK142" s="149"/>
      <c r="CL142" s="22"/>
      <c r="CM142" s="95"/>
      <c r="CN142" s="23"/>
      <c r="CP142" s="582"/>
      <c r="CQ142" s="582"/>
      <c r="CR142" s="582"/>
      <c r="CS142" s="582"/>
      <c r="CT142" s="582"/>
      <c r="CX142" s="234" t="s">
        <v>769</v>
      </c>
      <c r="CY142" s="235" t="s">
        <v>770</v>
      </c>
      <c r="CZ142" s="129"/>
      <c r="DA142" s="19"/>
      <c r="DB142" s="279">
        <v>2</v>
      </c>
      <c r="DC142" s="160">
        <v>3</v>
      </c>
      <c r="DD142" s="160">
        <v>4</v>
      </c>
      <c r="DE142" s="280">
        <f t="shared" si="72"/>
        <v>9</v>
      </c>
      <c r="DF142" s="38"/>
      <c r="DG142" s="279">
        <v>2</v>
      </c>
      <c r="DH142" s="160">
        <v>3</v>
      </c>
      <c r="DI142" s="160">
        <v>4</v>
      </c>
      <c r="DJ142" s="280">
        <f t="shared" si="73"/>
        <v>9</v>
      </c>
      <c r="DK142" s="19"/>
      <c r="DL142" s="279">
        <v>2</v>
      </c>
      <c r="DM142" s="160">
        <v>5</v>
      </c>
      <c r="DN142" s="160">
        <v>4</v>
      </c>
      <c r="DO142" s="280">
        <f t="shared" si="74"/>
        <v>11</v>
      </c>
      <c r="DQ142" s="279">
        <v>2</v>
      </c>
      <c r="DR142" s="160">
        <f t="shared" si="75"/>
        <v>7</v>
      </c>
      <c r="DS142" s="160">
        <v>4</v>
      </c>
      <c r="DT142" s="280">
        <f t="shared" si="76"/>
        <v>13</v>
      </c>
      <c r="DV142" s="279">
        <v>2</v>
      </c>
      <c r="DW142" s="160">
        <f t="shared" si="77"/>
        <v>9</v>
      </c>
      <c r="DX142" s="160">
        <v>4</v>
      </c>
      <c r="DY142" s="280">
        <f t="shared" si="78"/>
        <v>15</v>
      </c>
      <c r="EN142" s="436"/>
      <c r="EO142" s="436"/>
      <c r="EP142" s="436"/>
      <c r="EQ142" s="436"/>
      <c r="ER142" s="436"/>
      <c r="ES142" s="436"/>
      <c r="ET142" s="436"/>
      <c r="EU142" s="436"/>
      <c r="EV142" s="436"/>
      <c r="EW142" s="436"/>
      <c r="EX142" s="436"/>
      <c r="EY142" s="436"/>
      <c r="EZ142" s="436"/>
    </row>
    <row r="143" spans="1:172" x14ac:dyDescent="0.25">
      <c r="A143" s="189"/>
      <c r="B143" s="12">
        <v>1</v>
      </c>
      <c r="C143" s="86" t="s">
        <v>90</v>
      </c>
      <c r="D143" s="12" t="s">
        <v>277</v>
      </c>
      <c r="E143" s="24"/>
      <c r="F143" s="190"/>
      <c r="G143" s="75"/>
      <c r="H143" s="189"/>
      <c r="I143" s="12">
        <v>1</v>
      </c>
      <c r="J143" s="86" t="s">
        <v>90</v>
      </c>
      <c r="K143" s="12" t="s">
        <v>84</v>
      </c>
      <c r="L143" s="24"/>
      <c r="M143" s="190"/>
      <c r="N143" s="75"/>
      <c r="O143" s="189"/>
      <c r="P143" s="12">
        <v>1</v>
      </c>
      <c r="Q143" s="86" t="s">
        <v>90</v>
      </c>
      <c r="R143" s="12" t="s">
        <v>80</v>
      </c>
      <c r="S143" s="24"/>
      <c r="T143" s="190"/>
      <c r="Y143" s="10" t="s">
        <v>28</v>
      </c>
      <c r="Z143" s="11">
        <v>1</v>
      </c>
      <c r="AA143" s="10" t="s">
        <v>48</v>
      </c>
      <c r="AB143" s="12" t="s">
        <v>243</v>
      </c>
      <c r="AC143" s="145"/>
      <c r="AD143" s="50"/>
      <c r="AE143" s="95"/>
      <c r="AF143" s="23" t="s">
        <v>207</v>
      </c>
      <c r="AG143" s="75"/>
      <c r="AH143" s="10" t="s">
        <v>28</v>
      </c>
      <c r="AI143" s="11">
        <v>1</v>
      </c>
      <c r="AJ143" s="10" t="s">
        <v>162</v>
      </c>
      <c r="AK143" s="12" t="s">
        <v>243</v>
      </c>
      <c r="AL143" s="92">
        <f>AI143*55</f>
        <v>55</v>
      </c>
      <c r="AM143" s="50"/>
      <c r="AN143" s="95">
        <v>45413</v>
      </c>
      <c r="AO143" s="23" t="s">
        <v>207</v>
      </c>
      <c r="AX143" s="10" t="s">
        <v>28</v>
      </c>
      <c r="AY143" s="11">
        <v>1</v>
      </c>
      <c r="AZ143" s="10" t="s">
        <v>48</v>
      </c>
      <c r="BA143" s="12" t="s">
        <v>273</v>
      </c>
      <c r="BB143" s="145"/>
      <c r="BC143" s="50"/>
      <c r="BD143" s="95"/>
      <c r="BE143" s="23"/>
      <c r="BF143" s="75"/>
      <c r="BG143" s="10" t="s">
        <v>28</v>
      </c>
      <c r="BH143" s="11">
        <v>1</v>
      </c>
      <c r="BI143" s="10" t="s">
        <v>162</v>
      </c>
      <c r="BJ143" s="12" t="s">
        <v>273</v>
      </c>
      <c r="BK143" s="92">
        <f>BH143*138</f>
        <v>138</v>
      </c>
      <c r="BL143" s="50"/>
      <c r="BM143" s="95">
        <v>45457</v>
      </c>
      <c r="BN143" s="23" t="s">
        <v>1141</v>
      </c>
      <c r="BX143" s="10" t="s">
        <v>28</v>
      </c>
      <c r="BY143" s="11">
        <v>1</v>
      </c>
      <c r="BZ143" s="10" t="s">
        <v>48</v>
      </c>
      <c r="CA143" s="12" t="s">
        <v>274</v>
      </c>
      <c r="CB143" s="92"/>
      <c r="CC143" s="26"/>
      <c r="CD143" s="95"/>
      <c r="CE143" s="23" t="s">
        <v>336</v>
      </c>
      <c r="CF143" s="75"/>
      <c r="CG143" s="10" t="s">
        <v>28</v>
      </c>
      <c r="CH143" s="11">
        <v>1</v>
      </c>
      <c r="CI143" s="10" t="s">
        <v>162</v>
      </c>
      <c r="CJ143" s="12" t="s">
        <v>274</v>
      </c>
      <c r="CK143" s="149">
        <f>CH143*200</f>
        <v>200</v>
      </c>
      <c r="CL143" s="22"/>
      <c r="CM143" s="95">
        <v>45457</v>
      </c>
      <c r="CN143" s="23" t="s">
        <v>284</v>
      </c>
      <c r="CX143" s="234" t="s">
        <v>771</v>
      </c>
      <c r="CY143" s="235" t="s">
        <v>772</v>
      </c>
      <c r="CZ143" s="129"/>
      <c r="DA143" s="19"/>
      <c r="DB143" s="279">
        <v>3</v>
      </c>
      <c r="DC143" s="160">
        <v>3</v>
      </c>
      <c r="DD143" s="160">
        <v>4</v>
      </c>
      <c r="DE143" s="280">
        <f t="shared" si="72"/>
        <v>10</v>
      </c>
      <c r="DF143" s="38"/>
      <c r="DG143" s="279">
        <v>3</v>
      </c>
      <c r="DH143" s="160">
        <v>3</v>
      </c>
      <c r="DI143" s="160">
        <v>4</v>
      </c>
      <c r="DJ143" s="280">
        <f t="shared" si="73"/>
        <v>10</v>
      </c>
      <c r="DK143" s="19"/>
      <c r="DL143" s="279">
        <v>3</v>
      </c>
      <c r="DM143" s="160">
        <v>5</v>
      </c>
      <c r="DN143" s="160">
        <v>4</v>
      </c>
      <c r="DO143" s="280">
        <f t="shared" si="74"/>
        <v>12</v>
      </c>
      <c r="DQ143" s="279">
        <v>3</v>
      </c>
      <c r="DR143" s="160">
        <f t="shared" si="75"/>
        <v>7</v>
      </c>
      <c r="DS143" s="160">
        <v>4</v>
      </c>
      <c r="DT143" s="280">
        <f t="shared" si="76"/>
        <v>14</v>
      </c>
      <c r="DV143" s="279">
        <v>3</v>
      </c>
      <c r="DW143" s="160">
        <f t="shared" si="77"/>
        <v>9</v>
      </c>
      <c r="DX143" s="160">
        <v>4</v>
      </c>
      <c r="DY143" s="280">
        <f t="shared" si="78"/>
        <v>16</v>
      </c>
      <c r="EN143" s="1"/>
      <c r="ER143" s="436"/>
      <c r="ES143" s="436"/>
      <c r="ET143" s="436"/>
      <c r="EU143" s="436"/>
      <c r="EV143" s="436"/>
      <c r="EW143" s="436"/>
      <c r="EX143" s="436"/>
      <c r="EY143" s="436"/>
      <c r="EZ143" s="436"/>
      <c r="FC143" s="436"/>
      <c r="FD143" s="436"/>
      <c r="FE143" s="436"/>
      <c r="FF143" s="436"/>
      <c r="FG143" s="436"/>
      <c r="FH143" s="436"/>
      <c r="FJ143" s="436"/>
      <c r="FK143" s="436"/>
      <c r="FL143" s="436"/>
      <c r="FM143" s="436"/>
      <c r="FN143" s="436"/>
      <c r="FO143" s="436"/>
      <c r="FP143" s="436"/>
    </row>
    <row r="144" spans="1:172" x14ac:dyDescent="0.25">
      <c r="A144" s="189"/>
      <c r="B144" s="12">
        <v>1</v>
      </c>
      <c r="C144" s="86" t="s">
        <v>90</v>
      </c>
      <c r="D144" s="12" t="s">
        <v>277</v>
      </c>
      <c r="E144" s="24"/>
      <c r="F144" s="190"/>
      <c r="G144" s="75"/>
      <c r="H144" s="189"/>
      <c r="I144" s="12">
        <v>1</v>
      </c>
      <c r="J144" s="86" t="s">
        <v>90</v>
      </c>
      <c r="K144" s="12" t="s">
        <v>84</v>
      </c>
      <c r="L144" s="24"/>
      <c r="M144" s="190"/>
      <c r="N144" s="75"/>
      <c r="O144" s="189"/>
      <c r="P144" s="12">
        <v>1</v>
      </c>
      <c r="Q144" s="86" t="s">
        <v>90</v>
      </c>
      <c r="R144" s="12" t="s">
        <v>80</v>
      </c>
      <c r="S144" s="24"/>
      <c r="T144" s="190"/>
      <c r="Y144" s="10" t="s">
        <v>28</v>
      </c>
      <c r="Z144" s="11">
        <v>1</v>
      </c>
      <c r="AA144" s="10" t="s">
        <v>51</v>
      </c>
      <c r="AB144" s="12" t="s">
        <v>243</v>
      </c>
      <c r="AC144" s="145">
        <f>Z144*157</f>
        <v>157</v>
      </c>
      <c r="AD144" s="50"/>
      <c r="AE144" s="95">
        <v>45495</v>
      </c>
      <c r="AF144" s="23" t="s">
        <v>1109</v>
      </c>
      <c r="AG144" s="75"/>
      <c r="AH144" s="10" t="s">
        <v>28</v>
      </c>
      <c r="AI144" s="11">
        <v>1</v>
      </c>
      <c r="AJ144" s="10" t="s">
        <v>164</v>
      </c>
      <c r="AK144" s="12" t="s">
        <v>243</v>
      </c>
      <c r="AL144" s="145">
        <f>AI144*85</f>
        <v>85</v>
      </c>
      <c r="AM144" s="50"/>
      <c r="AN144" s="95">
        <v>45413</v>
      </c>
      <c r="AO144" s="23" t="s">
        <v>207</v>
      </c>
      <c r="AX144" s="10" t="s">
        <v>28</v>
      </c>
      <c r="AY144" s="11">
        <v>1</v>
      </c>
      <c r="AZ144" s="10" t="s">
        <v>51</v>
      </c>
      <c r="BA144" s="12" t="s">
        <v>273</v>
      </c>
      <c r="BB144" s="145"/>
      <c r="BC144" s="50"/>
      <c r="BD144" s="95"/>
      <c r="BE144" s="23"/>
      <c r="BF144" s="75"/>
      <c r="BG144" s="10" t="s">
        <v>28</v>
      </c>
      <c r="BH144" s="11">
        <v>1</v>
      </c>
      <c r="BI144" s="10" t="s">
        <v>164</v>
      </c>
      <c r="BJ144" s="12" t="s">
        <v>273</v>
      </c>
      <c r="BK144" s="145">
        <f>BH144*220</f>
        <v>220</v>
      </c>
      <c r="BL144" s="50"/>
      <c r="BM144" s="95">
        <v>45457</v>
      </c>
      <c r="BN144" s="23" t="s">
        <v>1141</v>
      </c>
      <c r="BX144" s="10" t="s">
        <v>28</v>
      </c>
      <c r="BY144" s="11">
        <v>1</v>
      </c>
      <c r="BZ144" s="10" t="s">
        <v>51</v>
      </c>
      <c r="CA144" s="12" t="s">
        <v>274</v>
      </c>
      <c r="CB144" s="92"/>
      <c r="CC144" s="26"/>
      <c r="CD144" s="95"/>
      <c r="CE144" s="23" t="s">
        <v>336</v>
      </c>
      <c r="CF144" s="75"/>
      <c r="CG144" s="10" t="s">
        <v>28</v>
      </c>
      <c r="CH144" s="11">
        <v>1</v>
      </c>
      <c r="CI144" s="10" t="s">
        <v>164</v>
      </c>
      <c r="CJ144" s="12" t="s">
        <v>274</v>
      </c>
      <c r="CK144" s="145">
        <f>CH144*439</f>
        <v>439</v>
      </c>
      <c r="CL144" s="26"/>
      <c r="CM144" s="95">
        <v>45457</v>
      </c>
      <c r="CN144" s="23"/>
      <c r="CX144" s="234" t="s">
        <v>773</v>
      </c>
      <c r="CY144" s="235" t="s">
        <v>774</v>
      </c>
      <c r="CZ144" s="129"/>
      <c r="DA144" s="19"/>
      <c r="DB144" s="279">
        <v>3</v>
      </c>
      <c r="DC144" s="160">
        <v>3</v>
      </c>
      <c r="DD144" s="160">
        <v>4</v>
      </c>
      <c r="DE144" s="280">
        <f t="shared" si="72"/>
        <v>10</v>
      </c>
      <c r="DF144" s="38"/>
      <c r="DG144" s="279">
        <v>3</v>
      </c>
      <c r="DH144" s="160">
        <v>3</v>
      </c>
      <c r="DI144" s="160">
        <v>4</v>
      </c>
      <c r="DJ144" s="280">
        <f t="shared" si="73"/>
        <v>10</v>
      </c>
      <c r="DK144" s="19"/>
      <c r="DL144" s="279">
        <v>3</v>
      </c>
      <c r="DM144" s="160">
        <v>5</v>
      </c>
      <c r="DN144" s="160">
        <v>4</v>
      </c>
      <c r="DO144" s="280">
        <f t="shared" si="74"/>
        <v>12</v>
      </c>
      <c r="DQ144" s="279">
        <v>3</v>
      </c>
      <c r="DR144" s="160">
        <f t="shared" si="75"/>
        <v>7</v>
      </c>
      <c r="DS144" s="160">
        <v>4</v>
      </c>
      <c r="DT144" s="280">
        <f t="shared" si="76"/>
        <v>14</v>
      </c>
      <c r="DV144" s="279">
        <v>3</v>
      </c>
      <c r="DW144" s="160">
        <f t="shared" si="77"/>
        <v>9</v>
      </c>
      <c r="DX144" s="160">
        <v>4</v>
      </c>
      <c r="DY144" s="280">
        <f t="shared" si="78"/>
        <v>16</v>
      </c>
      <c r="EU144" s="408"/>
      <c r="EV144" s="408"/>
      <c r="EW144" s="408"/>
      <c r="EX144" s="408"/>
      <c r="EY144" s="408"/>
      <c r="EZ144" s="408"/>
      <c r="FA144" s="408"/>
      <c r="FC144" s="408"/>
      <c r="FD144" s="408"/>
      <c r="FE144" s="408"/>
      <c r="FF144" s="408"/>
      <c r="FG144" s="408"/>
      <c r="FH144" s="408"/>
      <c r="FK144" s="408"/>
      <c r="FL144" s="408"/>
      <c r="FM144" s="408"/>
      <c r="FN144" s="408"/>
      <c r="FO144" s="408"/>
      <c r="FP144" s="408"/>
    </row>
    <row r="145" spans="1:129" x14ac:dyDescent="0.25">
      <c r="A145" s="189"/>
      <c r="B145" s="12"/>
      <c r="C145" s="86" t="s">
        <v>562</v>
      </c>
      <c r="D145" s="12"/>
      <c r="E145" s="24"/>
      <c r="F145" s="190"/>
      <c r="G145" s="75"/>
      <c r="H145" s="189"/>
      <c r="I145" s="12"/>
      <c r="J145" s="86" t="s">
        <v>562</v>
      </c>
      <c r="K145" s="12"/>
      <c r="L145" s="24"/>
      <c r="M145" s="190"/>
      <c r="N145" s="75"/>
      <c r="O145" s="189"/>
      <c r="P145" s="12"/>
      <c r="Q145" s="86" t="s">
        <v>562</v>
      </c>
      <c r="R145" s="12"/>
      <c r="S145" s="24"/>
      <c r="T145" s="190"/>
      <c r="Y145" s="10" t="s">
        <v>28</v>
      </c>
      <c r="Z145" s="11">
        <v>1</v>
      </c>
      <c r="AA145" s="10" t="s">
        <v>53</v>
      </c>
      <c r="AB145" s="12" t="s">
        <v>243</v>
      </c>
      <c r="AC145" s="92"/>
      <c r="AD145" s="50"/>
      <c r="AE145" s="95"/>
      <c r="AF145" s="23" t="s">
        <v>1109</v>
      </c>
      <c r="AG145" s="75"/>
      <c r="AH145" s="10" t="s">
        <v>28</v>
      </c>
      <c r="AI145" s="11">
        <v>1</v>
      </c>
      <c r="AJ145" s="10" t="s">
        <v>166</v>
      </c>
      <c r="AK145" s="12" t="s">
        <v>243</v>
      </c>
      <c r="AL145" s="92">
        <f>AI145*150</f>
        <v>150</v>
      </c>
      <c r="AM145" s="50"/>
      <c r="AN145" s="95">
        <v>45397</v>
      </c>
      <c r="AO145" s="23"/>
      <c r="AX145" s="10" t="s">
        <v>28</v>
      </c>
      <c r="AY145" s="11">
        <v>1</v>
      </c>
      <c r="AZ145" s="10" t="s">
        <v>53</v>
      </c>
      <c r="BA145" s="12" t="s">
        <v>273</v>
      </c>
      <c r="BB145" s="92"/>
      <c r="BC145" s="50"/>
      <c r="BD145" s="95"/>
      <c r="BE145" s="23"/>
      <c r="BF145" s="75"/>
      <c r="BG145" s="10" t="s">
        <v>28</v>
      </c>
      <c r="BH145" s="11">
        <v>1</v>
      </c>
      <c r="BI145" s="10" t="s">
        <v>166</v>
      </c>
      <c r="BJ145" s="12" t="s">
        <v>273</v>
      </c>
      <c r="BK145" s="92">
        <f>BH145*364</f>
        <v>364</v>
      </c>
      <c r="BL145" s="50"/>
      <c r="BM145" s="95">
        <v>45457</v>
      </c>
      <c r="BN145" s="23" t="s">
        <v>1141</v>
      </c>
      <c r="BX145" s="10" t="s">
        <v>28</v>
      </c>
      <c r="BY145" s="11">
        <v>1</v>
      </c>
      <c r="BZ145" s="10" t="s">
        <v>53</v>
      </c>
      <c r="CA145" s="12" t="s">
        <v>274</v>
      </c>
      <c r="CB145" s="92"/>
      <c r="CC145" s="26"/>
      <c r="CD145" s="95"/>
      <c r="CE145" s="23"/>
      <c r="CF145" s="75"/>
      <c r="CG145" s="10" t="s">
        <v>28</v>
      </c>
      <c r="CH145" s="11">
        <v>1</v>
      </c>
      <c r="CI145" s="10" t="s">
        <v>166</v>
      </c>
      <c r="CJ145" s="12" t="s">
        <v>274</v>
      </c>
      <c r="CK145" s="92"/>
      <c r="CL145" s="26"/>
      <c r="CM145" s="95"/>
      <c r="CN145" s="23"/>
      <c r="CX145" s="234" t="s">
        <v>776</v>
      </c>
      <c r="CY145" s="235" t="s">
        <v>777</v>
      </c>
      <c r="CZ145" s="129"/>
      <c r="DA145" s="19"/>
      <c r="DB145" s="279">
        <v>3</v>
      </c>
      <c r="DC145" s="160">
        <v>3</v>
      </c>
      <c r="DD145" s="160">
        <v>4</v>
      </c>
      <c r="DE145" s="280">
        <f t="shared" si="72"/>
        <v>10</v>
      </c>
      <c r="DF145" s="38"/>
      <c r="DG145" s="279">
        <v>3</v>
      </c>
      <c r="DH145" s="160">
        <v>3</v>
      </c>
      <c r="DI145" s="160">
        <v>4</v>
      </c>
      <c r="DJ145" s="280">
        <f t="shared" si="73"/>
        <v>10</v>
      </c>
      <c r="DK145" s="19"/>
      <c r="DL145" s="279">
        <v>3</v>
      </c>
      <c r="DM145" s="160">
        <v>5</v>
      </c>
      <c r="DN145" s="160">
        <v>4</v>
      </c>
      <c r="DO145" s="280">
        <f t="shared" si="74"/>
        <v>12</v>
      </c>
      <c r="DQ145" s="279">
        <v>3</v>
      </c>
      <c r="DR145" s="160">
        <f t="shared" si="75"/>
        <v>7</v>
      </c>
      <c r="DS145" s="160">
        <v>4</v>
      </c>
      <c r="DT145" s="280">
        <f t="shared" si="76"/>
        <v>14</v>
      </c>
      <c r="DV145" s="279">
        <v>3</v>
      </c>
      <c r="DW145" s="160">
        <f t="shared" si="77"/>
        <v>9</v>
      </c>
      <c r="DX145" s="160">
        <v>4</v>
      </c>
      <c r="DY145" s="280">
        <f t="shared" si="78"/>
        <v>16</v>
      </c>
    </row>
    <row r="146" spans="1:129" x14ac:dyDescent="0.25">
      <c r="A146" s="189" t="s">
        <v>81</v>
      </c>
      <c r="B146" s="12">
        <v>1</v>
      </c>
      <c r="C146" s="86" t="s">
        <v>563</v>
      </c>
      <c r="D146" s="12" t="s">
        <v>91</v>
      </c>
      <c r="E146" s="24"/>
      <c r="F146" s="190"/>
      <c r="G146" s="75"/>
      <c r="H146" s="189" t="s">
        <v>81</v>
      </c>
      <c r="I146" s="12">
        <v>1</v>
      </c>
      <c r="J146" s="86" t="s">
        <v>563</v>
      </c>
      <c r="K146" s="12" t="s">
        <v>84</v>
      </c>
      <c r="L146" s="24"/>
      <c r="M146" s="190"/>
      <c r="N146" s="75"/>
      <c r="O146" s="189" t="s">
        <v>81</v>
      </c>
      <c r="P146" s="12">
        <v>1</v>
      </c>
      <c r="Q146" s="86" t="s">
        <v>563</v>
      </c>
      <c r="R146" s="12" t="s">
        <v>80</v>
      </c>
      <c r="S146" s="24"/>
      <c r="T146" s="190"/>
      <c r="Y146" s="10" t="s">
        <v>28</v>
      </c>
      <c r="Z146" s="11">
        <v>1</v>
      </c>
      <c r="AA146" s="10" t="s">
        <v>56</v>
      </c>
      <c r="AB146" s="12" t="s">
        <v>243</v>
      </c>
      <c r="AC146" s="92"/>
      <c r="AD146" s="50"/>
      <c r="AE146" s="95"/>
      <c r="AF146" s="23"/>
      <c r="AG146" s="75"/>
      <c r="AH146" s="10" t="s">
        <v>28</v>
      </c>
      <c r="AI146" s="11">
        <v>1</v>
      </c>
      <c r="AJ146" s="10" t="s">
        <v>168</v>
      </c>
      <c r="AK146" s="12" t="s">
        <v>243</v>
      </c>
      <c r="AL146" s="92"/>
      <c r="AM146" s="50"/>
      <c r="AN146" s="95"/>
      <c r="AO146" s="23"/>
      <c r="AX146" s="10" t="s">
        <v>28</v>
      </c>
      <c r="AY146" s="11">
        <v>1</v>
      </c>
      <c r="AZ146" s="10" t="s">
        <v>56</v>
      </c>
      <c r="BA146" s="12" t="s">
        <v>273</v>
      </c>
      <c r="BB146" s="92"/>
      <c r="BC146" s="50"/>
      <c r="BD146" s="95"/>
      <c r="BE146" s="23"/>
      <c r="BF146" s="75"/>
      <c r="BG146" s="10" t="s">
        <v>28</v>
      </c>
      <c r="BH146" s="11">
        <v>1</v>
      </c>
      <c r="BI146" s="10" t="s">
        <v>168</v>
      </c>
      <c r="BJ146" s="12" t="s">
        <v>273</v>
      </c>
      <c r="BK146" s="92">
        <f>BH146*412</f>
        <v>412</v>
      </c>
      <c r="BL146" s="50"/>
      <c r="BM146" s="95">
        <v>45457</v>
      </c>
      <c r="BN146" s="23" t="s">
        <v>1141</v>
      </c>
      <c r="BX146" s="10" t="s">
        <v>28</v>
      </c>
      <c r="BY146" s="11">
        <v>1</v>
      </c>
      <c r="BZ146" s="10" t="s">
        <v>56</v>
      </c>
      <c r="CA146" s="12" t="s">
        <v>274</v>
      </c>
      <c r="CB146" s="92"/>
      <c r="CC146" s="26"/>
      <c r="CD146" s="95"/>
      <c r="CE146" s="23" t="s">
        <v>336</v>
      </c>
      <c r="CF146" s="75"/>
      <c r="CG146" s="10" t="s">
        <v>28</v>
      </c>
      <c r="CH146" s="11">
        <v>1</v>
      </c>
      <c r="CI146" s="10" t="s">
        <v>168</v>
      </c>
      <c r="CJ146" s="12" t="s">
        <v>274</v>
      </c>
      <c r="CK146" s="92">
        <f>CH146*486</f>
        <v>486</v>
      </c>
      <c r="CL146" s="26"/>
      <c r="CM146" s="95">
        <v>45457</v>
      </c>
      <c r="CN146" s="23"/>
      <c r="CX146" s="234" t="s">
        <v>778</v>
      </c>
      <c r="CY146" s="235" t="s">
        <v>779</v>
      </c>
      <c r="CZ146" s="129"/>
      <c r="DA146" s="19"/>
      <c r="DB146" s="279">
        <v>3</v>
      </c>
      <c r="DC146" s="160">
        <v>4</v>
      </c>
      <c r="DD146" s="160">
        <v>5</v>
      </c>
      <c r="DE146" s="280">
        <f t="shared" si="72"/>
        <v>12</v>
      </c>
      <c r="DF146" s="38"/>
      <c r="DG146" s="279">
        <v>3</v>
      </c>
      <c r="DH146" s="160">
        <v>4</v>
      </c>
      <c r="DI146" s="160">
        <v>5</v>
      </c>
      <c r="DJ146" s="280">
        <f t="shared" si="73"/>
        <v>12</v>
      </c>
      <c r="DK146" s="19"/>
      <c r="DL146" s="279">
        <v>3</v>
      </c>
      <c r="DM146" s="160">
        <v>7</v>
      </c>
      <c r="DN146" s="160">
        <v>5</v>
      </c>
      <c r="DO146" s="280">
        <f t="shared" si="74"/>
        <v>15</v>
      </c>
      <c r="DQ146" s="279">
        <v>3</v>
      </c>
      <c r="DR146" s="160">
        <f t="shared" si="75"/>
        <v>10</v>
      </c>
      <c r="DS146" s="160">
        <v>5</v>
      </c>
      <c r="DT146" s="280">
        <f t="shared" si="76"/>
        <v>18</v>
      </c>
      <c r="DV146" s="279">
        <v>3</v>
      </c>
      <c r="DW146" s="160">
        <f t="shared" si="77"/>
        <v>13</v>
      </c>
      <c r="DX146" s="160">
        <v>5</v>
      </c>
      <c r="DY146" s="280">
        <f t="shared" si="78"/>
        <v>21</v>
      </c>
    </row>
    <row r="147" spans="1:129" ht="15" customHeight="1" x14ac:dyDescent="0.25">
      <c r="A147" s="189"/>
      <c r="B147" s="12"/>
      <c r="C147" s="86" t="s">
        <v>564</v>
      </c>
      <c r="D147" s="12"/>
      <c r="E147" s="24"/>
      <c r="F147" s="190"/>
      <c r="G147" s="75"/>
      <c r="H147" s="189"/>
      <c r="I147" s="12"/>
      <c r="J147" s="86" t="s">
        <v>564</v>
      </c>
      <c r="K147" s="12"/>
      <c r="L147" s="24"/>
      <c r="M147" s="190"/>
      <c r="N147" s="75"/>
      <c r="O147" s="189"/>
      <c r="P147" s="12"/>
      <c r="Q147" s="86" t="s">
        <v>564</v>
      </c>
      <c r="R147" s="12"/>
      <c r="S147" s="24"/>
      <c r="T147" s="190"/>
      <c r="Y147" s="10" t="s">
        <v>28</v>
      </c>
      <c r="Z147" s="11">
        <v>1</v>
      </c>
      <c r="AA147" s="10" t="s">
        <v>59</v>
      </c>
      <c r="AB147" s="12" t="s">
        <v>243</v>
      </c>
      <c r="AC147" s="568" t="s">
        <v>283</v>
      </c>
      <c r="AD147" s="569"/>
      <c r="AE147" s="569"/>
      <c r="AF147" s="570"/>
      <c r="AG147" s="75"/>
      <c r="AH147" s="10" t="s">
        <v>28</v>
      </c>
      <c r="AI147" s="11">
        <v>1</v>
      </c>
      <c r="AJ147" s="10" t="s">
        <v>170</v>
      </c>
      <c r="AK147" s="12" t="s">
        <v>243</v>
      </c>
      <c r="AL147" s="568" t="s">
        <v>283</v>
      </c>
      <c r="AM147" s="569"/>
      <c r="AN147" s="569"/>
      <c r="AO147" s="570"/>
      <c r="AX147" s="10" t="s">
        <v>28</v>
      </c>
      <c r="AY147" s="11">
        <v>1</v>
      </c>
      <c r="AZ147" s="10" t="s">
        <v>59</v>
      </c>
      <c r="BA147" s="12" t="s">
        <v>273</v>
      </c>
      <c r="BB147" s="568" t="s">
        <v>283</v>
      </c>
      <c r="BC147" s="569"/>
      <c r="BD147" s="569"/>
      <c r="BE147" s="570"/>
      <c r="BF147" s="75"/>
      <c r="BG147" s="10" t="s">
        <v>28</v>
      </c>
      <c r="BH147" s="11">
        <v>1</v>
      </c>
      <c r="BI147" s="10" t="s">
        <v>170</v>
      </c>
      <c r="BJ147" s="12" t="s">
        <v>273</v>
      </c>
      <c r="BK147" s="568" t="s">
        <v>283</v>
      </c>
      <c r="BL147" s="569"/>
      <c r="BM147" s="569"/>
      <c r="BN147" s="570"/>
      <c r="BX147" s="10" t="s">
        <v>28</v>
      </c>
      <c r="BY147" s="11">
        <v>1</v>
      </c>
      <c r="BZ147" s="10" t="s">
        <v>59</v>
      </c>
      <c r="CA147" s="12" t="s">
        <v>274</v>
      </c>
      <c r="CB147" s="568" t="s">
        <v>283</v>
      </c>
      <c r="CC147" s="569"/>
      <c r="CD147" s="569"/>
      <c r="CE147" s="570"/>
      <c r="CF147" s="75"/>
      <c r="CG147" s="10" t="s">
        <v>28</v>
      </c>
      <c r="CH147" s="11">
        <v>1</v>
      </c>
      <c r="CI147" s="10" t="s">
        <v>170</v>
      </c>
      <c r="CJ147" s="12" t="s">
        <v>274</v>
      </c>
      <c r="CK147" s="568" t="s">
        <v>283</v>
      </c>
      <c r="CL147" s="569"/>
      <c r="CM147" s="569"/>
      <c r="CN147" s="570"/>
      <c r="CX147" s="234" t="s">
        <v>780</v>
      </c>
      <c r="CY147" s="235" t="s">
        <v>781</v>
      </c>
      <c r="CZ147" s="129"/>
      <c r="DA147" s="19"/>
      <c r="DB147" s="279">
        <v>3</v>
      </c>
      <c r="DC147" s="160">
        <v>4</v>
      </c>
      <c r="DD147" s="160">
        <v>5</v>
      </c>
      <c r="DE147" s="280">
        <f t="shared" si="72"/>
        <v>12</v>
      </c>
      <c r="DF147" s="38"/>
      <c r="DG147" s="279">
        <v>3</v>
      </c>
      <c r="DH147" s="160">
        <v>4</v>
      </c>
      <c r="DI147" s="160">
        <v>5</v>
      </c>
      <c r="DJ147" s="280">
        <f t="shared" si="73"/>
        <v>12</v>
      </c>
      <c r="DK147" s="19"/>
      <c r="DL147" s="279">
        <v>3</v>
      </c>
      <c r="DM147" s="160">
        <v>7</v>
      </c>
      <c r="DN147" s="160">
        <v>5</v>
      </c>
      <c r="DO147" s="280">
        <f t="shared" si="74"/>
        <v>15</v>
      </c>
      <c r="DQ147" s="279">
        <v>3</v>
      </c>
      <c r="DR147" s="160">
        <f t="shared" si="75"/>
        <v>10</v>
      </c>
      <c r="DS147" s="160">
        <v>5</v>
      </c>
      <c r="DT147" s="280">
        <f t="shared" si="76"/>
        <v>18</v>
      </c>
      <c r="DV147" s="279">
        <v>3</v>
      </c>
      <c r="DW147" s="160">
        <f t="shared" si="77"/>
        <v>13</v>
      </c>
      <c r="DX147" s="160">
        <v>5</v>
      </c>
      <c r="DY147" s="280">
        <f t="shared" si="78"/>
        <v>21</v>
      </c>
    </row>
    <row r="148" spans="1:129" ht="15" customHeight="1" x14ac:dyDescent="0.25">
      <c r="A148" s="189" t="s">
        <v>82</v>
      </c>
      <c r="B148" s="12">
        <v>1</v>
      </c>
      <c r="C148" s="86" t="s">
        <v>565</v>
      </c>
      <c r="D148" s="12" t="s">
        <v>277</v>
      </c>
      <c r="E148" s="24"/>
      <c r="F148" s="191"/>
      <c r="G148" s="75"/>
      <c r="H148" s="189" t="s">
        <v>82</v>
      </c>
      <c r="I148" s="12">
        <v>1</v>
      </c>
      <c r="J148" s="86" t="s">
        <v>565</v>
      </c>
      <c r="K148" s="12" t="s">
        <v>84</v>
      </c>
      <c r="L148" s="24"/>
      <c r="M148" s="191"/>
      <c r="N148" s="75"/>
      <c r="O148" s="189" t="s">
        <v>82</v>
      </c>
      <c r="P148" s="12">
        <v>1</v>
      </c>
      <c r="Q148" s="86" t="s">
        <v>565</v>
      </c>
      <c r="R148" s="12" t="s">
        <v>80</v>
      </c>
      <c r="S148" s="24"/>
      <c r="T148" s="191"/>
      <c r="Y148" s="10" t="s">
        <v>28</v>
      </c>
      <c r="Z148" s="11">
        <v>1</v>
      </c>
      <c r="AA148" s="10" t="s">
        <v>61</v>
      </c>
      <c r="AB148" s="12" t="s">
        <v>243</v>
      </c>
      <c r="AC148" s="571"/>
      <c r="AD148" s="572"/>
      <c r="AE148" s="572"/>
      <c r="AF148" s="573"/>
      <c r="AG148" s="75"/>
      <c r="AH148" s="10" t="s">
        <v>28</v>
      </c>
      <c r="AI148" s="11">
        <v>1</v>
      </c>
      <c r="AJ148" s="10" t="s">
        <v>172</v>
      </c>
      <c r="AK148" s="12" t="s">
        <v>243</v>
      </c>
      <c r="AL148" s="571"/>
      <c r="AM148" s="572"/>
      <c r="AN148" s="572"/>
      <c r="AO148" s="573"/>
      <c r="AX148" s="10" t="s">
        <v>28</v>
      </c>
      <c r="AY148" s="11">
        <v>1</v>
      </c>
      <c r="AZ148" s="10" t="s">
        <v>61</v>
      </c>
      <c r="BA148" s="12" t="s">
        <v>273</v>
      </c>
      <c r="BB148" s="571"/>
      <c r="BC148" s="572"/>
      <c r="BD148" s="572"/>
      <c r="BE148" s="573"/>
      <c r="BF148" s="75"/>
      <c r="BG148" s="10" t="s">
        <v>28</v>
      </c>
      <c r="BH148" s="11">
        <v>1</v>
      </c>
      <c r="BI148" s="10" t="s">
        <v>172</v>
      </c>
      <c r="BJ148" s="12" t="s">
        <v>273</v>
      </c>
      <c r="BK148" s="571"/>
      <c r="BL148" s="572"/>
      <c r="BM148" s="572"/>
      <c r="BN148" s="573"/>
      <c r="BX148" s="10" t="s">
        <v>28</v>
      </c>
      <c r="BY148" s="11">
        <v>1</v>
      </c>
      <c r="BZ148" s="10" t="s">
        <v>61</v>
      </c>
      <c r="CA148" s="12" t="s">
        <v>274</v>
      </c>
      <c r="CB148" s="571"/>
      <c r="CC148" s="572"/>
      <c r="CD148" s="572"/>
      <c r="CE148" s="573"/>
      <c r="CF148" s="75"/>
      <c r="CG148" s="10" t="s">
        <v>28</v>
      </c>
      <c r="CH148" s="11">
        <v>1</v>
      </c>
      <c r="CI148" s="10" t="s">
        <v>172</v>
      </c>
      <c r="CJ148" s="12" t="s">
        <v>274</v>
      </c>
      <c r="CK148" s="571"/>
      <c r="CL148" s="572"/>
      <c r="CM148" s="572"/>
      <c r="CN148" s="573"/>
      <c r="CX148" s="234" t="s">
        <v>782</v>
      </c>
      <c r="CY148" s="235" t="s">
        <v>783</v>
      </c>
      <c r="CZ148" s="129"/>
      <c r="DA148" s="19"/>
      <c r="DB148" s="279">
        <v>3</v>
      </c>
      <c r="DC148" s="160">
        <v>4</v>
      </c>
      <c r="DD148" s="160">
        <v>5</v>
      </c>
      <c r="DE148" s="280">
        <f t="shared" si="72"/>
        <v>12</v>
      </c>
      <c r="DF148" s="38"/>
      <c r="DG148" s="279">
        <v>3</v>
      </c>
      <c r="DH148" s="160">
        <v>4</v>
      </c>
      <c r="DI148" s="160">
        <v>5</v>
      </c>
      <c r="DJ148" s="280">
        <f t="shared" si="73"/>
        <v>12</v>
      </c>
      <c r="DK148" s="19"/>
      <c r="DL148" s="279">
        <v>3</v>
      </c>
      <c r="DM148" s="160">
        <v>7</v>
      </c>
      <c r="DN148" s="160">
        <v>5</v>
      </c>
      <c r="DO148" s="280">
        <f t="shared" si="74"/>
        <v>15</v>
      </c>
      <c r="DQ148" s="279">
        <v>3</v>
      </c>
      <c r="DR148" s="160">
        <f t="shared" si="75"/>
        <v>10</v>
      </c>
      <c r="DS148" s="160">
        <v>5</v>
      </c>
      <c r="DT148" s="280">
        <f t="shared" si="76"/>
        <v>18</v>
      </c>
      <c r="DV148" s="279">
        <v>3</v>
      </c>
      <c r="DW148" s="160">
        <f t="shared" si="77"/>
        <v>13</v>
      </c>
      <c r="DX148" s="160">
        <v>5</v>
      </c>
      <c r="DY148" s="280">
        <f t="shared" si="78"/>
        <v>21</v>
      </c>
    </row>
    <row r="149" spans="1:129" ht="15" customHeight="1" x14ac:dyDescent="0.25">
      <c r="A149" s="189"/>
      <c r="B149" s="12">
        <v>1</v>
      </c>
      <c r="C149" s="86" t="s">
        <v>565</v>
      </c>
      <c r="D149" s="12" t="s">
        <v>277</v>
      </c>
      <c r="E149" s="24"/>
      <c r="F149" s="191"/>
      <c r="G149" s="75"/>
      <c r="H149" s="189"/>
      <c r="I149" s="12">
        <v>1</v>
      </c>
      <c r="J149" s="86" t="s">
        <v>565</v>
      </c>
      <c r="K149" s="12" t="s">
        <v>84</v>
      </c>
      <c r="L149" s="24"/>
      <c r="M149" s="191"/>
      <c r="N149" s="75"/>
      <c r="O149" s="189"/>
      <c r="P149" s="12">
        <v>1</v>
      </c>
      <c r="Q149" s="86" t="s">
        <v>565</v>
      </c>
      <c r="R149" s="12" t="s">
        <v>80</v>
      </c>
      <c r="S149" s="24"/>
      <c r="T149" s="191"/>
      <c r="Y149" s="10" t="s">
        <v>28</v>
      </c>
      <c r="Z149" s="11">
        <v>1</v>
      </c>
      <c r="AA149" s="10" t="s">
        <v>64</v>
      </c>
      <c r="AB149" s="12" t="s">
        <v>243</v>
      </c>
      <c r="AC149" s="571"/>
      <c r="AD149" s="572"/>
      <c r="AE149" s="572"/>
      <c r="AF149" s="573"/>
      <c r="AG149" s="75"/>
      <c r="AH149" s="10" t="s">
        <v>28</v>
      </c>
      <c r="AI149" s="11">
        <v>1</v>
      </c>
      <c r="AJ149" s="10" t="s">
        <v>174</v>
      </c>
      <c r="AK149" s="12" t="s">
        <v>243</v>
      </c>
      <c r="AL149" s="571"/>
      <c r="AM149" s="572"/>
      <c r="AN149" s="572"/>
      <c r="AO149" s="573"/>
      <c r="AX149" s="10" t="s">
        <v>28</v>
      </c>
      <c r="AY149" s="11">
        <v>1</v>
      </c>
      <c r="AZ149" s="10" t="s">
        <v>64</v>
      </c>
      <c r="BA149" s="12" t="s">
        <v>273</v>
      </c>
      <c r="BB149" s="571"/>
      <c r="BC149" s="572"/>
      <c r="BD149" s="572"/>
      <c r="BE149" s="573"/>
      <c r="BF149" s="75"/>
      <c r="BG149" s="10" t="s">
        <v>28</v>
      </c>
      <c r="BH149" s="11">
        <v>1</v>
      </c>
      <c r="BI149" s="10" t="s">
        <v>174</v>
      </c>
      <c r="BJ149" s="12" t="s">
        <v>273</v>
      </c>
      <c r="BK149" s="571"/>
      <c r="BL149" s="572"/>
      <c r="BM149" s="572"/>
      <c r="BN149" s="573"/>
      <c r="BX149" s="10" t="s">
        <v>28</v>
      </c>
      <c r="BY149" s="11">
        <v>1</v>
      </c>
      <c r="BZ149" s="10" t="s">
        <v>64</v>
      </c>
      <c r="CA149" s="12" t="s">
        <v>274</v>
      </c>
      <c r="CB149" s="571"/>
      <c r="CC149" s="572"/>
      <c r="CD149" s="572"/>
      <c r="CE149" s="573"/>
      <c r="CF149" s="75"/>
      <c r="CG149" s="10" t="s">
        <v>28</v>
      </c>
      <c r="CH149" s="11">
        <v>1</v>
      </c>
      <c r="CI149" s="10" t="s">
        <v>174</v>
      </c>
      <c r="CJ149" s="12" t="s">
        <v>274</v>
      </c>
      <c r="CK149" s="571"/>
      <c r="CL149" s="572"/>
      <c r="CM149" s="572"/>
      <c r="CN149" s="573"/>
      <c r="CX149" s="234" t="s">
        <v>784</v>
      </c>
      <c r="CY149" s="235" t="s">
        <v>785</v>
      </c>
      <c r="CZ149" s="129"/>
      <c r="DA149" s="19"/>
      <c r="DB149" s="279">
        <v>4</v>
      </c>
      <c r="DC149" s="160">
        <v>4</v>
      </c>
      <c r="DD149" s="160">
        <v>5</v>
      </c>
      <c r="DE149" s="280">
        <f t="shared" si="72"/>
        <v>13</v>
      </c>
      <c r="DF149" s="38"/>
      <c r="DG149" s="279">
        <v>4</v>
      </c>
      <c r="DH149" s="160">
        <v>4</v>
      </c>
      <c r="DI149" s="160">
        <v>5</v>
      </c>
      <c r="DJ149" s="280">
        <f t="shared" si="73"/>
        <v>13</v>
      </c>
      <c r="DK149" s="19"/>
      <c r="DL149" s="279">
        <v>4</v>
      </c>
      <c r="DM149" s="160">
        <v>7</v>
      </c>
      <c r="DN149" s="160">
        <v>5</v>
      </c>
      <c r="DO149" s="280">
        <f t="shared" si="74"/>
        <v>16</v>
      </c>
      <c r="DQ149" s="279">
        <v>4</v>
      </c>
      <c r="DR149" s="160">
        <f t="shared" si="75"/>
        <v>10</v>
      </c>
      <c r="DS149" s="160">
        <v>5</v>
      </c>
      <c r="DT149" s="280">
        <f t="shared" si="76"/>
        <v>19</v>
      </c>
      <c r="DV149" s="279">
        <v>4</v>
      </c>
      <c r="DW149" s="160">
        <f t="shared" si="77"/>
        <v>13</v>
      </c>
      <c r="DX149" s="160">
        <v>5</v>
      </c>
      <c r="DY149" s="280">
        <f t="shared" si="78"/>
        <v>22</v>
      </c>
    </row>
    <row r="150" spans="1:129" ht="15" customHeight="1" x14ac:dyDescent="0.25">
      <c r="A150" s="189"/>
      <c r="B150" s="12">
        <v>1</v>
      </c>
      <c r="C150" s="86" t="s">
        <v>90</v>
      </c>
      <c r="D150" s="12" t="s">
        <v>277</v>
      </c>
      <c r="E150" s="24"/>
      <c r="F150" s="192"/>
      <c r="G150" s="75"/>
      <c r="H150" s="189"/>
      <c r="I150" s="12">
        <v>1</v>
      </c>
      <c r="J150" s="86" t="s">
        <v>90</v>
      </c>
      <c r="K150" s="12" t="s">
        <v>84</v>
      </c>
      <c r="L150" s="24"/>
      <c r="M150" s="192"/>
      <c r="N150" s="75"/>
      <c r="O150" s="189"/>
      <c r="P150" s="12">
        <v>1</v>
      </c>
      <c r="Q150" s="86" t="s">
        <v>90</v>
      </c>
      <c r="R150" s="12" t="s">
        <v>80</v>
      </c>
      <c r="S150" s="24"/>
      <c r="T150" s="192"/>
      <c r="Y150" s="10" t="s">
        <v>28</v>
      </c>
      <c r="Z150" s="11">
        <v>1</v>
      </c>
      <c r="AA150" s="10" t="s">
        <v>67</v>
      </c>
      <c r="AB150" s="12" t="s">
        <v>243</v>
      </c>
      <c r="AC150" s="571"/>
      <c r="AD150" s="572"/>
      <c r="AE150" s="572"/>
      <c r="AF150" s="573"/>
      <c r="AG150" s="75"/>
      <c r="AH150" s="10" t="s">
        <v>28</v>
      </c>
      <c r="AI150" s="11">
        <v>1</v>
      </c>
      <c r="AJ150" s="10" t="s">
        <v>176</v>
      </c>
      <c r="AK150" s="12" t="s">
        <v>243</v>
      </c>
      <c r="AL150" s="571"/>
      <c r="AM150" s="572"/>
      <c r="AN150" s="572"/>
      <c r="AO150" s="573"/>
      <c r="AX150" s="10" t="s">
        <v>28</v>
      </c>
      <c r="AY150" s="11">
        <v>1</v>
      </c>
      <c r="AZ150" s="10" t="s">
        <v>67</v>
      </c>
      <c r="BA150" s="12" t="s">
        <v>273</v>
      </c>
      <c r="BB150" s="571"/>
      <c r="BC150" s="572"/>
      <c r="BD150" s="572"/>
      <c r="BE150" s="573"/>
      <c r="BF150" s="75"/>
      <c r="BG150" s="10" t="s">
        <v>28</v>
      </c>
      <c r="BH150" s="11">
        <v>1</v>
      </c>
      <c r="BI150" s="10" t="s">
        <v>176</v>
      </c>
      <c r="BJ150" s="12" t="s">
        <v>273</v>
      </c>
      <c r="BK150" s="571"/>
      <c r="BL150" s="572"/>
      <c r="BM150" s="572"/>
      <c r="BN150" s="573"/>
      <c r="BX150" s="10" t="s">
        <v>28</v>
      </c>
      <c r="BY150" s="11">
        <v>1</v>
      </c>
      <c r="BZ150" s="10" t="s">
        <v>67</v>
      </c>
      <c r="CA150" s="12" t="s">
        <v>274</v>
      </c>
      <c r="CB150" s="571"/>
      <c r="CC150" s="572"/>
      <c r="CD150" s="572"/>
      <c r="CE150" s="573"/>
      <c r="CF150" s="75"/>
      <c r="CG150" s="10" t="s">
        <v>28</v>
      </c>
      <c r="CH150" s="11">
        <v>1</v>
      </c>
      <c r="CI150" s="10" t="s">
        <v>176</v>
      </c>
      <c r="CJ150" s="12" t="s">
        <v>274</v>
      </c>
      <c r="CK150" s="571"/>
      <c r="CL150" s="572"/>
      <c r="CM150" s="572"/>
      <c r="CN150" s="573"/>
      <c r="CX150" s="234" t="s">
        <v>786</v>
      </c>
      <c r="CY150" s="235" t="s">
        <v>787</v>
      </c>
      <c r="CZ150" s="129"/>
      <c r="DA150" s="19"/>
      <c r="DB150" s="279">
        <v>4</v>
      </c>
      <c r="DC150" s="160">
        <v>4</v>
      </c>
      <c r="DD150" s="160">
        <v>5</v>
      </c>
      <c r="DE150" s="280">
        <f t="shared" si="72"/>
        <v>13</v>
      </c>
      <c r="DF150" s="38"/>
      <c r="DG150" s="279">
        <v>4</v>
      </c>
      <c r="DH150" s="160">
        <v>4</v>
      </c>
      <c r="DI150" s="160">
        <v>5</v>
      </c>
      <c r="DJ150" s="280">
        <f t="shared" si="73"/>
        <v>13</v>
      </c>
      <c r="DK150" s="19"/>
      <c r="DL150" s="279">
        <v>4</v>
      </c>
      <c r="DM150" s="160">
        <v>7</v>
      </c>
      <c r="DN150" s="160">
        <v>5</v>
      </c>
      <c r="DO150" s="280">
        <f t="shared" si="74"/>
        <v>16</v>
      </c>
      <c r="DQ150" s="279">
        <v>4</v>
      </c>
      <c r="DR150" s="160">
        <f t="shared" si="75"/>
        <v>10</v>
      </c>
      <c r="DS150" s="160">
        <v>5</v>
      </c>
      <c r="DT150" s="280">
        <f t="shared" si="76"/>
        <v>19</v>
      </c>
      <c r="DV150" s="279">
        <v>4</v>
      </c>
      <c r="DW150" s="160">
        <f t="shared" si="77"/>
        <v>13</v>
      </c>
      <c r="DX150" s="160">
        <v>5</v>
      </c>
      <c r="DY150" s="280">
        <f t="shared" si="78"/>
        <v>22</v>
      </c>
    </row>
    <row r="151" spans="1:129" ht="15" customHeight="1" x14ac:dyDescent="0.25">
      <c r="A151" s="189"/>
      <c r="B151" s="12">
        <v>1</v>
      </c>
      <c r="C151" s="86" t="s">
        <v>90</v>
      </c>
      <c r="D151" s="12" t="s">
        <v>277</v>
      </c>
      <c r="E151" s="24"/>
      <c r="F151" s="192"/>
      <c r="G151" s="75"/>
      <c r="H151" s="189"/>
      <c r="I151" s="12">
        <v>1</v>
      </c>
      <c r="J151" s="86" t="s">
        <v>90</v>
      </c>
      <c r="K151" s="12" t="s">
        <v>84</v>
      </c>
      <c r="L151" s="24"/>
      <c r="M151" s="192"/>
      <c r="N151" s="75"/>
      <c r="O151" s="189"/>
      <c r="P151" s="12">
        <v>1</v>
      </c>
      <c r="Q151" s="86" t="s">
        <v>90</v>
      </c>
      <c r="R151" s="12" t="s">
        <v>80</v>
      </c>
      <c r="S151" s="24"/>
      <c r="T151" s="192"/>
      <c r="Y151" s="10" t="s">
        <v>28</v>
      </c>
      <c r="Z151" s="11">
        <v>1</v>
      </c>
      <c r="AA151" s="10" t="s">
        <v>70</v>
      </c>
      <c r="AB151" s="12" t="s">
        <v>243</v>
      </c>
      <c r="AC151" s="571"/>
      <c r="AD151" s="572"/>
      <c r="AE151" s="572"/>
      <c r="AF151" s="573"/>
      <c r="AG151" s="75"/>
      <c r="AH151" s="10" t="s">
        <v>28</v>
      </c>
      <c r="AI151" s="11">
        <v>1</v>
      </c>
      <c r="AJ151" s="10" t="s">
        <v>178</v>
      </c>
      <c r="AK151" s="12" t="s">
        <v>243</v>
      </c>
      <c r="AL151" s="571"/>
      <c r="AM151" s="572"/>
      <c r="AN151" s="572"/>
      <c r="AO151" s="573"/>
      <c r="AX151" s="10" t="s">
        <v>28</v>
      </c>
      <c r="AY151" s="11">
        <v>1</v>
      </c>
      <c r="AZ151" s="10" t="s">
        <v>70</v>
      </c>
      <c r="BA151" s="12" t="s">
        <v>273</v>
      </c>
      <c r="BB151" s="571"/>
      <c r="BC151" s="572"/>
      <c r="BD151" s="572"/>
      <c r="BE151" s="573"/>
      <c r="BF151" s="75"/>
      <c r="BG151" s="10" t="s">
        <v>28</v>
      </c>
      <c r="BH151" s="11">
        <v>1</v>
      </c>
      <c r="BI151" s="10" t="s">
        <v>178</v>
      </c>
      <c r="BJ151" s="12" t="s">
        <v>273</v>
      </c>
      <c r="BK151" s="571"/>
      <c r="BL151" s="572"/>
      <c r="BM151" s="572"/>
      <c r="BN151" s="573"/>
      <c r="BX151" s="10" t="s">
        <v>28</v>
      </c>
      <c r="BY151" s="11">
        <v>1</v>
      </c>
      <c r="BZ151" s="10" t="s">
        <v>70</v>
      </c>
      <c r="CA151" s="12" t="s">
        <v>274</v>
      </c>
      <c r="CB151" s="571"/>
      <c r="CC151" s="572"/>
      <c r="CD151" s="572"/>
      <c r="CE151" s="573"/>
      <c r="CF151" s="75"/>
      <c r="CG151" s="10" t="s">
        <v>28</v>
      </c>
      <c r="CH151" s="11">
        <v>1</v>
      </c>
      <c r="CI151" s="10" t="s">
        <v>178</v>
      </c>
      <c r="CJ151" s="12" t="s">
        <v>274</v>
      </c>
      <c r="CK151" s="571"/>
      <c r="CL151" s="572"/>
      <c r="CM151" s="572"/>
      <c r="CN151" s="573"/>
      <c r="CX151" s="234" t="s">
        <v>788</v>
      </c>
      <c r="CY151" s="235" t="s">
        <v>789</v>
      </c>
      <c r="CZ151" s="129"/>
      <c r="DA151" s="19"/>
      <c r="DB151" s="279">
        <v>4</v>
      </c>
      <c r="DC151" s="160">
        <v>4</v>
      </c>
      <c r="DD151" s="160">
        <v>5</v>
      </c>
      <c r="DE151" s="280">
        <f t="shared" si="72"/>
        <v>13</v>
      </c>
      <c r="DF151" s="38"/>
      <c r="DG151" s="279">
        <v>4</v>
      </c>
      <c r="DH151" s="160">
        <v>4</v>
      </c>
      <c r="DI151" s="160">
        <v>5</v>
      </c>
      <c r="DJ151" s="280">
        <f t="shared" si="73"/>
        <v>13</v>
      </c>
      <c r="DK151" s="19"/>
      <c r="DL151" s="279">
        <v>4</v>
      </c>
      <c r="DM151" s="160">
        <v>7</v>
      </c>
      <c r="DN151" s="160">
        <v>5</v>
      </c>
      <c r="DO151" s="280">
        <f t="shared" si="74"/>
        <v>16</v>
      </c>
      <c r="DQ151" s="279">
        <v>4</v>
      </c>
      <c r="DR151" s="160">
        <f t="shared" si="75"/>
        <v>10</v>
      </c>
      <c r="DS151" s="160">
        <v>5</v>
      </c>
      <c r="DT151" s="280">
        <f t="shared" si="76"/>
        <v>19</v>
      </c>
      <c r="DV151" s="279">
        <v>4</v>
      </c>
      <c r="DW151" s="160">
        <f t="shared" si="77"/>
        <v>13</v>
      </c>
      <c r="DX151" s="160">
        <v>5</v>
      </c>
      <c r="DY151" s="280">
        <f t="shared" si="78"/>
        <v>22</v>
      </c>
    </row>
    <row r="152" spans="1:129" ht="15" customHeight="1" x14ac:dyDescent="0.25">
      <c r="A152" s="189"/>
      <c r="B152" s="12"/>
      <c r="C152" s="86" t="s">
        <v>566</v>
      </c>
      <c r="D152" s="12"/>
      <c r="E152" s="24"/>
      <c r="F152" s="192"/>
      <c r="G152" s="75"/>
      <c r="H152" s="189"/>
      <c r="I152" s="12"/>
      <c r="J152" s="86" t="s">
        <v>566</v>
      </c>
      <c r="K152" s="12"/>
      <c r="L152" s="24"/>
      <c r="M152" s="192"/>
      <c r="N152" s="75"/>
      <c r="O152" s="189"/>
      <c r="P152" s="12"/>
      <c r="Q152" s="86" t="s">
        <v>566</v>
      </c>
      <c r="R152" s="12"/>
      <c r="S152" s="24"/>
      <c r="T152" s="192"/>
      <c r="Y152" s="10" t="s">
        <v>28</v>
      </c>
      <c r="Z152" s="11">
        <v>1</v>
      </c>
      <c r="AA152" s="10" t="s">
        <v>72</v>
      </c>
      <c r="AB152" s="12" t="s">
        <v>243</v>
      </c>
      <c r="AC152" s="574"/>
      <c r="AD152" s="575"/>
      <c r="AE152" s="575"/>
      <c r="AF152" s="576"/>
      <c r="AG152" s="75"/>
      <c r="AH152" s="10" t="s">
        <v>28</v>
      </c>
      <c r="AI152" s="11">
        <v>1</v>
      </c>
      <c r="AJ152" s="10" t="s">
        <v>180</v>
      </c>
      <c r="AK152" s="12" t="s">
        <v>243</v>
      </c>
      <c r="AL152" s="574"/>
      <c r="AM152" s="575"/>
      <c r="AN152" s="575"/>
      <c r="AO152" s="576"/>
      <c r="AX152" s="10" t="s">
        <v>28</v>
      </c>
      <c r="AY152" s="11">
        <v>1</v>
      </c>
      <c r="AZ152" s="10" t="s">
        <v>72</v>
      </c>
      <c r="BA152" s="12" t="s">
        <v>273</v>
      </c>
      <c r="BB152" s="574"/>
      <c r="BC152" s="575"/>
      <c r="BD152" s="575"/>
      <c r="BE152" s="576"/>
      <c r="BF152" s="75"/>
      <c r="BG152" s="10" t="s">
        <v>28</v>
      </c>
      <c r="BH152" s="11">
        <v>1</v>
      </c>
      <c r="BI152" s="10" t="s">
        <v>180</v>
      </c>
      <c r="BJ152" s="12" t="s">
        <v>273</v>
      </c>
      <c r="BK152" s="574"/>
      <c r="BL152" s="575"/>
      <c r="BM152" s="575"/>
      <c r="BN152" s="576"/>
      <c r="BX152" s="10" t="s">
        <v>28</v>
      </c>
      <c r="BY152" s="11">
        <v>1</v>
      </c>
      <c r="BZ152" s="10" t="s">
        <v>72</v>
      </c>
      <c r="CA152" s="12" t="s">
        <v>274</v>
      </c>
      <c r="CB152" s="574"/>
      <c r="CC152" s="575"/>
      <c r="CD152" s="575"/>
      <c r="CE152" s="576"/>
      <c r="CF152" s="75"/>
      <c r="CG152" s="10" t="s">
        <v>28</v>
      </c>
      <c r="CH152" s="11">
        <v>1</v>
      </c>
      <c r="CI152" s="10" t="s">
        <v>180</v>
      </c>
      <c r="CJ152" s="12" t="s">
        <v>274</v>
      </c>
      <c r="CK152" s="574"/>
      <c r="CL152" s="575"/>
      <c r="CM152" s="575"/>
      <c r="CN152" s="576"/>
      <c r="CX152" s="234" t="s">
        <v>790</v>
      </c>
      <c r="CY152" s="235" t="s">
        <v>791</v>
      </c>
      <c r="CZ152" s="129"/>
      <c r="DA152" s="19"/>
      <c r="DB152" s="279">
        <v>4</v>
      </c>
      <c r="DC152" s="160">
        <v>4</v>
      </c>
      <c r="DD152" s="160">
        <v>5</v>
      </c>
      <c r="DE152" s="280">
        <f t="shared" si="72"/>
        <v>13</v>
      </c>
      <c r="DF152" s="38"/>
      <c r="DG152" s="279">
        <v>4</v>
      </c>
      <c r="DH152" s="160">
        <v>4</v>
      </c>
      <c r="DI152" s="160">
        <v>5</v>
      </c>
      <c r="DJ152" s="280">
        <f t="shared" si="73"/>
        <v>13</v>
      </c>
      <c r="DK152" s="19"/>
      <c r="DL152" s="279">
        <v>4</v>
      </c>
      <c r="DM152" s="160">
        <v>7</v>
      </c>
      <c r="DN152" s="160">
        <v>5</v>
      </c>
      <c r="DO152" s="280">
        <f t="shared" si="74"/>
        <v>16</v>
      </c>
      <c r="DQ152" s="279">
        <v>4</v>
      </c>
      <c r="DR152" s="160">
        <f t="shared" si="75"/>
        <v>10</v>
      </c>
      <c r="DS152" s="160">
        <v>5</v>
      </c>
      <c r="DT152" s="280">
        <f t="shared" si="76"/>
        <v>19</v>
      </c>
      <c r="DV152" s="279">
        <v>4</v>
      </c>
      <c r="DW152" s="160">
        <f t="shared" si="77"/>
        <v>13</v>
      </c>
      <c r="DX152" s="160">
        <v>5</v>
      </c>
      <c r="DY152" s="280">
        <f t="shared" si="78"/>
        <v>22</v>
      </c>
    </row>
    <row r="153" spans="1:129" x14ac:dyDescent="0.25">
      <c r="A153" s="189" t="s">
        <v>83</v>
      </c>
      <c r="B153" s="12">
        <v>1</v>
      </c>
      <c r="C153" s="86" t="s">
        <v>90</v>
      </c>
      <c r="D153" s="12" t="s">
        <v>277</v>
      </c>
      <c r="E153" s="24"/>
      <c r="F153" s="192"/>
      <c r="G153" s="75"/>
      <c r="H153" s="189" t="s">
        <v>83</v>
      </c>
      <c r="I153" s="12">
        <v>1</v>
      </c>
      <c r="J153" s="86" t="s">
        <v>90</v>
      </c>
      <c r="K153" s="12" t="s">
        <v>84</v>
      </c>
      <c r="L153" s="24"/>
      <c r="M153" s="192"/>
      <c r="N153" s="75"/>
      <c r="O153" s="189" t="s">
        <v>83</v>
      </c>
      <c r="P153" s="12">
        <v>1</v>
      </c>
      <c r="Q153" s="86" t="s">
        <v>90</v>
      </c>
      <c r="R153" s="12" t="s">
        <v>80</v>
      </c>
      <c r="S153" s="24"/>
      <c r="T153" s="192"/>
      <c r="CX153" s="234" t="s">
        <v>792</v>
      </c>
      <c r="CY153" s="235" t="s">
        <v>793</v>
      </c>
      <c r="CZ153" s="129"/>
      <c r="DA153" s="19"/>
      <c r="DB153" s="279">
        <v>5</v>
      </c>
      <c r="DC153" s="160">
        <v>4</v>
      </c>
      <c r="DD153" s="160">
        <v>5</v>
      </c>
      <c r="DE153" s="280">
        <f t="shared" si="72"/>
        <v>14</v>
      </c>
      <c r="DF153" s="38"/>
      <c r="DG153" s="279">
        <v>5</v>
      </c>
      <c r="DH153" s="160">
        <v>4</v>
      </c>
      <c r="DI153" s="160">
        <v>5</v>
      </c>
      <c r="DJ153" s="280">
        <f t="shared" si="73"/>
        <v>14</v>
      </c>
      <c r="DK153" s="19"/>
      <c r="DL153" s="279">
        <v>5</v>
      </c>
      <c r="DM153" s="160">
        <v>7</v>
      </c>
      <c r="DN153" s="160">
        <v>5</v>
      </c>
      <c r="DO153" s="280">
        <f t="shared" si="74"/>
        <v>17</v>
      </c>
      <c r="DQ153" s="279">
        <v>5</v>
      </c>
      <c r="DR153" s="160">
        <f t="shared" si="75"/>
        <v>10</v>
      </c>
      <c r="DS153" s="160">
        <v>5</v>
      </c>
      <c r="DT153" s="280">
        <f t="shared" si="76"/>
        <v>20</v>
      </c>
      <c r="DV153" s="279">
        <v>5</v>
      </c>
      <c r="DW153" s="160">
        <f t="shared" si="77"/>
        <v>13</v>
      </c>
      <c r="DX153" s="160">
        <v>5</v>
      </c>
      <c r="DY153" s="280">
        <f t="shared" si="78"/>
        <v>23</v>
      </c>
    </row>
    <row r="154" spans="1:129" x14ac:dyDescent="0.25">
      <c r="A154" s="189"/>
      <c r="B154" s="12">
        <v>1</v>
      </c>
      <c r="C154" s="86" t="s">
        <v>90</v>
      </c>
      <c r="D154" s="12" t="s">
        <v>277</v>
      </c>
      <c r="E154" s="24"/>
      <c r="F154" s="192"/>
      <c r="G154" s="75"/>
      <c r="H154" s="189"/>
      <c r="I154" s="12">
        <v>1</v>
      </c>
      <c r="J154" s="86" t="s">
        <v>90</v>
      </c>
      <c r="K154" s="12" t="s">
        <v>84</v>
      </c>
      <c r="L154" s="24"/>
      <c r="M154" s="192"/>
      <c r="N154" s="75"/>
      <c r="O154" s="189"/>
      <c r="P154" s="12">
        <v>1</v>
      </c>
      <c r="Q154" s="86" t="s">
        <v>90</v>
      </c>
      <c r="R154" s="12" t="s">
        <v>80</v>
      </c>
      <c r="S154" s="24"/>
      <c r="T154" s="192"/>
      <c r="CX154" s="234" t="s">
        <v>794</v>
      </c>
      <c r="CY154" s="235" t="s">
        <v>795</v>
      </c>
      <c r="CZ154" s="129"/>
      <c r="DA154" s="19"/>
      <c r="DB154" s="279">
        <v>5</v>
      </c>
      <c r="DC154" s="160">
        <v>4</v>
      </c>
      <c r="DD154" s="160">
        <v>5</v>
      </c>
      <c r="DE154" s="280">
        <f t="shared" si="72"/>
        <v>14</v>
      </c>
      <c r="DF154" s="38"/>
      <c r="DG154" s="279">
        <v>5</v>
      </c>
      <c r="DH154" s="160">
        <v>4</v>
      </c>
      <c r="DI154" s="160">
        <v>5</v>
      </c>
      <c r="DJ154" s="280">
        <f t="shared" si="73"/>
        <v>14</v>
      </c>
      <c r="DK154" s="19"/>
      <c r="DL154" s="279">
        <v>5</v>
      </c>
      <c r="DM154" s="160">
        <v>7</v>
      </c>
      <c r="DN154" s="160">
        <v>5</v>
      </c>
      <c r="DO154" s="280">
        <f t="shared" si="74"/>
        <v>17</v>
      </c>
      <c r="DQ154" s="279">
        <v>5</v>
      </c>
      <c r="DR154" s="160">
        <f t="shared" si="75"/>
        <v>10</v>
      </c>
      <c r="DS154" s="160">
        <v>5</v>
      </c>
      <c r="DT154" s="280">
        <f t="shared" si="76"/>
        <v>20</v>
      </c>
      <c r="DV154" s="279">
        <v>5</v>
      </c>
      <c r="DW154" s="160">
        <f t="shared" si="77"/>
        <v>13</v>
      </c>
      <c r="DX154" s="160">
        <v>5</v>
      </c>
      <c r="DY154" s="280">
        <f t="shared" si="78"/>
        <v>23</v>
      </c>
    </row>
    <row r="155" spans="1:129" x14ac:dyDescent="0.25">
      <c r="A155" s="189"/>
      <c r="B155" s="12">
        <v>1</v>
      </c>
      <c r="C155" s="86" t="s">
        <v>90</v>
      </c>
      <c r="D155" s="12" t="s">
        <v>277</v>
      </c>
      <c r="E155" s="24"/>
      <c r="F155" s="192"/>
      <c r="G155" s="75"/>
      <c r="H155" s="189"/>
      <c r="I155" s="12">
        <v>1</v>
      </c>
      <c r="J155" s="86" t="s">
        <v>90</v>
      </c>
      <c r="K155" s="12" t="s">
        <v>84</v>
      </c>
      <c r="L155" s="24"/>
      <c r="M155" s="192"/>
      <c r="N155" s="75"/>
      <c r="O155" s="189"/>
      <c r="P155" s="12">
        <v>1</v>
      </c>
      <c r="Q155" s="86" t="s">
        <v>90</v>
      </c>
      <c r="R155" s="12" t="s">
        <v>80</v>
      </c>
      <c r="S155" s="24"/>
      <c r="T155" s="192"/>
      <c r="CX155" s="234" t="s">
        <v>796</v>
      </c>
      <c r="CY155" s="235" t="s">
        <v>797</v>
      </c>
      <c r="CZ155" s="295"/>
      <c r="DA155" s="296"/>
      <c r="DB155" s="279">
        <v>5</v>
      </c>
      <c r="DC155" s="160">
        <v>4</v>
      </c>
      <c r="DD155" s="160">
        <v>5</v>
      </c>
      <c r="DE155" s="280">
        <f t="shared" si="72"/>
        <v>14</v>
      </c>
      <c r="DF155" s="38"/>
      <c r="DG155" s="279">
        <v>5</v>
      </c>
      <c r="DH155" s="160">
        <v>4</v>
      </c>
      <c r="DI155" s="160">
        <v>5</v>
      </c>
      <c r="DJ155" s="280">
        <f t="shared" si="73"/>
        <v>14</v>
      </c>
      <c r="DK155" s="19"/>
      <c r="DL155" s="279">
        <v>5</v>
      </c>
      <c r="DM155" s="160">
        <v>7</v>
      </c>
      <c r="DN155" s="160">
        <v>5</v>
      </c>
      <c r="DO155" s="280">
        <f t="shared" si="74"/>
        <v>17</v>
      </c>
      <c r="DQ155" s="279">
        <v>5</v>
      </c>
      <c r="DR155" s="160">
        <f t="shared" si="75"/>
        <v>10</v>
      </c>
      <c r="DS155" s="160">
        <v>5</v>
      </c>
      <c r="DT155" s="280">
        <f t="shared" si="76"/>
        <v>20</v>
      </c>
      <c r="DV155" s="279">
        <v>5</v>
      </c>
      <c r="DW155" s="160">
        <f t="shared" si="77"/>
        <v>13</v>
      </c>
      <c r="DX155" s="160">
        <v>5</v>
      </c>
      <c r="DY155" s="280">
        <f t="shared" si="78"/>
        <v>23</v>
      </c>
    </row>
    <row r="156" spans="1:129" ht="15.75" thickBot="1" x14ac:dyDescent="0.3">
      <c r="A156" s="189"/>
      <c r="B156" s="12">
        <v>1</v>
      </c>
      <c r="C156" s="86" t="s">
        <v>90</v>
      </c>
      <c r="D156" s="12" t="s">
        <v>277</v>
      </c>
      <c r="E156" s="24"/>
      <c r="F156" s="192"/>
      <c r="G156" s="75"/>
      <c r="H156" s="189"/>
      <c r="I156" s="12">
        <v>1</v>
      </c>
      <c r="J156" s="86" t="s">
        <v>90</v>
      </c>
      <c r="K156" s="12" t="s">
        <v>84</v>
      </c>
      <c r="L156" s="24"/>
      <c r="M156" s="192"/>
      <c r="N156" s="75"/>
      <c r="O156" s="189"/>
      <c r="P156" s="12">
        <v>1</v>
      </c>
      <c r="Q156" s="86" t="s">
        <v>90</v>
      </c>
      <c r="R156" s="12" t="s">
        <v>80</v>
      </c>
      <c r="S156" s="24"/>
      <c r="T156" s="192"/>
      <c r="CX156" s="252" t="s">
        <v>798</v>
      </c>
      <c r="CY156" s="253" t="s">
        <v>799</v>
      </c>
      <c r="CZ156" s="297"/>
      <c r="DA156" s="297"/>
      <c r="DB156" s="283">
        <v>5</v>
      </c>
      <c r="DC156" s="284">
        <v>4</v>
      </c>
      <c r="DD156" s="284">
        <v>5</v>
      </c>
      <c r="DE156" s="285">
        <f t="shared" si="72"/>
        <v>14</v>
      </c>
      <c r="DF156" s="298"/>
      <c r="DG156" s="283">
        <v>5</v>
      </c>
      <c r="DH156" s="284">
        <v>4</v>
      </c>
      <c r="DI156" s="284">
        <v>5</v>
      </c>
      <c r="DJ156" s="285">
        <f t="shared" si="73"/>
        <v>14</v>
      </c>
      <c r="DK156" s="297"/>
      <c r="DL156" s="283">
        <v>5</v>
      </c>
      <c r="DM156" s="284">
        <v>7</v>
      </c>
      <c r="DN156" s="284">
        <v>5</v>
      </c>
      <c r="DO156" s="285">
        <f t="shared" si="74"/>
        <v>17</v>
      </c>
      <c r="DQ156" s="283">
        <v>5</v>
      </c>
      <c r="DR156" s="284">
        <f t="shared" si="75"/>
        <v>10</v>
      </c>
      <c r="DS156" s="284">
        <v>5</v>
      </c>
      <c r="DT156" s="285">
        <f t="shared" si="76"/>
        <v>20</v>
      </c>
      <c r="DV156" s="283">
        <v>5</v>
      </c>
      <c r="DW156" s="284">
        <f t="shared" si="77"/>
        <v>13</v>
      </c>
      <c r="DX156" s="284">
        <v>5</v>
      </c>
      <c r="DY156" s="285">
        <f t="shared" si="78"/>
        <v>23</v>
      </c>
    </row>
    <row r="157" spans="1:129" x14ac:dyDescent="0.25">
      <c r="A157" s="189"/>
      <c r="B157" s="12"/>
      <c r="C157" s="86" t="s">
        <v>567</v>
      </c>
      <c r="D157" s="12"/>
      <c r="E157" s="24"/>
      <c r="F157" s="192"/>
      <c r="G157" s="75"/>
      <c r="H157" s="189"/>
      <c r="I157" s="12"/>
      <c r="J157" s="86" t="s">
        <v>567</v>
      </c>
      <c r="K157" s="12"/>
      <c r="L157" s="24"/>
      <c r="M157" s="192"/>
      <c r="N157" s="75"/>
      <c r="O157" s="189"/>
      <c r="P157" s="12"/>
      <c r="Q157" s="86" t="s">
        <v>567</v>
      </c>
      <c r="R157" s="12"/>
      <c r="S157" s="24"/>
      <c r="T157" s="192"/>
    </row>
    <row r="158" spans="1:129" x14ac:dyDescent="0.25">
      <c r="A158" s="189" t="s">
        <v>114</v>
      </c>
      <c r="B158" s="12">
        <v>1</v>
      </c>
      <c r="C158" s="86" t="s">
        <v>242</v>
      </c>
      <c r="D158" s="12" t="s">
        <v>91</v>
      </c>
      <c r="E158" s="24">
        <v>25</v>
      </c>
      <c r="F158" s="192">
        <v>1</v>
      </c>
      <c r="G158" s="75"/>
      <c r="H158" s="189" t="s">
        <v>114</v>
      </c>
      <c r="I158" s="12">
        <v>1</v>
      </c>
      <c r="J158" s="86" t="s">
        <v>242</v>
      </c>
      <c r="K158" s="12" t="s">
        <v>84</v>
      </c>
      <c r="L158" s="24">
        <v>30</v>
      </c>
      <c r="M158" s="192">
        <v>1</v>
      </c>
      <c r="N158" s="75"/>
      <c r="O158" s="189" t="s">
        <v>114</v>
      </c>
      <c r="P158" s="12">
        <v>1</v>
      </c>
      <c r="Q158" s="86" t="s">
        <v>242</v>
      </c>
      <c r="R158" s="12" t="s">
        <v>84</v>
      </c>
      <c r="S158" s="24">
        <v>25</v>
      </c>
      <c r="T158" s="192">
        <v>1</v>
      </c>
    </row>
    <row r="159" spans="1:129" x14ac:dyDescent="0.25">
      <c r="A159" s="189" t="s">
        <v>85</v>
      </c>
      <c r="B159" s="12">
        <v>1</v>
      </c>
      <c r="C159" s="86" t="s">
        <v>253</v>
      </c>
      <c r="D159" s="12" t="s">
        <v>91</v>
      </c>
      <c r="E159" s="24"/>
      <c r="F159" s="192"/>
      <c r="G159" s="75"/>
      <c r="H159" s="189" t="s">
        <v>85</v>
      </c>
      <c r="I159" s="12">
        <v>1</v>
      </c>
      <c r="J159" s="86" t="s">
        <v>253</v>
      </c>
      <c r="K159" s="12" t="s">
        <v>84</v>
      </c>
      <c r="L159" s="24"/>
      <c r="M159" s="192">
        <f>I159*1</f>
        <v>1</v>
      </c>
      <c r="N159" s="75"/>
      <c r="O159" s="189" t="s">
        <v>85</v>
      </c>
      <c r="P159" s="12">
        <v>1</v>
      </c>
      <c r="Q159" s="86" t="s">
        <v>253</v>
      </c>
      <c r="R159" s="12" t="s">
        <v>84</v>
      </c>
      <c r="S159" s="24"/>
      <c r="T159" s="192"/>
    </row>
    <row r="160" spans="1:129" x14ac:dyDescent="0.25">
      <c r="A160" s="189" t="s">
        <v>86</v>
      </c>
      <c r="B160" s="12">
        <v>1</v>
      </c>
      <c r="C160" s="86" t="s">
        <v>568</v>
      </c>
      <c r="D160" s="12" t="s">
        <v>91</v>
      </c>
      <c r="E160" s="24"/>
      <c r="F160" s="192"/>
      <c r="G160" s="75"/>
      <c r="H160" s="189" t="s">
        <v>86</v>
      </c>
      <c r="I160" s="12">
        <v>1</v>
      </c>
      <c r="J160" s="86" t="s">
        <v>568</v>
      </c>
      <c r="K160" s="12" t="s">
        <v>84</v>
      </c>
      <c r="L160" s="24"/>
      <c r="M160" s="192"/>
      <c r="N160" s="75"/>
      <c r="O160" s="189" t="s">
        <v>86</v>
      </c>
      <c r="P160" s="12">
        <v>1</v>
      </c>
      <c r="Q160" s="86" t="s">
        <v>568</v>
      </c>
      <c r="R160" s="12" t="s">
        <v>84</v>
      </c>
      <c r="S160" s="24"/>
      <c r="T160" s="192"/>
    </row>
    <row r="161" spans="1:120" x14ac:dyDescent="0.25">
      <c r="A161" s="189"/>
      <c r="B161" s="12"/>
      <c r="C161" s="35" t="s">
        <v>569</v>
      </c>
      <c r="D161" s="12" t="s">
        <v>91</v>
      </c>
      <c r="E161" s="24"/>
      <c r="F161" s="192"/>
      <c r="G161" s="75"/>
      <c r="H161" s="189"/>
      <c r="I161" s="12"/>
      <c r="J161" s="35" t="s">
        <v>569</v>
      </c>
      <c r="K161" s="12" t="s">
        <v>84</v>
      </c>
      <c r="L161" s="24"/>
      <c r="M161" s="192"/>
      <c r="N161" s="75"/>
      <c r="O161" s="189"/>
      <c r="P161" s="12"/>
      <c r="Q161" s="35" t="s">
        <v>569</v>
      </c>
      <c r="R161" s="12" t="s">
        <v>84</v>
      </c>
      <c r="S161" s="24"/>
      <c r="T161" s="192"/>
    </row>
    <row r="162" spans="1:120" x14ac:dyDescent="0.25">
      <c r="A162" s="193"/>
      <c r="B162" s="193"/>
      <c r="C162" s="75"/>
      <c r="D162" s="75"/>
      <c r="E162" s="75"/>
      <c r="F162" s="75"/>
      <c r="G162" s="75"/>
      <c r="H162" s="75"/>
      <c r="I162" s="75"/>
      <c r="J162" s="75"/>
      <c r="K162" s="75"/>
      <c r="L162" s="75"/>
      <c r="M162" s="75"/>
      <c r="N162" s="75"/>
      <c r="O162" s="75"/>
      <c r="P162" s="75"/>
      <c r="Q162" s="75"/>
      <c r="R162" s="75"/>
      <c r="S162" s="75"/>
      <c r="T162" s="75"/>
    </row>
    <row r="163" spans="1:120" x14ac:dyDescent="0.25">
      <c r="A163" s="566" t="s">
        <v>590</v>
      </c>
      <c r="B163" s="566"/>
      <c r="C163" s="566"/>
      <c r="D163" s="566"/>
      <c r="E163" s="566"/>
      <c r="F163" s="566"/>
      <c r="G163" s="566"/>
      <c r="H163" s="566"/>
      <c r="I163" s="566"/>
      <c r="J163" s="566"/>
      <c r="K163" s="566"/>
      <c r="L163" s="566"/>
      <c r="M163" s="566"/>
      <c r="N163" s="566"/>
      <c r="O163" s="566"/>
      <c r="P163" s="566"/>
      <c r="Q163" s="566"/>
      <c r="R163" s="566"/>
      <c r="S163" s="566"/>
      <c r="T163" s="566"/>
    </row>
    <row r="164" spans="1:120" x14ac:dyDescent="0.25">
      <c r="A164" s="566"/>
      <c r="B164" s="566"/>
      <c r="C164" s="566"/>
      <c r="D164" s="566"/>
      <c r="E164" s="566"/>
      <c r="F164" s="566"/>
      <c r="G164" s="566"/>
      <c r="H164" s="566"/>
      <c r="I164" s="566"/>
      <c r="J164" s="566"/>
      <c r="K164" s="566"/>
      <c r="L164" s="566"/>
      <c r="M164" s="566"/>
      <c r="N164" s="566"/>
      <c r="O164" s="566"/>
      <c r="P164" s="566"/>
      <c r="Q164" s="566"/>
      <c r="R164" s="566"/>
      <c r="S164" s="566"/>
      <c r="T164" s="566"/>
    </row>
    <row r="165" spans="1:120" x14ac:dyDescent="0.25">
      <c r="A165" s="566"/>
      <c r="B165" s="566"/>
      <c r="C165" s="566"/>
      <c r="D165" s="566"/>
      <c r="E165" s="566"/>
      <c r="F165" s="566"/>
      <c r="G165" s="566"/>
      <c r="H165" s="566"/>
      <c r="I165" s="566"/>
      <c r="J165" s="566"/>
      <c r="K165" s="566"/>
      <c r="L165" s="566"/>
      <c r="M165" s="566"/>
      <c r="N165" s="566"/>
      <c r="O165" s="566"/>
      <c r="P165" s="566"/>
      <c r="Q165" s="566"/>
      <c r="R165" s="566"/>
      <c r="S165" s="566"/>
      <c r="T165" s="566"/>
    </row>
    <row r="166" spans="1:120" ht="15.75" thickBot="1" x14ac:dyDescent="0.3">
      <c r="A166" s="566"/>
      <c r="B166" s="566"/>
      <c r="C166" s="566"/>
      <c r="D166" s="566"/>
      <c r="E166" s="566"/>
      <c r="F166" s="566"/>
      <c r="G166" s="566"/>
      <c r="H166" s="566"/>
      <c r="I166" s="566"/>
      <c r="J166" s="566"/>
      <c r="K166" s="566"/>
      <c r="L166" s="566"/>
      <c r="M166" s="566"/>
      <c r="N166" s="566"/>
      <c r="O166" s="566"/>
      <c r="P166" s="566"/>
      <c r="Q166" s="566"/>
      <c r="R166" s="566"/>
      <c r="S166" s="566"/>
      <c r="T166" s="566"/>
    </row>
    <row r="167" spans="1:120" ht="15" customHeight="1" x14ac:dyDescent="0.25">
      <c r="A167" s="566"/>
      <c r="B167" s="566"/>
      <c r="C167" s="566"/>
      <c r="D167" s="566"/>
      <c r="E167" s="566"/>
      <c r="F167" s="566"/>
      <c r="G167" s="566"/>
      <c r="H167" s="566"/>
      <c r="I167" s="566"/>
      <c r="J167" s="566"/>
      <c r="K167" s="566"/>
      <c r="L167" s="566"/>
      <c r="M167" s="566"/>
      <c r="N167" s="566"/>
      <c r="O167" s="566"/>
      <c r="P167" s="566"/>
      <c r="Q167" s="566"/>
      <c r="R167" s="566"/>
      <c r="S167" s="566"/>
      <c r="T167" s="566"/>
      <c r="CX167" s="498" t="s">
        <v>321</v>
      </c>
      <c r="CY167" s="499"/>
      <c r="CZ167" s="499"/>
      <c r="DA167" s="499"/>
      <c r="DB167" s="499"/>
      <c r="DC167" s="499"/>
      <c r="DD167" s="499"/>
      <c r="DE167" s="499"/>
      <c r="DF167" s="499"/>
      <c r="DG167" s="499"/>
      <c r="DH167" s="499"/>
      <c r="DI167" s="500"/>
    </row>
    <row r="168" spans="1:120" ht="15" customHeight="1" thickBot="1" x14ac:dyDescent="0.3">
      <c r="A168" s="203"/>
      <c r="B168" s="203"/>
      <c r="C168" s="203"/>
      <c r="D168" s="203"/>
      <c r="E168" s="203"/>
      <c r="F168" s="203"/>
      <c r="G168" s="203"/>
      <c r="H168" s="203"/>
      <c r="I168" s="203"/>
      <c r="J168" s="203"/>
      <c r="K168" s="203"/>
      <c r="L168" s="203"/>
      <c r="M168" s="203"/>
      <c r="N168" s="203"/>
      <c r="O168" s="203"/>
      <c r="P168" s="203"/>
      <c r="Q168" s="203"/>
      <c r="R168" s="203"/>
      <c r="S168" s="203"/>
      <c r="T168" s="203"/>
      <c r="CX168" s="539"/>
      <c r="CY168" s="540"/>
      <c r="CZ168" s="540"/>
      <c r="DA168" s="540"/>
      <c r="DB168" s="540"/>
      <c r="DC168" s="540"/>
      <c r="DD168" s="540"/>
      <c r="DE168" s="540"/>
      <c r="DF168" s="540"/>
      <c r="DG168" s="540"/>
      <c r="DH168" s="540"/>
      <c r="DI168" s="541"/>
    </row>
    <row r="169" spans="1:120" ht="45" x14ac:dyDescent="0.25">
      <c r="A169" s="203"/>
      <c r="B169" s="203"/>
      <c r="C169" s="203"/>
      <c r="D169" s="203"/>
      <c r="E169" s="203"/>
      <c r="F169" s="203"/>
      <c r="G169" s="203"/>
      <c r="H169" s="203"/>
      <c r="I169" s="203"/>
      <c r="J169" s="203"/>
      <c r="K169" s="203"/>
      <c r="L169" s="203"/>
      <c r="M169" s="203"/>
      <c r="N169" s="203"/>
      <c r="O169" s="203"/>
      <c r="P169" s="203"/>
      <c r="Q169" s="203"/>
      <c r="R169" s="203"/>
      <c r="S169" s="203"/>
      <c r="T169" s="203"/>
      <c r="CX169" s="395" t="s">
        <v>848</v>
      </c>
      <c r="CY169" s="396" t="s">
        <v>849</v>
      </c>
      <c r="CZ169" s="396" t="s">
        <v>850</v>
      </c>
      <c r="DA169" s="316" t="s">
        <v>851</v>
      </c>
      <c r="DB169" s="316" t="s">
        <v>852</v>
      </c>
      <c r="DC169" s="316" t="s">
        <v>853</v>
      </c>
      <c r="DD169" s="316" t="s">
        <v>854</v>
      </c>
      <c r="DE169" s="316"/>
      <c r="DF169" s="317" t="s">
        <v>855</v>
      </c>
      <c r="DG169" s="317" t="s">
        <v>856</v>
      </c>
      <c r="DH169" s="317" t="s">
        <v>857</v>
      </c>
      <c r="DI169" s="318" t="s">
        <v>858</v>
      </c>
    </row>
    <row r="170" spans="1:120" x14ac:dyDescent="0.25">
      <c r="A170" s="203"/>
      <c r="B170" s="203"/>
      <c r="C170" s="203"/>
      <c r="D170" s="203"/>
      <c r="E170" s="203"/>
      <c r="F170" s="203"/>
      <c r="G170" s="203"/>
      <c r="H170" s="203"/>
      <c r="I170" s="203"/>
      <c r="J170" s="203"/>
      <c r="K170" s="203"/>
      <c r="L170" s="203"/>
      <c r="M170" s="203"/>
      <c r="N170" s="203"/>
      <c r="O170" s="203"/>
      <c r="P170" s="203"/>
      <c r="Q170" s="203"/>
      <c r="R170" s="203"/>
      <c r="S170" s="203"/>
      <c r="T170" s="203"/>
      <c r="CX170" s="279" t="s">
        <v>859</v>
      </c>
      <c r="CY170" s="160" t="s">
        <v>860</v>
      </c>
      <c r="CZ170" s="160"/>
      <c r="DA170" s="160"/>
      <c r="DB170" s="160"/>
      <c r="DC170" s="160"/>
      <c r="DD170" s="305">
        <f>(CZ170*DF170)+(CZ170*DG170)+(CZ170*DH170)+(CZ170*DI170)</f>
        <v>0</v>
      </c>
      <c r="DE170" s="160"/>
      <c r="DF170" s="306">
        <v>4</v>
      </c>
      <c r="DG170" s="306" t="str">
        <f>IF(DA170="Yes","1.5","0")</f>
        <v>0</v>
      </c>
      <c r="DH170" s="306" t="str">
        <f>IF(DB170="Yes","2","0")</f>
        <v>0</v>
      </c>
      <c r="DI170" s="309" t="str">
        <f>IF(DC170="Yes","4","0")</f>
        <v>0</v>
      </c>
    </row>
    <row r="171" spans="1:120" x14ac:dyDescent="0.25">
      <c r="A171" s="203"/>
      <c r="B171" s="203"/>
      <c r="C171" s="203"/>
      <c r="D171" s="203"/>
      <c r="E171" s="203"/>
      <c r="F171" s="203"/>
      <c r="G171" s="203"/>
      <c r="H171" s="203"/>
      <c r="I171" s="203"/>
      <c r="J171" s="203"/>
      <c r="K171" s="203"/>
      <c r="L171" s="203"/>
      <c r="M171" s="203"/>
      <c r="N171" s="203"/>
      <c r="O171" s="203"/>
      <c r="P171" s="203"/>
      <c r="Q171" s="203"/>
      <c r="R171" s="203"/>
      <c r="S171" s="203"/>
      <c r="T171" s="203"/>
      <c r="CX171" s="279" t="s">
        <v>861</v>
      </c>
      <c r="CY171" s="160" t="s">
        <v>862</v>
      </c>
      <c r="CZ171" s="160"/>
      <c r="DA171" s="160"/>
      <c r="DB171" s="160"/>
      <c r="DC171" s="160"/>
      <c r="DD171" s="305">
        <f>(CZ171*DF171)+(CZ171*DG171)+(CZ171*DH171)+(CZ171*DI171)</f>
        <v>0</v>
      </c>
      <c r="DE171" s="160"/>
      <c r="DF171" s="306">
        <v>4</v>
      </c>
      <c r="DG171" s="306" t="str">
        <f t="shared" ref="DG171:DG173" si="79">IF(DA171="Yes","1.5","0")</f>
        <v>0</v>
      </c>
      <c r="DH171" s="306" t="str">
        <f t="shared" ref="DH171:DH173" si="80">IF(DB171="Yes","2","0")</f>
        <v>0</v>
      </c>
      <c r="DI171" s="309" t="str">
        <f t="shared" ref="DI171:DI173" si="81">IF(DC171="Yes","4","0")</f>
        <v>0</v>
      </c>
    </row>
    <row r="172" spans="1:120" x14ac:dyDescent="0.25">
      <c r="A172" s="203"/>
      <c r="B172" s="203"/>
      <c r="C172" s="203"/>
      <c r="D172" s="203"/>
      <c r="E172" s="203"/>
      <c r="F172" s="203"/>
      <c r="G172" s="203"/>
      <c r="H172" s="203"/>
      <c r="I172" s="203"/>
      <c r="J172" s="203"/>
      <c r="K172" s="203"/>
      <c r="L172" s="203"/>
      <c r="M172" s="203"/>
      <c r="N172" s="203"/>
      <c r="O172" s="203"/>
      <c r="P172" s="203"/>
      <c r="Q172" s="203"/>
      <c r="R172" s="203"/>
      <c r="S172" s="203"/>
      <c r="T172" s="203"/>
      <c r="CX172" s="279" t="s">
        <v>863</v>
      </c>
      <c r="CY172" s="160" t="s">
        <v>864</v>
      </c>
      <c r="CZ172" s="160"/>
      <c r="DA172" s="160"/>
      <c r="DB172" s="160"/>
      <c r="DC172" s="160"/>
      <c r="DD172" s="305">
        <f>(CZ172*DF172)+(CZ172*DG172)+(CZ172*DH172)+(CZ172*DI172)</f>
        <v>0</v>
      </c>
      <c r="DE172" s="160"/>
      <c r="DF172" s="306">
        <v>4</v>
      </c>
      <c r="DG172" s="306" t="str">
        <f t="shared" si="79"/>
        <v>0</v>
      </c>
      <c r="DH172" s="306" t="str">
        <f t="shared" si="80"/>
        <v>0</v>
      </c>
      <c r="DI172" s="309" t="str">
        <f t="shared" si="81"/>
        <v>0</v>
      </c>
    </row>
    <row r="173" spans="1:120" ht="15.75" thickBot="1" x14ac:dyDescent="0.3">
      <c r="A173" s="203"/>
      <c r="B173" s="203"/>
      <c r="C173" s="203"/>
      <c r="D173" s="203"/>
      <c r="E173" s="203"/>
      <c r="F173" s="203"/>
      <c r="G173" s="203"/>
      <c r="H173" s="203"/>
      <c r="I173" s="203"/>
      <c r="J173" s="203"/>
      <c r="K173" s="203"/>
      <c r="L173" s="203"/>
      <c r="M173" s="203"/>
      <c r="N173" s="203"/>
      <c r="O173" s="203"/>
      <c r="P173" s="203"/>
      <c r="Q173" s="203"/>
      <c r="R173" s="203"/>
      <c r="S173" s="203"/>
      <c r="T173" s="203"/>
      <c r="CX173" s="283" t="s">
        <v>865</v>
      </c>
      <c r="CY173" s="284" t="s">
        <v>866</v>
      </c>
      <c r="CZ173" s="284"/>
      <c r="DA173" s="284"/>
      <c r="DB173" s="284"/>
      <c r="DC173" s="284"/>
      <c r="DD173" s="310">
        <f>(CZ173*DF173)+(CZ173*DG173)+(CZ173*DH173)+(CZ173*DI173)</f>
        <v>0</v>
      </c>
      <c r="DE173" s="284"/>
      <c r="DF173" s="311">
        <v>4</v>
      </c>
      <c r="DG173" s="311" t="str">
        <f t="shared" si="79"/>
        <v>0</v>
      </c>
      <c r="DH173" s="311" t="str">
        <f t="shared" si="80"/>
        <v>0</v>
      </c>
      <c r="DI173" s="312" t="str">
        <f t="shared" si="81"/>
        <v>0</v>
      </c>
    </row>
    <row r="174" spans="1:120" ht="15.75" thickBot="1" x14ac:dyDescent="0.3">
      <c r="A174" s="203"/>
      <c r="B174" s="203"/>
      <c r="C174" s="203"/>
      <c r="D174" s="203"/>
      <c r="E174" s="203"/>
      <c r="F174" s="203"/>
      <c r="G174" s="203"/>
      <c r="H174" s="203"/>
      <c r="I174" s="203"/>
      <c r="J174" s="203"/>
      <c r="K174" s="203"/>
      <c r="L174" s="203"/>
      <c r="M174" s="203"/>
      <c r="N174" s="203"/>
      <c r="O174" s="203"/>
      <c r="P174" s="203"/>
      <c r="Q174" s="203"/>
      <c r="R174" s="203"/>
      <c r="S174" s="203"/>
      <c r="T174" s="203"/>
    </row>
    <row r="175" spans="1:120" ht="15" customHeight="1" x14ac:dyDescent="0.5">
      <c r="A175" s="203"/>
      <c r="B175" s="203"/>
      <c r="C175" s="203"/>
      <c r="D175" s="203"/>
      <c r="E175" s="203"/>
      <c r="F175" s="203"/>
      <c r="G175" s="203"/>
      <c r="H175" s="203"/>
      <c r="I175" s="203"/>
      <c r="J175" s="203"/>
      <c r="K175" s="203"/>
      <c r="L175" s="203"/>
      <c r="M175" s="203"/>
      <c r="N175" s="203"/>
      <c r="O175" s="203"/>
      <c r="P175" s="203"/>
      <c r="Q175" s="203"/>
      <c r="R175" s="203"/>
      <c r="S175" s="203"/>
      <c r="T175" s="203"/>
      <c r="CX175" s="490" t="s">
        <v>323</v>
      </c>
      <c r="CY175" s="491"/>
      <c r="CZ175" s="491"/>
      <c r="DA175" s="491"/>
      <c r="DB175" s="491"/>
      <c r="DC175" s="491"/>
      <c r="DD175" s="491"/>
      <c r="DE175" s="491"/>
      <c r="DF175" s="492"/>
      <c r="DG175" s="398"/>
      <c r="DH175" s="397"/>
      <c r="DI175" s="506" t="s">
        <v>325</v>
      </c>
      <c r="DJ175" s="507"/>
      <c r="DK175" s="507"/>
      <c r="DL175" s="507"/>
      <c r="DM175" s="507"/>
      <c r="DN175" s="507"/>
      <c r="DO175" s="507"/>
      <c r="DP175" s="508"/>
    </row>
    <row r="176" spans="1:120" ht="15" customHeight="1" x14ac:dyDescent="0.5">
      <c r="A176" s="203"/>
      <c r="B176" s="203"/>
      <c r="C176" s="203"/>
      <c r="D176" s="203"/>
      <c r="E176" s="203"/>
      <c r="F176" s="203"/>
      <c r="G176" s="203"/>
      <c r="H176" s="203"/>
      <c r="I176" s="203"/>
      <c r="J176" s="203"/>
      <c r="K176" s="203"/>
      <c r="L176" s="203"/>
      <c r="M176" s="203"/>
      <c r="N176" s="203"/>
      <c r="O176" s="203"/>
      <c r="P176" s="203"/>
      <c r="Q176" s="203"/>
      <c r="R176" s="203"/>
      <c r="S176" s="203"/>
      <c r="T176" s="203"/>
      <c r="CX176" s="493"/>
      <c r="CY176" s="494"/>
      <c r="CZ176" s="494"/>
      <c r="DA176" s="494"/>
      <c r="DB176" s="494"/>
      <c r="DC176" s="494"/>
      <c r="DD176" s="494"/>
      <c r="DE176" s="494"/>
      <c r="DF176" s="495"/>
      <c r="DG176" s="398"/>
      <c r="DH176" s="397"/>
      <c r="DI176" s="509"/>
      <c r="DJ176" s="510"/>
      <c r="DK176" s="510"/>
      <c r="DL176" s="510"/>
      <c r="DM176" s="510"/>
      <c r="DN176" s="510"/>
      <c r="DO176" s="510"/>
      <c r="DP176" s="511"/>
    </row>
    <row r="177" spans="1:120" ht="75" x14ac:dyDescent="0.25">
      <c r="A177" s="203"/>
      <c r="B177" s="203"/>
      <c r="C177" s="203"/>
      <c r="D177" s="203"/>
      <c r="E177" s="203"/>
      <c r="F177" s="203"/>
      <c r="G177" s="203"/>
      <c r="H177" s="203"/>
      <c r="I177" s="203"/>
      <c r="J177" s="203"/>
      <c r="K177" s="203"/>
      <c r="L177" s="203"/>
      <c r="M177" s="203"/>
      <c r="N177" s="203"/>
      <c r="O177" s="203"/>
      <c r="P177" s="203"/>
      <c r="Q177" s="203"/>
      <c r="R177" s="203"/>
      <c r="S177" s="203"/>
      <c r="T177" s="203"/>
      <c r="CX177" s="307" t="s">
        <v>848</v>
      </c>
      <c r="CY177" s="303" t="s">
        <v>849</v>
      </c>
      <c r="CZ177" s="303" t="s">
        <v>850</v>
      </c>
      <c r="DA177" s="303" t="s">
        <v>867</v>
      </c>
      <c r="DB177" s="303" t="s">
        <v>868</v>
      </c>
      <c r="DC177" s="303" t="s">
        <v>854</v>
      </c>
      <c r="DD177" s="303"/>
      <c r="DE177" s="304" t="s">
        <v>869</v>
      </c>
      <c r="DF177" s="308" t="s">
        <v>856</v>
      </c>
      <c r="DG177" s="399"/>
      <c r="DH177" s="397"/>
      <c r="DI177" s="307" t="s">
        <v>848</v>
      </c>
      <c r="DJ177" s="303" t="s">
        <v>849</v>
      </c>
      <c r="DK177" s="303" t="s">
        <v>850</v>
      </c>
      <c r="DL177" s="303" t="s">
        <v>868</v>
      </c>
      <c r="DM177" s="303" t="s">
        <v>854</v>
      </c>
      <c r="DN177" s="303"/>
      <c r="DO177" s="304" t="s">
        <v>855</v>
      </c>
      <c r="DP177" s="308" t="s">
        <v>856</v>
      </c>
    </row>
    <row r="178" spans="1:120" x14ac:dyDescent="0.25">
      <c r="A178" s="203"/>
      <c r="B178" s="203"/>
      <c r="C178" s="203"/>
      <c r="D178" s="203"/>
      <c r="E178" s="203"/>
      <c r="F178" s="203"/>
      <c r="G178" s="203"/>
      <c r="H178" s="203"/>
      <c r="I178" s="203"/>
      <c r="J178" s="203"/>
      <c r="K178" s="203"/>
      <c r="L178" s="203"/>
      <c r="M178" s="203"/>
      <c r="N178" s="203"/>
      <c r="O178" s="203"/>
      <c r="P178" s="203"/>
      <c r="Q178" s="203"/>
      <c r="R178" s="203"/>
      <c r="S178" s="203"/>
      <c r="T178" s="203"/>
      <c r="CX178" s="279" t="s">
        <v>870</v>
      </c>
      <c r="CY178" s="160" t="s">
        <v>871</v>
      </c>
      <c r="CZ178" s="160"/>
      <c r="DA178" s="160"/>
      <c r="DB178" s="160"/>
      <c r="DC178" s="305">
        <f>(CZ178*DE178)+(CZ178*DF178)</f>
        <v>0</v>
      </c>
      <c r="DD178" s="160"/>
      <c r="DE178" s="306" t="str">
        <f>IF(DA178="Side Mount","4","5")</f>
        <v>5</v>
      </c>
      <c r="DF178" s="309" t="str">
        <f>IF(DB178="Yes","1.5","0")</f>
        <v>0</v>
      </c>
      <c r="DG178" s="400"/>
      <c r="DH178" s="397"/>
      <c r="DI178" s="279" t="s">
        <v>859</v>
      </c>
      <c r="DJ178" s="160" t="s">
        <v>879</v>
      </c>
      <c r="DK178" s="160"/>
      <c r="DL178" s="160"/>
      <c r="DM178" s="305">
        <f t="shared" ref="DM178:DM185" si="82">(DK178*DO178)+(DK178*DP178)</f>
        <v>0</v>
      </c>
      <c r="DN178" s="160"/>
      <c r="DO178" s="306">
        <v>4</v>
      </c>
      <c r="DP178" s="309" t="str">
        <f>IF(DL178="Yes","1.5","0")</f>
        <v>0</v>
      </c>
    </row>
    <row r="179" spans="1:120" x14ac:dyDescent="0.25">
      <c r="A179" s="203"/>
      <c r="B179" s="203"/>
      <c r="C179" s="203"/>
      <c r="D179" s="203"/>
      <c r="E179" s="203"/>
      <c r="F179" s="203"/>
      <c r="G179" s="203"/>
      <c r="H179" s="203"/>
      <c r="I179" s="203"/>
      <c r="J179" s="203"/>
      <c r="K179" s="203"/>
      <c r="L179" s="203"/>
      <c r="M179" s="203"/>
      <c r="N179" s="203"/>
      <c r="O179" s="203"/>
      <c r="P179" s="203"/>
      <c r="Q179" s="203"/>
      <c r="R179" s="203"/>
      <c r="S179" s="203"/>
      <c r="T179" s="203"/>
      <c r="CX179" s="279" t="s">
        <v>865</v>
      </c>
      <c r="CY179" s="160" t="s">
        <v>872</v>
      </c>
      <c r="CZ179" s="160"/>
      <c r="DA179" s="160"/>
      <c r="DB179" s="160"/>
      <c r="DC179" s="305">
        <f t="shared" ref="DC179:DC182" si="83">(CZ179*DE179)+(CZ179*DF179)</f>
        <v>0</v>
      </c>
      <c r="DD179" s="160"/>
      <c r="DE179" s="306" t="str">
        <f>IF(DA179="Side Mount","5","6")</f>
        <v>6</v>
      </c>
      <c r="DF179" s="309" t="str">
        <f>IF(DB179="Yes","1.5","0")</f>
        <v>0</v>
      </c>
      <c r="DG179" s="400"/>
      <c r="DH179" s="397"/>
      <c r="DI179" s="279" t="s">
        <v>861</v>
      </c>
      <c r="DJ179" s="160" t="s">
        <v>880</v>
      </c>
      <c r="DK179" s="160"/>
      <c r="DL179" s="160"/>
      <c r="DM179" s="305">
        <f t="shared" si="82"/>
        <v>0</v>
      </c>
      <c r="DN179" s="160"/>
      <c r="DO179" s="306">
        <v>4.5</v>
      </c>
      <c r="DP179" s="309" t="str">
        <f>IF(DL179="Yes","1.5","0")</f>
        <v>0</v>
      </c>
    </row>
    <row r="180" spans="1:120" ht="26.25" x14ac:dyDescent="0.4">
      <c r="A180" s="203"/>
      <c r="B180" s="203"/>
      <c r="C180" s="203"/>
      <c r="D180" s="203"/>
      <c r="E180" s="203"/>
      <c r="F180" s="203"/>
      <c r="G180" s="203"/>
      <c r="H180" s="203"/>
      <c r="I180" s="203"/>
      <c r="J180" s="203"/>
      <c r="K180" s="203"/>
      <c r="L180" s="203"/>
      <c r="M180" s="203"/>
      <c r="N180" s="203"/>
      <c r="O180" s="203"/>
      <c r="P180" s="203"/>
      <c r="Q180" s="203"/>
      <c r="R180" s="203"/>
      <c r="S180" s="203"/>
      <c r="T180" s="203"/>
      <c r="Y180" s="577" t="s">
        <v>696</v>
      </c>
      <c r="Z180" s="436"/>
      <c r="AA180" s="436"/>
      <c r="AB180" s="436"/>
      <c r="AC180" s="436"/>
      <c r="AD180" s="436"/>
      <c r="AE180" s="436"/>
      <c r="AF180" s="436"/>
      <c r="AG180" s="436"/>
      <c r="AH180" s="436"/>
      <c r="AI180" s="436"/>
      <c r="AJ180" s="436"/>
      <c r="AK180" s="436"/>
      <c r="AL180" s="436"/>
      <c r="AM180" s="436"/>
      <c r="AN180" s="436"/>
      <c r="AO180" s="436"/>
      <c r="AX180" s="577" t="s">
        <v>704</v>
      </c>
      <c r="AY180" s="436"/>
      <c r="AZ180" s="436"/>
      <c r="BA180" s="436"/>
      <c r="BB180" s="436"/>
      <c r="BC180" s="436"/>
      <c r="BD180" s="436"/>
      <c r="BE180" s="436"/>
      <c r="BF180" s="436"/>
      <c r="BG180" s="436"/>
      <c r="BH180" s="436"/>
      <c r="BI180" s="436"/>
      <c r="BJ180" s="436"/>
      <c r="BK180" s="436"/>
      <c r="BL180" s="436"/>
      <c r="BM180" s="436"/>
      <c r="BN180" s="436"/>
      <c r="BX180" s="577" t="s">
        <v>726</v>
      </c>
      <c r="BY180" s="436"/>
      <c r="BZ180" s="436"/>
      <c r="CA180" s="436"/>
      <c r="CB180" s="436"/>
      <c r="CC180" s="436"/>
      <c r="CD180" s="436"/>
      <c r="CE180" s="436"/>
      <c r="CF180" s="436"/>
      <c r="CG180" s="436"/>
      <c r="CH180" s="436"/>
      <c r="CI180" s="436"/>
      <c r="CJ180" s="436"/>
      <c r="CK180" s="436"/>
      <c r="CL180" s="436"/>
      <c r="CM180" s="436"/>
      <c r="CN180" s="436"/>
      <c r="CX180" s="279" t="s">
        <v>873</v>
      </c>
      <c r="CY180" s="160" t="s">
        <v>874</v>
      </c>
      <c r="CZ180" s="160"/>
      <c r="DA180" s="160"/>
      <c r="DB180" s="160"/>
      <c r="DC180" s="305">
        <f t="shared" si="83"/>
        <v>0</v>
      </c>
      <c r="DD180" s="160"/>
      <c r="DE180" s="306" t="str">
        <f>IF(DA180="Side Mount","6","7")</f>
        <v>7</v>
      </c>
      <c r="DF180" s="309" t="str">
        <f>IF(DB180="Yes","1.5","0")</f>
        <v>0</v>
      </c>
      <c r="DG180" s="400"/>
      <c r="DH180" s="397"/>
      <c r="DI180" s="279" t="s">
        <v>863</v>
      </c>
      <c r="DJ180" s="160" t="s">
        <v>881</v>
      </c>
      <c r="DK180" s="160"/>
      <c r="DL180" s="160"/>
      <c r="DM180" s="305">
        <f t="shared" si="82"/>
        <v>0</v>
      </c>
      <c r="DN180" s="160"/>
      <c r="DO180" s="306">
        <v>5</v>
      </c>
      <c r="DP180" s="309" t="str">
        <f>IF(DL180="Yes","1.5","0")</f>
        <v>0</v>
      </c>
    </row>
    <row r="181" spans="1:120" ht="23.25" x14ac:dyDescent="0.35">
      <c r="A181" s="203"/>
      <c r="B181" s="203"/>
      <c r="C181" s="203"/>
      <c r="D181" s="203"/>
      <c r="E181" s="203"/>
      <c r="F181" s="203"/>
      <c r="G181" s="203"/>
      <c r="H181" s="203"/>
      <c r="I181" s="203"/>
      <c r="J181" s="203"/>
      <c r="K181" s="203"/>
      <c r="L181" s="203"/>
      <c r="M181" s="203"/>
      <c r="N181" s="203"/>
      <c r="O181" s="203"/>
      <c r="P181" s="203"/>
      <c r="Q181" s="203"/>
      <c r="R181" s="203"/>
      <c r="S181" s="203"/>
      <c r="T181" s="203"/>
      <c r="Y181" s="578" t="s">
        <v>278</v>
      </c>
      <c r="Z181" s="578"/>
      <c r="AA181" s="578"/>
      <c r="AB181" s="578"/>
      <c r="AC181" s="578"/>
      <c r="AD181" s="578"/>
      <c r="AE181" s="578"/>
      <c r="AF181" s="578"/>
      <c r="AG181" s="75"/>
      <c r="AH181" s="579" t="s">
        <v>353</v>
      </c>
      <c r="AI181" s="580"/>
      <c r="AJ181" s="580"/>
      <c r="AK181" s="580"/>
      <c r="AL181" s="580"/>
      <c r="AM181" s="580"/>
      <c r="AN181" s="580"/>
      <c r="AO181" s="581"/>
      <c r="AX181" s="578" t="s">
        <v>278</v>
      </c>
      <c r="AY181" s="578"/>
      <c r="AZ181" s="578"/>
      <c r="BA181" s="578"/>
      <c r="BB181" s="578"/>
      <c r="BC181" s="578"/>
      <c r="BD181" s="578"/>
      <c r="BE181" s="578"/>
      <c r="BF181" s="75"/>
      <c r="BG181" s="579" t="s">
        <v>281</v>
      </c>
      <c r="BH181" s="580"/>
      <c r="BI181" s="580"/>
      <c r="BJ181" s="580"/>
      <c r="BK181" s="580"/>
      <c r="BL181" s="580"/>
      <c r="BM181" s="580"/>
      <c r="BN181" s="581"/>
      <c r="BX181" s="578" t="s">
        <v>278</v>
      </c>
      <c r="BY181" s="578"/>
      <c r="BZ181" s="578"/>
      <c r="CA181" s="578"/>
      <c r="CB181" s="578"/>
      <c r="CC181" s="578"/>
      <c r="CD181" s="578"/>
      <c r="CE181" s="578"/>
      <c r="CF181" s="75"/>
      <c r="CG181" s="579" t="s">
        <v>281</v>
      </c>
      <c r="CH181" s="580"/>
      <c r="CI181" s="580"/>
      <c r="CJ181" s="580"/>
      <c r="CK181" s="580"/>
      <c r="CL181" s="580"/>
      <c r="CM181" s="580"/>
      <c r="CN181" s="581"/>
      <c r="CX181" s="279" t="s">
        <v>875</v>
      </c>
      <c r="CY181" s="160" t="s">
        <v>876</v>
      </c>
      <c r="CZ181" s="160"/>
      <c r="DA181" s="160"/>
      <c r="DB181" s="160"/>
      <c r="DC181" s="305">
        <f t="shared" si="83"/>
        <v>0</v>
      </c>
      <c r="DD181" s="160"/>
      <c r="DE181" s="306" t="str">
        <f>IF(DA181="Side Mount","7","8")</f>
        <v>8</v>
      </c>
      <c r="DF181" s="309" t="str">
        <f>IF(DB181="Yes","2","0")</f>
        <v>0</v>
      </c>
      <c r="DG181" s="400"/>
      <c r="DH181" s="397"/>
      <c r="DI181" s="279" t="s">
        <v>865</v>
      </c>
      <c r="DJ181" s="160" t="s">
        <v>882</v>
      </c>
      <c r="DK181" s="160"/>
      <c r="DL181" s="160"/>
      <c r="DM181" s="305">
        <f t="shared" si="82"/>
        <v>0</v>
      </c>
      <c r="DN181" s="160"/>
      <c r="DO181" s="306">
        <v>8</v>
      </c>
      <c r="DP181" s="309" t="str">
        <f>IF(DL181="Yes","1.5","0")</f>
        <v>0</v>
      </c>
    </row>
    <row r="182" spans="1:120" ht="15.75" thickBot="1" x14ac:dyDescent="0.3">
      <c r="A182" s="203"/>
      <c r="B182" s="203"/>
      <c r="C182" s="203"/>
      <c r="D182" s="203"/>
      <c r="E182" s="203"/>
      <c r="F182" s="203"/>
      <c r="G182" s="203"/>
      <c r="H182" s="203"/>
      <c r="I182" s="203"/>
      <c r="J182" s="203"/>
      <c r="K182" s="203"/>
      <c r="L182" s="203"/>
      <c r="M182" s="203"/>
      <c r="N182" s="203"/>
      <c r="O182" s="203"/>
      <c r="P182" s="203"/>
      <c r="Q182" s="203"/>
      <c r="R182" s="203"/>
      <c r="S182" s="203"/>
      <c r="T182" s="203"/>
      <c r="Y182" s="10" t="s">
        <v>31</v>
      </c>
      <c r="Z182" s="11">
        <v>1</v>
      </c>
      <c r="AA182" s="10" t="s">
        <v>37</v>
      </c>
      <c r="AB182" s="12" t="s">
        <v>79</v>
      </c>
      <c r="AC182" s="145"/>
      <c r="AD182" s="50"/>
      <c r="AE182" s="95"/>
      <c r="AF182" s="32" t="s">
        <v>207</v>
      </c>
      <c r="AG182" s="75"/>
      <c r="AH182" s="14" t="s">
        <v>198</v>
      </c>
      <c r="AI182" s="12">
        <v>1</v>
      </c>
      <c r="AJ182" s="10" t="s">
        <v>199</v>
      </c>
      <c r="AK182" s="12" t="s">
        <v>77</v>
      </c>
      <c r="AL182" s="145"/>
      <c r="AM182" s="26"/>
      <c r="AN182" s="95"/>
      <c r="AO182" s="16"/>
      <c r="AX182" s="10" t="s">
        <v>31</v>
      </c>
      <c r="AY182" s="11">
        <v>1</v>
      </c>
      <c r="AZ182" s="10" t="s">
        <v>37</v>
      </c>
      <c r="BA182" s="12" t="s">
        <v>32</v>
      </c>
      <c r="BB182" s="145">
        <f>AY182*5</f>
        <v>5</v>
      </c>
      <c r="BC182" s="50"/>
      <c r="BD182" s="95">
        <v>45642</v>
      </c>
      <c r="BE182" s="23" t="s">
        <v>336</v>
      </c>
      <c r="BF182" s="75"/>
      <c r="BG182" s="10" t="s">
        <v>198</v>
      </c>
      <c r="BH182" s="11">
        <v>1</v>
      </c>
      <c r="BI182" s="10" t="s">
        <v>199</v>
      </c>
      <c r="BJ182" s="11" t="s">
        <v>27</v>
      </c>
      <c r="BK182" s="111"/>
      <c r="BL182" s="94"/>
      <c r="BM182" s="95"/>
      <c r="BN182" s="13" t="s">
        <v>336</v>
      </c>
      <c r="BX182" s="10" t="s">
        <v>31</v>
      </c>
      <c r="BY182" s="11">
        <v>1</v>
      </c>
      <c r="BZ182" s="10" t="s">
        <v>37</v>
      </c>
      <c r="CA182" s="12" t="s">
        <v>76</v>
      </c>
      <c r="CB182" s="145">
        <f>BY182*5</f>
        <v>5</v>
      </c>
      <c r="CC182" s="26"/>
      <c r="CD182" s="95">
        <v>45482</v>
      </c>
      <c r="CE182" s="32" t="s">
        <v>284</v>
      </c>
      <c r="CF182" s="75"/>
      <c r="CG182" s="14" t="s">
        <v>198</v>
      </c>
      <c r="CH182" s="12">
        <v>1</v>
      </c>
      <c r="CI182" s="10" t="s">
        <v>199</v>
      </c>
      <c r="CJ182" s="12" t="s">
        <v>74</v>
      </c>
      <c r="CK182" s="92"/>
      <c r="CL182" s="26"/>
      <c r="CM182" s="95"/>
      <c r="CN182" s="13" t="s">
        <v>158</v>
      </c>
      <c r="CX182" s="283" t="s">
        <v>877</v>
      </c>
      <c r="CY182" s="284" t="s">
        <v>878</v>
      </c>
      <c r="CZ182" s="284"/>
      <c r="DA182" s="284"/>
      <c r="DB182" s="284"/>
      <c r="DC182" s="310">
        <f t="shared" si="83"/>
        <v>0</v>
      </c>
      <c r="DD182" s="284"/>
      <c r="DE182" s="311" t="str">
        <f>IF(DA182="Side Mount","8","10")</f>
        <v>10</v>
      </c>
      <c r="DF182" s="312" t="str">
        <f>IF(DB182="Yes","2.5","0")</f>
        <v>0</v>
      </c>
      <c r="DG182" s="400"/>
      <c r="DH182" s="397"/>
      <c r="DI182" s="279" t="s">
        <v>873</v>
      </c>
      <c r="DJ182" s="160" t="s">
        <v>883</v>
      </c>
      <c r="DK182" s="160">
        <v>4</v>
      </c>
      <c r="DL182" s="160"/>
      <c r="DM182" s="305">
        <f t="shared" si="82"/>
        <v>36</v>
      </c>
      <c r="DN182" s="160"/>
      <c r="DO182" s="306">
        <v>9</v>
      </c>
      <c r="DP182" s="309" t="str">
        <f>IF(DL182="Yes","3","0")</f>
        <v>0</v>
      </c>
    </row>
    <row r="183" spans="1:120" x14ac:dyDescent="0.25">
      <c r="A183" s="203"/>
      <c r="B183" s="203"/>
      <c r="C183" s="203"/>
      <c r="D183" s="203"/>
      <c r="E183" s="203"/>
      <c r="F183" s="203"/>
      <c r="G183" s="203"/>
      <c r="H183" s="203"/>
      <c r="I183" s="203"/>
      <c r="J183" s="203"/>
      <c r="K183" s="203"/>
      <c r="L183" s="203"/>
      <c r="M183" s="203"/>
      <c r="N183" s="203"/>
      <c r="O183" s="203"/>
      <c r="P183" s="203"/>
      <c r="Q183" s="203"/>
      <c r="R183" s="203"/>
      <c r="S183" s="203"/>
      <c r="T183" s="203"/>
      <c r="Y183" s="10" t="s">
        <v>31</v>
      </c>
      <c r="Z183" s="11">
        <v>1</v>
      </c>
      <c r="AA183" s="10" t="s">
        <v>135</v>
      </c>
      <c r="AB183" s="12" t="s">
        <v>79</v>
      </c>
      <c r="AC183" s="145"/>
      <c r="AD183" s="50"/>
      <c r="AE183" s="95"/>
      <c r="AF183" s="32" t="s">
        <v>207</v>
      </c>
      <c r="AG183" s="75"/>
      <c r="AH183" s="14" t="s">
        <v>198</v>
      </c>
      <c r="AI183" s="12">
        <v>1</v>
      </c>
      <c r="AJ183" s="10" t="s">
        <v>200</v>
      </c>
      <c r="AK183" s="12" t="s">
        <v>77</v>
      </c>
      <c r="AL183" s="145"/>
      <c r="AM183" s="26"/>
      <c r="AN183" s="95"/>
      <c r="AO183" s="13" t="s">
        <v>351</v>
      </c>
      <c r="AX183" s="10" t="s">
        <v>31</v>
      </c>
      <c r="AY183" s="11">
        <v>1</v>
      </c>
      <c r="AZ183" s="10" t="s">
        <v>135</v>
      </c>
      <c r="BA183" s="12" t="s">
        <v>32</v>
      </c>
      <c r="BB183" s="145">
        <f>AY183*7</f>
        <v>7</v>
      </c>
      <c r="BC183" s="50"/>
      <c r="BD183" s="95">
        <v>45642</v>
      </c>
      <c r="BE183" s="23" t="s">
        <v>336</v>
      </c>
      <c r="BF183" s="75"/>
      <c r="BG183" s="14" t="s">
        <v>198</v>
      </c>
      <c r="BH183" s="12">
        <v>1</v>
      </c>
      <c r="BI183" s="10" t="s">
        <v>200</v>
      </c>
      <c r="BJ183" s="12" t="s">
        <v>27</v>
      </c>
      <c r="BK183" s="111"/>
      <c r="BL183" s="50"/>
      <c r="BM183" s="95"/>
      <c r="BN183" s="13" t="s">
        <v>336</v>
      </c>
      <c r="BX183" s="10" t="s">
        <v>31</v>
      </c>
      <c r="BY183" s="11">
        <v>1</v>
      </c>
      <c r="BZ183" s="10" t="s">
        <v>135</v>
      </c>
      <c r="CA183" s="12" t="s">
        <v>76</v>
      </c>
      <c r="CB183" s="145">
        <f>BY183*6</f>
        <v>6</v>
      </c>
      <c r="CC183" s="26"/>
      <c r="CD183" s="95">
        <v>45482</v>
      </c>
      <c r="CE183" s="32" t="s">
        <v>284</v>
      </c>
      <c r="CF183" s="75"/>
      <c r="CG183" s="14" t="s">
        <v>198</v>
      </c>
      <c r="CH183" s="12">
        <v>1</v>
      </c>
      <c r="CI183" s="10" t="s">
        <v>200</v>
      </c>
      <c r="CJ183" s="12" t="s">
        <v>74</v>
      </c>
      <c r="CK183" s="149"/>
      <c r="CL183" s="26"/>
      <c r="CM183" s="95"/>
      <c r="CN183" s="13" t="s">
        <v>1221</v>
      </c>
      <c r="DG183" s="397"/>
      <c r="DH183" s="397"/>
      <c r="DI183" s="279" t="s">
        <v>875</v>
      </c>
      <c r="DJ183" s="160" t="s">
        <v>884</v>
      </c>
      <c r="DK183" s="160"/>
      <c r="DL183" s="160"/>
      <c r="DM183" s="305">
        <f t="shared" si="82"/>
        <v>0</v>
      </c>
      <c r="DN183" s="160"/>
      <c r="DO183" s="306">
        <v>10</v>
      </c>
      <c r="DP183" s="309" t="str">
        <f>IF(DL183="Yes","4","0")</f>
        <v>0</v>
      </c>
    </row>
    <row r="184" spans="1:120" x14ac:dyDescent="0.25">
      <c r="A184" s="203"/>
      <c r="B184" s="203"/>
      <c r="C184" s="203"/>
      <c r="D184" s="203"/>
      <c r="E184" s="203"/>
      <c r="F184" s="203"/>
      <c r="G184" s="203"/>
      <c r="H184" s="203"/>
      <c r="I184" s="203"/>
      <c r="J184" s="203"/>
      <c r="K184" s="203"/>
      <c r="L184" s="203"/>
      <c r="M184" s="203"/>
      <c r="N184" s="203"/>
      <c r="O184" s="203"/>
      <c r="P184" s="203"/>
      <c r="Q184" s="203"/>
      <c r="R184" s="203"/>
      <c r="S184" s="203"/>
      <c r="T184" s="203"/>
      <c r="Y184" s="10" t="s">
        <v>31</v>
      </c>
      <c r="Z184" s="11">
        <v>1</v>
      </c>
      <c r="AA184" s="10" t="s">
        <v>38</v>
      </c>
      <c r="AB184" s="12" t="s">
        <v>79</v>
      </c>
      <c r="AC184" s="149">
        <f>Z184*7</f>
        <v>7</v>
      </c>
      <c r="AD184" s="53"/>
      <c r="AE184" s="95">
        <v>45775</v>
      </c>
      <c r="AF184" s="32" t="s">
        <v>1108</v>
      </c>
      <c r="AG184" s="75"/>
      <c r="AH184" s="14" t="s">
        <v>198</v>
      </c>
      <c r="AI184" s="12">
        <v>1</v>
      </c>
      <c r="AJ184" s="10" t="s">
        <v>201</v>
      </c>
      <c r="AK184" s="12" t="s">
        <v>77</v>
      </c>
      <c r="AL184" s="145"/>
      <c r="AM184" s="26"/>
      <c r="AN184" s="95"/>
      <c r="AO184" s="13" t="s">
        <v>351</v>
      </c>
      <c r="AQ184" s="582" t="s">
        <v>590</v>
      </c>
      <c r="AR184" s="582"/>
      <c r="AS184" s="582"/>
      <c r="AT184" s="582"/>
      <c r="AU184" s="582"/>
      <c r="AX184" s="10" t="s">
        <v>31</v>
      </c>
      <c r="AY184" s="11">
        <v>1</v>
      </c>
      <c r="AZ184" s="10" t="s">
        <v>38</v>
      </c>
      <c r="BA184" s="12" t="s">
        <v>32</v>
      </c>
      <c r="BB184" s="149">
        <f>AY184*7.15</f>
        <v>7.15</v>
      </c>
      <c r="BC184" s="53"/>
      <c r="BD184" s="95">
        <v>45782</v>
      </c>
      <c r="BE184" s="23" t="s">
        <v>336</v>
      </c>
      <c r="BF184" s="75"/>
      <c r="BG184" s="14" t="s">
        <v>198</v>
      </c>
      <c r="BH184" s="12">
        <v>1</v>
      </c>
      <c r="BI184" s="10" t="s">
        <v>201</v>
      </c>
      <c r="BJ184" s="12" t="s">
        <v>27</v>
      </c>
      <c r="BK184" s="111"/>
      <c r="BL184" s="50"/>
      <c r="BM184" s="95"/>
      <c r="BN184" s="13" t="s">
        <v>336</v>
      </c>
      <c r="BP184" s="582" t="s">
        <v>590</v>
      </c>
      <c r="BQ184" s="582"/>
      <c r="BR184" s="582"/>
      <c r="BS184" s="582"/>
      <c r="BT184" s="582"/>
      <c r="BX184" s="10" t="s">
        <v>31</v>
      </c>
      <c r="BY184" s="11">
        <v>1</v>
      </c>
      <c r="BZ184" s="10" t="s">
        <v>38</v>
      </c>
      <c r="CA184" s="12" t="s">
        <v>76</v>
      </c>
      <c r="CB184" s="149">
        <f>BY184*16</f>
        <v>16</v>
      </c>
      <c r="CC184" s="145"/>
      <c r="CD184" s="95">
        <v>45568</v>
      </c>
      <c r="CE184" s="32" t="s">
        <v>284</v>
      </c>
      <c r="CF184" s="75"/>
      <c r="CG184" s="14" t="s">
        <v>198</v>
      </c>
      <c r="CH184" s="12">
        <v>1</v>
      </c>
      <c r="CI184" s="10" t="s">
        <v>201</v>
      </c>
      <c r="CJ184" s="12" t="s">
        <v>74</v>
      </c>
      <c r="CK184" s="92"/>
      <c r="CL184" s="26"/>
      <c r="CM184" s="95"/>
      <c r="CN184" s="13" t="s">
        <v>158</v>
      </c>
      <c r="CP184" s="582" t="s">
        <v>590</v>
      </c>
      <c r="CQ184" s="582"/>
      <c r="CR184" s="582"/>
      <c r="CS184" s="582"/>
      <c r="CT184" s="582"/>
      <c r="DG184" s="397"/>
      <c r="DH184" s="397"/>
      <c r="DI184" s="279" t="s">
        <v>885</v>
      </c>
      <c r="DJ184" s="160" t="s">
        <v>886</v>
      </c>
      <c r="DK184" s="160"/>
      <c r="DL184" s="160"/>
      <c r="DM184" s="305">
        <f t="shared" si="82"/>
        <v>0</v>
      </c>
      <c r="DN184" s="160"/>
      <c r="DO184" s="306">
        <v>12</v>
      </c>
      <c r="DP184" s="309" t="str">
        <f>IF(DL184="Yes","5","0")</f>
        <v>0</v>
      </c>
    </row>
    <row r="185" spans="1:120" ht="15.75" thickBot="1" x14ac:dyDescent="0.3">
      <c r="A185" s="203"/>
      <c r="B185" s="203"/>
      <c r="C185" s="203"/>
      <c r="D185" s="203"/>
      <c r="E185" s="203"/>
      <c r="F185" s="203"/>
      <c r="G185" s="203"/>
      <c r="H185" s="203"/>
      <c r="I185" s="203"/>
      <c r="J185" s="203"/>
      <c r="K185" s="203"/>
      <c r="L185" s="203"/>
      <c r="M185" s="203"/>
      <c r="N185" s="203"/>
      <c r="O185" s="203"/>
      <c r="P185" s="203"/>
      <c r="Q185" s="203"/>
      <c r="R185" s="203"/>
      <c r="S185" s="203"/>
      <c r="T185" s="203"/>
      <c r="Y185" s="10" t="s">
        <v>31</v>
      </c>
      <c r="Z185" s="11">
        <v>1</v>
      </c>
      <c r="AA185" s="10" t="s">
        <v>41</v>
      </c>
      <c r="AB185" s="12" t="s">
        <v>79</v>
      </c>
      <c r="AC185" s="149">
        <f>Z185*17</f>
        <v>17</v>
      </c>
      <c r="AD185" s="53"/>
      <c r="AE185" s="95">
        <v>45397</v>
      </c>
      <c r="AF185" s="32" t="s">
        <v>207</v>
      </c>
      <c r="AG185" s="75"/>
      <c r="AH185" s="14" t="s">
        <v>198</v>
      </c>
      <c r="AI185" s="12">
        <v>1</v>
      </c>
      <c r="AJ185" s="10" t="s">
        <v>202</v>
      </c>
      <c r="AK185" s="12" t="s">
        <v>77</v>
      </c>
      <c r="AL185" s="145"/>
      <c r="AM185" s="26"/>
      <c r="AN185" s="95"/>
      <c r="AO185" s="13" t="s">
        <v>1108</v>
      </c>
      <c r="AQ185" s="582"/>
      <c r="AR185" s="582"/>
      <c r="AS185" s="582"/>
      <c r="AT185" s="582"/>
      <c r="AU185" s="582"/>
      <c r="AX185" s="10" t="s">
        <v>31</v>
      </c>
      <c r="AY185" s="11">
        <v>1</v>
      </c>
      <c r="AZ185" s="10" t="s">
        <v>41</v>
      </c>
      <c r="BA185" s="12" t="s">
        <v>32</v>
      </c>
      <c r="BB185" s="149">
        <f>AY185*19</f>
        <v>19</v>
      </c>
      <c r="BC185" s="145"/>
      <c r="BD185" s="95">
        <v>45642</v>
      </c>
      <c r="BE185" s="23" t="s">
        <v>336</v>
      </c>
      <c r="BF185" s="75"/>
      <c r="BG185" s="14" t="s">
        <v>198</v>
      </c>
      <c r="BH185" s="12">
        <v>1</v>
      </c>
      <c r="BI185" s="10" t="s">
        <v>202</v>
      </c>
      <c r="BJ185" s="12" t="s">
        <v>27</v>
      </c>
      <c r="BK185" s="111"/>
      <c r="BL185" s="50"/>
      <c r="BM185" s="95"/>
      <c r="BN185" s="13" t="s">
        <v>336</v>
      </c>
      <c r="BP185" s="582"/>
      <c r="BQ185" s="582"/>
      <c r="BR185" s="582"/>
      <c r="BS185" s="582"/>
      <c r="BT185" s="582"/>
      <c r="BX185" s="10" t="s">
        <v>31</v>
      </c>
      <c r="BY185" s="11">
        <v>1</v>
      </c>
      <c r="BZ185" s="10" t="s">
        <v>41</v>
      </c>
      <c r="CA185" s="12" t="s">
        <v>76</v>
      </c>
      <c r="CB185" s="149">
        <f>BY185*27</f>
        <v>27</v>
      </c>
      <c r="CC185" s="22"/>
      <c r="CD185" s="95">
        <v>45482</v>
      </c>
      <c r="CE185" s="32" t="s">
        <v>284</v>
      </c>
      <c r="CF185" s="75"/>
      <c r="CG185" s="14" t="s">
        <v>198</v>
      </c>
      <c r="CH185" s="12">
        <v>1</v>
      </c>
      <c r="CI185" s="10" t="s">
        <v>202</v>
      </c>
      <c r="CJ185" s="12" t="s">
        <v>74</v>
      </c>
      <c r="CK185" s="149"/>
      <c r="CL185" s="26"/>
      <c r="CM185" s="95"/>
      <c r="CN185" s="13" t="s">
        <v>436</v>
      </c>
      <c r="CP185" s="582"/>
      <c r="CQ185" s="582"/>
      <c r="CR185" s="582"/>
      <c r="CS185" s="582"/>
      <c r="CT185" s="582"/>
      <c r="DI185" s="283" t="s">
        <v>887</v>
      </c>
      <c r="DJ185" s="284" t="s">
        <v>888</v>
      </c>
      <c r="DK185" s="284"/>
      <c r="DL185" s="284"/>
      <c r="DM185" s="310">
        <f t="shared" si="82"/>
        <v>0</v>
      </c>
      <c r="DN185" s="284"/>
      <c r="DO185" s="311">
        <v>13</v>
      </c>
      <c r="DP185" s="312" t="str">
        <f>IF(DL185="Yes","6","0")</f>
        <v>0</v>
      </c>
    </row>
    <row r="186" spans="1:120" x14ac:dyDescent="0.25">
      <c r="A186" s="203"/>
      <c r="B186" s="203"/>
      <c r="C186" s="203"/>
      <c r="D186" s="203"/>
      <c r="E186" s="203"/>
      <c r="F186" s="203"/>
      <c r="G186" s="203"/>
      <c r="H186" s="203"/>
      <c r="I186" s="203"/>
      <c r="J186" s="203"/>
      <c r="K186" s="203"/>
      <c r="L186" s="203"/>
      <c r="M186" s="203"/>
      <c r="N186" s="203"/>
      <c r="O186" s="203"/>
      <c r="P186" s="203"/>
      <c r="Q186" s="203"/>
      <c r="R186" s="203"/>
      <c r="S186" s="203"/>
      <c r="T186" s="203"/>
      <c r="Y186" s="10" t="s">
        <v>31</v>
      </c>
      <c r="Z186" s="11">
        <v>1</v>
      </c>
      <c r="AA186" s="10" t="s">
        <v>136</v>
      </c>
      <c r="AB186" s="12" t="s">
        <v>79</v>
      </c>
      <c r="AC186" s="149"/>
      <c r="AD186" s="53"/>
      <c r="AE186" s="95"/>
      <c r="AF186" s="32" t="s">
        <v>207</v>
      </c>
      <c r="AG186" s="75"/>
      <c r="AH186" s="14" t="s">
        <v>198</v>
      </c>
      <c r="AI186" s="12">
        <v>1</v>
      </c>
      <c r="AJ186" s="10" t="s">
        <v>203</v>
      </c>
      <c r="AK186" s="12" t="s">
        <v>77</v>
      </c>
      <c r="AL186" s="145">
        <f>AI186*3</f>
        <v>3</v>
      </c>
      <c r="AM186" s="26"/>
      <c r="AN186" s="95">
        <v>45568</v>
      </c>
      <c r="AO186" s="13" t="s">
        <v>554</v>
      </c>
      <c r="AQ186" s="582"/>
      <c r="AR186" s="582"/>
      <c r="AS186" s="582"/>
      <c r="AT186" s="582"/>
      <c r="AU186" s="582"/>
      <c r="AX186" s="10" t="s">
        <v>31</v>
      </c>
      <c r="AY186" s="11">
        <v>1</v>
      </c>
      <c r="AZ186" s="10" t="s">
        <v>136</v>
      </c>
      <c r="BA186" s="12" t="s">
        <v>32</v>
      </c>
      <c r="BB186" s="149">
        <f>AY186*65</f>
        <v>65</v>
      </c>
      <c r="BC186" s="145"/>
      <c r="BD186" s="95">
        <v>45457</v>
      </c>
      <c r="BE186" s="23" t="s">
        <v>336</v>
      </c>
      <c r="BF186" s="75"/>
      <c r="BG186" s="14" t="s">
        <v>198</v>
      </c>
      <c r="BH186" s="12">
        <v>1</v>
      </c>
      <c r="BI186" s="10" t="s">
        <v>203</v>
      </c>
      <c r="BJ186" s="12" t="s">
        <v>27</v>
      </c>
      <c r="BK186" s="111">
        <f>BH186*4</f>
        <v>4</v>
      </c>
      <c r="BL186" s="50"/>
      <c r="BM186" s="95">
        <v>45579</v>
      </c>
      <c r="BN186" s="13" t="s">
        <v>336</v>
      </c>
      <c r="BP186" s="582"/>
      <c r="BQ186" s="582"/>
      <c r="BR186" s="582"/>
      <c r="BS186" s="582"/>
      <c r="BT186" s="582"/>
      <c r="BX186" s="10" t="s">
        <v>31</v>
      </c>
      <c r="BY186" s="11">
        <v>1</v>
      </c>
      <c r="BZ186" s="10" t="s">
        <v>136</v>
      </c>
      <c r="CA186" s="12" t="s">
        <v>76</v>
      </c>
      <c r="CB186" s="149"/>
      <c r="CC186" s="22"/>
      <c r="CD186" s="95"/>
      <c r="CE186" s="32" t="s">
        <v>284</v>
      </c>
      <c r="CF186" s="75"/>
      <c r="CG186" s="14" t="s">
        <v>198</v>
      </c>
      <c r="CH186" s="12">
        <v>1</v>
      </c>
      <c r="CI186" s="10" t="s">
        <v>203</v>
      </c>
      <c r="CJ186" s="12" t="s">
        <v>74</v>
      </c>
      <c r="CK186" s="149">
        <f>CH186*5.5</f>
        <v>5.5</v>
      </c>
      <c r="CL186" s="26"/>
      <c r="CM186" s="95">
        <v>45782</v>
      </c>
      <c r="CN186" s="13" t="s">
        <v>158</v>
      </c>
      <c r="CP186" s="582"/>
      <c r="CQ186" s="582"/>
      <c r="CR186" s="582"/>
      <c r="CS186" s="582"/>
      <c r="CT186" s="582"/>
    </row>
    <row r="187" spans="1:120" x14ac:dyDescent="0.25">
      <c r="A187" s="203"/>
      <c r="B187" s="203"/>
      <c r="C187" s="203"/>
      <c r="D187" s="203"/>
      <c r="E187" s="203"/>
      <c r="F187" s="203"/>
      <c r="G187" s="203"/>
      <c r="H187" s="203"/>
      <c r="I187" s="203"/>
      <c r="J187" s="203"/>
      <c r="K187" s="203"/>
      <c r="L187" s="203"/>
      <c r="M187" s="203"/>
      <c r="N187" s="203"/>
      <c r="O187" s="203"/>
      <c r="P187" s="203"/>
      <c r="Q187" s="203"/>
      <c r="R187" s="203"/>
      <c r="S187" s="203"/>
      <c r="T187" s="203"/>
      <c r="Y187" s="10" t="s">
        <v>31</v>
      </c>
      <c r="Z187" s="11">
        <v>1</v>
      </c>
      <c r="AA187" s="10" t="s">
        <v>46</v>
      </c>
      <c r="AB187" s="12" t="s">
        <v>79</v>
      </c>
      <c r="AC187" s="149"/>
      <c r="AD187" s="50"/>
      <c r="AE187" s="95"/>
      <c r="AF187" s="32" t="s">
        <v>207</v>
      </c>
      <c r="AG187" s="75"/>
      <c r="AH187" s="14" t="s">
        <v>198</v>
      </c>
      <c r="AI187" s="12">
        <v>1</v>
      </c>
      <c r="AJ187" s="10" t="s">
        <v>204</v>
      </c>
      <c r="AK187" s="12" t="s">
        <v>77</v>
      </c>
      <c r="AL187" s="145">
        <f>AI187*9.17</f>
        <v>9.17</v>
      </c>
      <c r="AM187" s="26"/>
      <c r="AN187" s="95">
        <v>45762</v>
      </c>
      <c r="AO187" s="13" t="s">
        <v>554</v>
      </c>
      <c r="AQ187" s="582"/>
      <c r="AR187" s="582"/>
      <c r="AS187" s="582"/>
      <c r="AT187" s="582"/>
      <c r="AU187" s="582"/>
      <c r="AX187" s="10" t="s">
        <v>31</v>
      </c>
      <c r="AY187" s="11">
        <v>1</v>
      </c>
      <c r="AZ187" s="10" t="s">
        <v>46</v>
      </c>
      <c r="BA187" s="12" t="s">
        <v>32</v>
      </c>
      <c r="BB187" s="149"/>
      <c r="BC187" s="50"/>
      <c r="BD187" s="95"/>
      <c r="BE187" s="23" t="s">
        <v>336</v>
      </c>
      <c r="BF187" s="75"/>
      <c r="BG187" s="14" t="s">
        <v>198</v>
      </c>
      <c r="BH187" s="12">
        <v>1</v>
      </c>
      <c r="BI187" s="10" t="s">
        <v>204</v>
      </c>
      <c r="BJ187" s="12" t="s">
        <v>27</v>
      </c>
      <c r="BK187" s="111">
        <f>BH187*7.19</f>
        <v>7.19</v>
      </c>
      <c r="BL187" s="50"/>
      <c r="BM187" s="95">
        <v>45768</v>
      </c>
      <c r="BN187" s="13" t="s">
        <v>336</v>
      </c>
      <c r="BP187" s="582"/>
      <c r="BQ187" s="582"/>
      <c r="BR187" s="582"/>
      <c r="BS187" s="582"/>
      <c r="BT187" s="582"/>
      <c r="BX187" s="10" t="s">
        <v>31</v>
      </c>
      <c r="BY187" s="11">
        <v>1</v>
      </c>
      <c r="BZ187" s="10" t="s">
        <v>46</v>
      </c>
      <c r="CA187" s="12" t="s">
        <v>76</v>
      </c>
      <c r="CB187" s="149"/>
      <c r="CC187" s="26"/>
      <c r="CD187" s="95"/>
      <c r="CE187" s="32" t="s">
        <v>284</v>
      </c>
      <c r="CF187" s="75"/>
      <c r="CG187" s="14" t="s">
        <v>198</v>
      </c>
      <c r="CH187" s="12">
        <v>1</v>
      </c>
      <c r="CI187" s="10" t="s">
        <v>204</v>
      </c>
      <c r="CJ187" s="12" t="s">
        <v>74</v>
      </c>
      <c r="CK187" s="149">
        <f>CH187*9.22</f>
        <v>9.2200000000000006</v>
      </c>
      <c r="CL187" s="26"/>
      <c r="CM187" s="95">
        <v>45782</v>
      </c>
      <c r="CN187" s="13" t="s">
        <v>436</v>
      </c>
      <c r="CP187" s="582"/>
      <c r="CQ187" s="582"/>
      <c r="CR187" s="582"/>
      <c r="CS187" s="582"/>
      <c r="CT187" s="582"/>
    </row>
    <row r="188" spans="1:120" x14ac:dyDescent="0.25">
      <c r="A188" s="203"/>
      <c r="B188" s="203"/>
      <c r="C188" s="203"/>
      <c r="D188" s="203"/>
      <c r="E188" s="203"/>
      <c r="F188" s="203"/>
      <c r="G188" s="203"/>
      <c r="H188" s="203"/>
      <c r="I188" s="203"/>
      <c r="J188" s="203"/>
      <c r="K188" s="203"/>
      <c r="L188" s="203"/>
      <c r="M188" s="203"/>
      <c r="N188" s="203"/>
      <c r="O188" s="203"/>
      <c r="P188" s="203"/>
      <c r="Q188" s="203"/>
      <c r="R188" s="203"/>
      <c r="S188" s="203"/>
      <c r="T188" s="203"/>
      <c r="Y188" s="10" t="s">
        <v>31</v>
      </c>
      <c r="Z188" s="11">
        <v>1</v>
      </c>
      <c r="AA188" s="10" t="s">
        <v>49</v>
      </c>
      <c r="AB188" s="12" t="s">
        <v>79</v>
      </c>
      <c r="AC188" s="92">
        <f>Z188*50</f>
        <v>50</v>
      </c>
      <c r="AD188" s="50"/>
      <c r="AE188" s="95">
        <v>45397</v>
      </c>
      <c r="AF188" s="32" t="s">
        <v>207</v>
      </c>
      <c r="AG188" s="75"/>
      <c r="AH188" s="14" t="s">
        <v>198</v>
      </c>
      <c r="AI188" s="12">
        <v>1</v>
      </c>
      <c r="AJ188" s="10" t="s">
        <v>435</v>
      </c>
      <c r="AK188" s="12" t="s">
        <v>77</v>
      </c>
      <c r="AL188" s="149"/>
      <c r="AM188" s="22"/>
      <c r="AN188" s="95"/>
      <c r="AO188" s="13" t="s">
        <v>351</v>
      </c>
      <c r="AQ188" s="582"/>
      <c r="AR188" s="582"/>
      <c r="AS188" s="582"/>
      <c r="AT188" s="582"/>
      <c r="AU188" s="582"/>
      <c r="AX188" s="10" t="s">
        <v>31</v>
      </c>
      <c r="AY188" s="11">
        <v>1</v>
      </c>
      <c r="AZ188" s="10" t="s">
        <v>49</v>
      </c>
      <c r="BA188" s="12" t="s">
        <v>32</v>
      </c>
      <c r="BB188" s="92">
        <f>AY188*121</f>
        <v>121</v>
      </c>
      <c r="BC188" s="50"/>
      <c r="BD188" s="95">
        <v>45490</v>
      </c>
      <c r="BE188" s="23" t="s">
        <v>336</v>
      </c>
      <c r="BF188" s="75"/>
      <c r="BG188" s="14" t="s">
        <v>198</v>
      </c>
      <c r="BH188" s="12">
        <v>1</v>
      </c>
      <c r="BI188" s="10" t="s">
        <v>1127</v>
      </c>
      <c r="BJ188" s="12" t="s">
        <v>27</v>
      </c>
      <c r="BK188" s="92">
        <f>BH188*21</f>
        <v>21</v>
      </c>
      <c r="BL188" s="50"/>
      <c r="BM188" s="95">
        <v>45568</v>
      </c>
      <c r="BN188" s="13" t="s">
        <v>336</v>
      </c>
      <c r="BP188" s="582"/>
      <c r="BQ188" s="582"/>
      <c r="BR188" s="582"/>
      <c r="BS188" s="582"/>
      <c r="BT188" s="582"/>
      <c r="BX188" s="10" t="s">
        <v>31</v>
      </c>
      <c r="BY188" s="11">
        <v>1</v>
      </c>
      <c r="BZ188" s="10" t="s">
        <v>49</v>
      </c>
      <c r="CA188" s="12" t="s">
        <v>76</v>
      </c>
      <c r="CB188" s="92"/>
      <c r="CC188" s="26"/>
      <c r="CD188" s="95"/>
      <c r="CE188" s="32" t="s">
        <v>284</v>
      </c>
      <c r="CF188" s="75"/>
      <c r="CG188" s="14" t="s">
        <v>198</v>
      </c>
      <c r="CH188" s="12">
        <v>1</v>
      </c>
      <c r="CI188" s="10" t="s">
        <v>347</v>
      </c>
      <c r="CJ188" s="12" t="s">
        <v>74</v>
      </c>
      <c r="CK188" s="149"/>
      <c r="CL188" s="22"/>
      <c r="CM188" s="60"/>
      <c r="CN188" s="23"/>
      <c r="CP188" s="582"/>
      <c r="CQ188" s="582"/>
      <c r="CR188" s="582"/>
      <c r="CS188" s="582"/>
      <c r="CT188" s="582"/>
    </row>
    <row r="189" spans="1:120" x14ac:dyDescent="0.25">
      <c r="A189" s="203"/>
      <c r="B189" s="203"/>
      <c r="C189" s="203"/>
      <c r="D189" s="203"/>
      <c r="E189" s="203"/>
      <c r="F189" s="203"/>
      <c r="G189" s="203"/>
      <c r="H189" s="203"/>
      <c r="I189" s="203"/>
      <c r="J189" s="203"/>
      <c r="K189" s="203"/>
      <c r="L189" s="203"/>
      <c r="M189" s="203"/>
      <c r="N189" s="203"/>
      <c r="O189" s="203"/>
      <c r="P189" s="203"/>
      <c r="Q189" s="203"/>
      <c r="R189" s="203"/>
      <c r="S189" s="203"/>
      <c r="T189" s="203"/>
      <c r="Y189" s="10" t="s">
        <v>31</v>
      </c>
      <c r="Z189" s="11">
        <v>1</v>
      </c>
      <c r="AA189" s="10" t="s">
        <v>137</v>
      </c>
      <c r="AB189" s="12" t="s">
        <v>79</v>
      </c>
      <c r="AC189" s="149"/>
      <c r="AD189" s="50"/>
      <c r="AE189" s="95"/>
      <c r="AF189" s="32" t="s">
        <v>1109</v>
      </c>
      <c r="AG189" s="75"/>
      <c r="AH189" s="14" t="s">
        <v>198</v>
      </c>
      <c r="AI189" s="12">
        <v>1</v>
      </c>
      <c r="AJ189" s="10" t="s">
        <v>347</v>
      </c>
      <c r="AK189" s="12" t="s">
        <v>77</v>
      </c>
      <c r="AL189" s="149">
        <f>AI189*15</f>
        <v>15</v>
      </c>
      <c r="AM189" s="22"/>
      <c r="AN189" s="95">
        <v>45568</v>
      </c>
      <c r="AO189" s="13" t="s">
        <v>1108</v>
      </c>
      <c r="AX189" s="10" t="s">
        <v>31</v>
      </c>
      <c r="AY189" s="11">
        <v>1</v>
      </c>
      <c r="AZ189" s="10" t="s">
        <v>137</v>
      </c>
      <c r="BA189" s="12" t="s">
        <v>32</v>
      </c>
      <c r="BB189" s="149">
        <f>AY189*179</f>
        <v>179</v>
      </c>
      <c r="BC189" s="50"/>
      <c r="BD189" s="95">
        <v>45457</v>
      </c>
      <c r="BE189" s="23" t="s">
        <v>336</v>
      </c>
      <c r="BF189" s="75"/>
      <c r="BG189" s="14" t="s">
        <v>198</v>
      </c>
      <c r="BH189" s="12">
        <v>1</v>
      </c>
      <c r="BI189" s="10" t="s">
        <v>232</v>
      </c>
      <c r="BJ189" s="12" t="s">
        <v>27</v>
      </c>
      <c r="BK189" s="92">
        <f>BH189*24</f>
        <v>24</v>
      </c>
      <c r="BL189" s="50"/>
      <c r="BM189" s="95">
        <v>45406</v>
      </c>
      <c r="BN189" s="13" t="s">
        <v>336</v>
      </c>
      <c r="BX189" s="10" t="s">
        <v>31</v>
      </c>
      <c r="BY189" s="11">
        <v>1</v>
      </c>
      <c r="BZ189" s="10" t="s">
        <v>137</v>
      </c>
      <c r="CA189" s="12" t="s">
        <v>76</v>
      </c>
      <c r="CB189" s="149"/>
      <c r="CC189" s="26"/>
      <c r="CD189" s="95"/>
      <c r="CE189" s="32" t="s">
        <v>284</v>
      </c>
      <c r="CF189" s="75"/>
      <c r="CG189" s="14" t="s">
        <v>198</v>
      </c>
      <c r="CH189" s="12">
        <v>1</v>
      </c>
      <c r="CI189" s="10" t="s">
        <v>232</v>
      </c>
      <c r="CJ189" s="12" t="s">
        <v>74</v>
      </c>
      <c r="CK189" s="145"/>
      <c r="CL189" s="26"/>
      <c r="CM189" s="60"/>
      <c r="CN189" s="23"/>
    </row>
    <row r="190" spans="1:120" x14ac:dyDescent="0.25">
      <c r="A190" s="203"/>
      <c r="B190" s="203"/>
      <c r="C190" s="203"/>
      <c r="D190" s="203"/>
      <c r="E190" s="203"/>
      <c r="F190" s="203"/>
      <c r="G190" s="203"/>
      <c r="H190" s="203"/>
      <c r="I190" s="203"/>
      <c r="J190" s="203"/>
      <c r="K190" s="203"/>
      <c r="L190" s="203"/>
      <c r="M190" s="203"/>
      <c r="N190" s="203"/>
      <c r="O190" s="203"/>
      <c r="P190" s="203"/>
      <c r="Q190" s="203"/>
      <c r="R190" s="203"/>
      <c r="S190" s="203"/>
      <c r="T190" s="203"/>
      <c r="Y190" s="10" t="s">
        <v>31</v>
      </c>
      <c r="Z190" s="11">
        <v>1</v>
      </c>
      <c r="AA190" s="10" t="s">
        <v>54</v>
      </c>
      <c r="AB190" s="12" t="s">
        <v>79</v>
      </c>
      <c r="AC190" s="92"/>
      <c r="AD190" s="50"/>
      <c r="AE190" s="95"/>
      <c r="AF190" s="32" t="s">
        <v>207</v>
      </c>
      <c r="AG190" s="75"/>
      <c r="AH190" s="14" t="s">
        <v>198</v>
      </c>
      <c r="AI190" s="12">
        <v>1</v>
      </c>
      <c r="AJ190" s="10" t="s">
        <v>232</v>
      </c>
      <c r="AK190" s="12" t="s">
        <v>77</v>
      </c>
      <c r="AL190" s="145"/>
      <c r="AM190" s="26"/>
      <c r="AN190" s="95"/>
      <c r="AO190" s="13" t="s">
        <v>1108</v>
      </c>
      <c r="AX190" s="10" t="s">
        <v>31</v>
      </c>
      <c r="AY190" s="11">
        <v>1</v>
      </c>
      <c r="AZ190" s="10" t="s">
        <v>54</v>
      </c>
      <c r="BA190" s="12" t="s">
        <v>32</v>
      </c>
      <c r="BB190" s="92">
        <f>AY190*373</f>
        <v>373</v>
      </c>
      <c r="BC190" s="50"/>
      <c r="BD190" s="95">
        <v>45457</v>
      </c>
      <c r="BE190" s="23" t="s">
        <v>336</v>
      </c>
      <c r="BF190" s="75"/>
      <c r="BG190" s="14" t="s">
        <v>198</v>
      </c>
      <c r="BH190" s="12">
        <v>1</v>
      </c>
      <c r="BI190" s="10" t="s">
        <v>349</v>
      </c>
      <c r="BJ190" s="12" t="s">
        <v>27</v>
      </c>
      <c r="BK190" s="92">
        <f>BH190*79</f>
        <v>79</v>
      </c>
      <c r="BL190" s="50"/>
      <c r="BM190" s="95">
        <v>45406</v>
      </c>
      <c r="BN190" s="13" t="s">
        <v>336</v>
      </c>
      <c r="BX190" s="10" t="s">
        <v>31</v>
      </c>
      <c r="BY190" s="11">
        <v>1</v>
      </c>
      <c r="BZ190" s="10" t="s">
        <v>54</v>
      </c>
      <c r="CA190" s="12" t="s">
        <v>76</v>
      </c>
      <c r="CB190" s="92"/>
      <c r="CC190" s="26"/>
      <c r="CD190" s="95"/>
      <c r="CE190" s="32" t="s">
        <v>284</v>
      </c>
      <c r="CF190" s="75"/>
      <c r="CG190" s="14" t="s">
        <v>198</v>
      </c>
      <c r="CH190" s="12">
        <v>1</v>
      </c>
      <c r="CI190" s="10" t="s">
        <v>348</v>
      </c>
      <c r="CJ190" s="12" t="s">
        <v>74</v>
      </c>
      <c r="CK190" s="92"/>
      <c r="CL190" s="26"/>
      <c r="CM190" s="60"/>
      <c r="CN190" s="23"/>
    </row>
    <row r="191" spans="1:120" ht="23.25" x14ac:dyDescent="0.35">
      <c r="A191" s="567" t="s">
        <v>414</v>
      </c>
      <c r="B191" s="567"/>
      <c r="C191" s="567"/>
      <c r="D191" s="567"/>
      <c r="E191" s="567"/>
      <c r="F191" s="567"/>
      <c r="G191" s="75"/>
      <c r="H191" s="567" t="s">
        <v>414</v>
      </c>
      <c r="I191" s="567"/>
      <c r="J191" s="567"/>
      <c r="K191" s="567"/>
      <c r="L191" s="567"/>
      <c r="M191" s="567"/>
      <c r="N191" s="75"/>
      <c r="O191" s="567" t="s">
        <v>414</v>
      </c>
      <c r="P191" s="567"/>
      <c r="Q191" s="567"/>
      <c r="R191" s="567"/>
      <c r="S191" s="567"/>
      <c r="T191" s="567"/>
      <c r="Y191" s="10" t="s">
        <v>31</v>
      </c>
      <c r="Z191" s="11">
        <v>1</v>
      </c>
      <c r="AA191" s="10" t="s">
        <v>57</v>
      </c>
      <c r="AB191" s="12" t="s">
        <v>79</v>
      </c>
      <c r="AC191" s="92"/>
      <c r="AD191" s="50"/>
      <c r="AE191" s="95"/>
      <c r="AF191" s="32" t="s">
        <v>207</v>
      </c>
      <c r="AG191" s="75"/>
      <c r="AH191" s="14" t="s">
        <v>198</v>
      </c>
      <c r="AI191" s="12">
        <v>1</v>
      </c>
      <c r="AJ191" s="10" t="s">
        <v>348</v>
      </c>
      <c r="AK191" s="12" t="s">
        <v>77</v>
      </c>
      <c r="AL191" s="111"/>
      <c r="AM191" s="26"/>
      <c r="AN191" s="95"/>
      <c r="AO191" s="13" t="s">
        <v>351</v>
      </c>
      <c r="AX191" s="10" t="s">
        <v>31</v>
      </c>
      <c r="AY191" s="11">
        <v>1</v>
      </c>
      <c r="AZ191" s="10" t="s">
        <v>57</v>
      </c>
      <c r="BA191" s="12" t="s">
        <v>32</v>
      </c>
      <c r="BB191" s="92"/>
      <c r="BC191" s="93"/>
      <c r="BD191" s="95"/>
      <c r="BE191" s="23" t="s">
        <v>336</v>
      </c>
      <c r="BF191" s="75"/>
      <c r="BG191" s="14" t="s">
        <v>198</v>
      </c>
      <c r="BH191" s="12">
        <v>1</v>
      </c>
      <c r="BI191" s="10" t="s">
        <v>1101</v>
      </c>
      <c r="BJ191" s="12" t="s">
        <v>27</v>
      </c>
      <c r="BK191" s="92"/>
      <c r="BL191" s="50"/>
      <c r="BM191" s="95"/>
      <c r="BN191" s="13" t="s">
        <v>336</v>
      </c>
      <c r="BX191" s="10" t="s">
        <v>31</v>
      </c>
      <c r="BY191" s="11">
        <v>1</v>
      </c>
      <c r="BZ191" s="10" t="s">
        <v>57</v>
      </c>
      <c r="CA191" s="12" t="s">
        <v>76</v>
      </c>
      <c r="CB191" s="92"/>
      <c r="CC191" s="93"/>
      <c r="CD191" s="95"/>
      <c r="CE191" s="32" t="s">
        <v>284</v>
      </c>
      <c r="CF191" s="75"/>
      <c r="CG191" s="14" t="s">
        <v>198</v>
      </c>
      <c r="CH191" s="12">
        <v>1</v>
      </c>
      <c r="CI191" s="10" t="s">
        <v>349</v>
      </c>
      <c r="CJ191" s="12" t="s">
        <v>74</v>
      </c>
      <c r="CK191" s="92"/>
      <c r="CL191" s="26"/>
      <c r="CM191" s="60"/>
      <c r="CN191" s="23" t="s">
        <v>1103</v>
      </c>
    </row>
    <row r="192" spans="1:120" ht="15" customHeight="1" x14ac:dyDescent="0.25">
      <c r="A192" s="189"/>
      <c r="B192" s="12"/>
      <c r="C192" s="143"/>
      <c r="D192" s="12"/>
      <c r="E192" s="24"/>
      <c r="F192" s="190"/>
      <c r="G192" s="75"/>
      <c r="H192" s="189"/>
      <c r="I192" s="12"/>
      <c r="J192" s="143"/>
      <c r="K192" s="12"/>
      <c r="L192" s="24"/>
      <c r="M192" s="190"/>
      <c r="N192" s="75"/>
      <c r="O192" s="189"/>
      <c r="P192" s="12"/>
      <c r="Q192" s="143"/>
      <c r="R192" s="12"/>
      <c r="S192" s="24"/>
      <c r="T192" s="190"/>
      <c r="Y192" s="10" t="s">
        <v>31</v>
      </c>
      <c r="Z192" s="11">
        <v>1</v>
      </c>
      <c r="AA192" s="10" t="s">
        <v>138</v>
      </c>
      <c r="AB192" s="12" t="s">
        <v>79</v>
      </c>
      <c r="AC192" s="568" t="s">
        <v>282</v>
      </c>
      <c r="AD192" s="569"/>
      <c r="AE192" s="569"/>
      <c r="AF192" s="570"/>
      <c r="AG192" s="75"/>
      <c r="AH192" s="14" t="s">
        <v>198</v>
      </c>
      <c r="AI192" s="12">
        <v>1</v>
      </c>
      <c r="AJ192" s="10" t="s">
        <v>349</v>
      </c>
      <c r="AK192" s="12" t="s">
        <v>77</v>
      </c>
      <c r="AL192" s="111"/>
      <c r="AM192" s="26"/>
      <c r="AN192" s="95"/>
      <c r="AO192" s="13" t="s">
        <v>351</v>
      </c>
      <c r="AX192" s="10" t="s">
        <v>31</v>
      </c>
      <c r="AY192" s="11">
        <v>1</v>
      </c>
      <c r="AZ192" s="10" t="s">
        <v>138</v>
      </c>
      <c r="BA192" s="12" t="s">
        <v>32</v>
      </c>
      <c r="BB192" s="568" t="s">
        <v>282</v>
      </c>
      <c r="BC192" s="569"/>
      <c r="BD192" s="569"/>
      <c r="BE192" s="570"/>
      <c r="BF192" s="75"/>
      <c r="BG192" s="10"/>
      <c r="BH192" s="11"/>
      <c r="BI192" s="10"/>
      <c r="BJ192" s="12"/>
      <c r="BK192" s="92"/>
      <c r="BL192" s="26"/>
      <c r="BM192" s="57"/>
      <c r="BN192" s="23"/>
      <c r="BX192" s="10" t="s">
        <v>31</v>
      </c>
      <c r="BY192" s="11">
        <v>1</v>
      </c>
      <c r="BZ192" s="10" t="s">
        <v>138</v>
      </c>
      <c r="CA192" s="12" t="s">
        <v>76</v>
      </c>
      <c r="CB192" s="568" t="s">
        <v>282</v>
      </c>
      <c r="CC192" s="569"/>
      <c r="CD192" s="569"/>
      <c r="CE192" s="570"/>
      <c r="CF192" s="75"/>
    </row>
    <row r="193" spans="1:92" ht="15" customHeight="1" x14ac:dyDescent="0.25">
      <c r="A193" s="189" t="s">
        <v>415</v>
      </c>
      <c r="B193" s="12">
        <v>2</v>
      </c>
      <c r="C193" s="86" t="s">
        <v>364</v>
      </c>
      <c r="D193" s="12" t="s">
        <v>277</v>
      </c>
      <c r="E193" s="24"/>
      <c r="F193" s="190"/>
      <c r="G193" s="75"/>
      <c r="H193" s="189" t="s">
        <v>415</v>
      </c>
      <c r="I193" s="12">
        <v>2</v>
      </c>
      <c r="J193" s="86" t="s">
        <v>364</v>
      </c>
      <c r="K193" s="12" t="s">
        <v>84</v>
      </c>
      <c r="L193" s="24"/>
      <c r="M193" s="190"/>
      <c r="N193" s="75"/>
      <c r="O193" s="189" t="s">
        <v>415</v>
      </c>
      <c r="P193" s="12">
        <v>2</v>
      </c>
      <c r="Q193" s="86" t="s">
        <v>364</v>
      </c>
      <c r="R193" s="12" t="s">
        <v>80</v>
      </c>
      <c r="S193" s="24"/>
      <c r="T193" s="190"/>
      <c r="Y193" s="10" t="s">
        <v>31</v>
      </c>
      <c r="Z193" s="11">
        <v>1</v>
      </c>
      <c r="AA193" s="10" t="s">
        <v>62</v>
      </c>
      <c r="AB193" s="12" t="s">
        <v>79</v>
      </c>
      <c r="AC193" s="571"/>
      <c r="AD193" s="572"/>
      <c r="AE193" s="572"/>
      <c r="AF193" s="573"/>
      <c r="AG193" s="75"/>
      <c r="AH193" s="10"/>
      <c r="AI193" s="11"/>
      <c r="AJ193" s="10"/>
      <c r="AK193" s="12"/>
      <c r="AL193" s="92"/>
      <c r="AM193" s="26"/>
      <c r="AN193" s="95"/>
      <c r="AO193" s="23"/>
      <c r="AX193" s="10" t="s">
        <v>31</v>
      </c>
      <c r="AY193" s="11">
        <v>1</v>
      </c>
      <c r="AZ193" s="10" t="s">
        <v>62</v>
      </c>
      <c r="BA193" s="12" t="s">
        <v>32</v>
      </c>
      <c r="BB193" s="571"/>
      <c r="BC193" s="572"/>
      <c r="BD193" s="572"/>
      <c r="BE193" s="573"/>
      <c r="BF193" s="75"/>
      <c r="BG193" s="10"/>
      <c r="BH193" s="11"/>
      <c r="BI193" s="10"/>
      <c r="BJ193" s="12"/>
      <c r="BK193" s="92"/>
      <c r="BL193" s="26"/>
      <c r="BM193" s="57"/>
      <c r="BN193" s="23"/>
      <c r="BX193" s="10" t="s">
        <v>31</v>
      </c>
      <c r="BY193" s="11">
        <v>1</v>
      </c>
      <c r="BZ193" s="10" t="s">
        <v>62</v>
      </c>
      <c r="CA193" s="12" t="s">
        <v>76</v>
      </c>
      <c r="CB193" s="571"/>
      <c r="CC193" s="572"/>
      <c r="CD193" s="572"/>
      <c r="CE193" s="573"/>
      <c r="CF193" s="75"/>
      <c r="CG193" s="604"/>
      <c r="CH193" s="605"/>
      <c r="CI193" s="605"/>
      <c r="CJ193" s="605"/>
      <c r="CK193" s="605"/>
      <c r="CL193" s="605"/>
      <c r="CM193" s="605"/>
      <c r="CN193" s="606"/>
    </row>
    <row r="194" spans="1:92" ht="15" customHeight="1" x14ac:dyDescent="0.25">
      <c r="A194" s="189" t="s">
        <v>82</v>
      </c>
      <c r="B194" s="12">
        <v>1</v>
      </c>
      <c r="C194" s="86" t="s">
        <v>254</v>
      </c>
      <c r="D194" s="12" t="s">
        <v>277</v>
      </c>
      <c r="E194" s="24"/>
      <c r="F194" s="190"/>
      <c r="G194" s="75"/>
      <c r="H194" s="189" t="s">
        <v>82</v>
      </c>
      <c r="I194" s="12">
        <v>1</v>
      </c>
      <c r="J194" s="86" t="s">
        <v>254</v>
      </c>
      <c r="K194" s="12" t="s">
        <v>84</v>
      </c>
      <c r="L194" s="24"/>
      <c r="M194" s="190"/>
      <c r="N194" s="75"/>
      <c r="O194" s="189" t="s">
        <v>82</v>
      </c>
      <c r="P194" s="12">
        <v>1</v>
      </c>
      <c r="Q194" s="86" t="s">
        <v>254</v>
      </c>
      <c r="R194" s="12" t="s">
        <v>80</v>
      </c>
      <c r="S194" s="24"/>
      <c r="T194" s="190"/>
      <c r="Y194" s="10" t="s">
        <v>31</v>
      </c>
      <c r="Z194" s="11">
        <v>1</v>
      </c>
      <c r="AA194" s="10" t="s">
        <v>65</v>
      </c>
      <c r="AB194" s="12" t="s">
        <v>79</v>
      </c>
      <c r="AC194" s="571"/>
      <c r="AD194" s="572"/>
      <c r="AE194" s="572"/>
      <c r="AF194" s="573"/>
      <c r="AG194" s="75"/>
      <c r="AH194" s="10"/>
      <c r="AI194" s="11"/>
      <c r="AJ194" s="10"/>
      <c r="AK194" s="12"/>
      <c r="AL194" s="92"/>
      <c r="AM194" s="26"/>
      <c r="AN194" s="95"/>
      <c r="AO194" s="23"/>
      <c r="AX194" s="10" t="s">
        <v>31</v>
      </c>
      <c r="AY194" s="11">
        <v>1</v>
      </c>
      <c r="AZ194" s="10" t="s">
        <v>65</v>
      </c>
      <c r="BA194" s="12" t="s">
        <v>32</v>
      </c>
      <c r="BB194" s="571"/>
      <c r="BC194" s="572"/>
      <c r="BD194" s="572"/>
      <c r="BE194" s="573"/>
      <c r="BF194" s="75"/>
      <c r="BG194" s="10"/>
      <c r="BH194" s="11"/>
      <c r="BI194" s="10"/>
      <c r="BJ194" s="12"/>
      <c r="BK194" s="92"/>
      <c r="BL194" s="26"/>
      <c r="BM194" s="57"/>
      <c r="BN194" s="23"/>
      <c r="BX194" s="10" t="s">
        <v>31</v>
      </c>
      <c r="BY194" s="11">
        <v>1</v>
      </c>
      <c r="BZ194" s="10" t="s">
        <v>65</v>
      </c>
      <c r="CA194" s="12" t="s">
        <v>76</v>
      </c>
      <c r="CB194" s="571"/>
      <c r="CC194" s="572"/>
      <c r="CD194" s="572"/>
      <c r="CE194" s="573"/>
      <c r="CF194" s="75"/>
      <c r="CG194" s="10"/>
      <c r="CH194" s="11"/>
      <c r="CI194" s="10"/>
      <c r="CJ194" s="12"/>
      <c r="CK194" s="92"/>
      <c r="CL194" s="26"/>
      <c r="CM194" s="60"/>
      <c r="CN194" s="23"/>
    </row>
    <row r="195" spans="1:92" ht="15" customHeight="1" x14ac:dyDescent="0.25">
      <c r="A195" s="189"/>
      <c r="B195" s="12">
        <v>1</v>
      </c>
      <c r="C195" s="86" t="s">
        <v>90</v>
      </c>
      <c r="D195" s="12" t="s">
        <v>277</v>
      </c>
      <c r="E195" s="24"/>
      <c r="F195" s="190"/>
      <c r="G195" s="75"/>
      <c r="H195" s="189"/>
      <c r="I195" s="12">
        <v>1</v>
      </c>
      <c r="J195" s="86" t="s">
        <v>90</v>
      </c>
      <c r="K195" s="12" t="s">
        <v>84</v>
      </c>
      <c r="L195" s="24"/>
      <c r="M195" s="190"/>
      <c r="N195" s="75"/>
      <c r="O195" s="189"/>
      <c r="P195" s="12">
        <v>1</v>
      </c>
      <c r="Q195" s="86" t="s">
        <v>90</v>
      </c>
      <c r="R195" s="12" t="s">
        <v>80</v>
      </c>
      <c r="S195" s="24"/>
      <c r="T195" s="190"/>
      <c r="Y195" s="10" t="s">
        <v>31</v>
      </c>
      <c r="Z195" s="11">
        <v>1</v>
      </c>
      <c r="AA195" s="10" t="s">
        <v>68</v>
      </c>
      <c r="AB195" s="12" t="s">
        <v>79</v>
      </c>
      <c r="AC195" s="571"/>
      <c r="AD195" s="572"/>
      <c r="AE195" s="572"/>
      <c r="AF195" s="573"/>
      <c r="AG195" s="75"/>
      <c r="AH195" s="10"/>
      <c r="AI195" s="11"/>
      <c r="AJ195" s="10"/>
      <c r="AK195" s="12"/>
      <c r="AL195" s="92"/>
      <c r="AM195" s="26"/>
      <c r="AN195" s="95"/>
      <c r="AO195" s="23"/>
      <c r="AX195" s="10" t="s">
        <v>31</v>
      </c>
      <c r="AY195" s="11">
        <v>1</v>
      </c>
      <c r="AZ195" s="10" t="s">
        <v>68</v>
      </c>
      <c r="BA195" s="12" t="s">
        <v>32</v>
      </c>
      <c r="BB195" s="571"/>
      <c r="BC195" s="572"/>
      <c r="BD195" s="572"/>
      <c r="BE195" s="573"/>
      <c r="BF195" s="75"/>
      <c r="BG195" s="10"/>
      <c r="BH195" s="11"/>
      <c r="BI195" s="10"/>
      <c r="BJ195" s="12"/>
      <c r="BK195" s="92"/>
      <c r="BL195" s="26"/>
      <c r="BM195" s="57"/>
      <c r="BN195" s="23"/>
      <c r="BX195" s="10" t="s">
        <v>31</v>
      </c>
      <c r="BY195" s="11">
        <v>1</v>
      </c>
      <c r="BZ195" s="10" t="s">
        <v>68</v>
      </c>
      <c r="CA195" s="12" t="s">
        <v>76</v>
      </c>
      <c r="CB195" s="571"/>
      <c r="CC195" s="572"/>
      <c r="CD195" s="572"/>
      <c r="CE195" s="573"/>
      <c r="CF195" s="75"/>
      <c r="CG195" s="10"/>
      <c r="CH195" s="11"/>
      <c r="CI195" s="10"/>
      <c r="CJ195" s="12"/>
      <c r="CK195" s="92"/>
      <c r="CL195" s="26"/>
      <c r="CM195" s="60"/>
      <c r="CN195" s="23"/>
    </row>
    <row r="196" spans="1:92" ht="15" customHeight="1" x14ac:dyDescent="0.25">
      <c r="A196" s="189" t="s">
        <v>367</v>
      </c>
      <c r="B196" s="12">
        <v>2</v>
      </c>
      <c r="C196" s="86" t="s">
        <v>90</v>
      </c>
      <c r="D196" s="12" t="s">
        <v>91</v>
      </c>
      <c r="E196" s="24"/>
      <c r="F196" s="190"/>
      <c r="G196" s="75"/>
      <c r="H196" s="189" t="s">
        <v>367</v>
      </c>
      <c r="I196" s="12">
        <v>2</v>
      </c>
      <c r="J196" s="86" t="s">
        <v>90</v>
      </c>
      <c r="K196" s="12" t="s">
        <v>84</v>
      </c>
      <c r="L196" s="24"/>
      <c r="M196" s="190"/>
      <c r="N196" s="75"/>
      <c r="O196" s="189" t="s">
        <v>367</v>
      </c>
      <c r="P196" s="12">
        <v>2</v>
      </c>
      <c r="Q196" s="86" t="s">
        <v>90</v>
      </c>
      <c r="R196" s="12" t="s">
        <v>84</v>
      </c>
      <c r="S196" s="24"/>
      <c r="T196" s="190"/>
      <c r="Y196" s="10" t="s">
        <v>31</v>
      </c>
      <c r="Z196" s="11">
        <v>1</v>
      </c>
      <c r="AA196" s="10" t="s">
        <v>139</v>
      </c>
      <c r="AB196" s="12" t="s">
        <v>79</v>
      </c>
      <c r="AC196" s="571"/>
      <c r="AD196" s="572"/>
      <c r="AE196" s="572"/>
      <c r="AF196" s="573"/>
      <c r="AG196" s="75"/>
      <c r="AH196" s="10"/>
      <c r="AI196" s="11"/>
      <c r="AJ196" s="10"/>
      <c r="AK196" s="12"/>
      <c r="AL196" s="92"/>
      <c r="AM196" s="26"/>
      <c r="AN196" s="95"/>
      <c r="AO196" s="23"/>
      <c r="AX196" s="10" t="s">
        <v>31</v>
      </c>
      <c r="AY196" s="11">
        <v>1</v>
      </c>
      <c r="AZ196" s="10" t="s">
        <v>139</v>
      </c>
      <c r="BA196" s="12" t="s">
        <v>32</v>
      </c>
      <c r="BB196" s="571"/>
      <c r="BC196" s="572"/>
      <c r="BD196" s="572"/>
      <c r="BE196" s="573"/>
      <c r="BF196" s="75"/>
      <c r="BG196" s="10"/>
      <c r="BH196" s="11"/>
      <c r="BI196" s="10"/>
      <c r="BJ196" s="12"/>
      <c r="BK196" s="92"/>
      <c r="BL196" s="26"/>
      <c r="BM196" s="57"/>
      <c r="BN196" s="23"/>
      <c r="BX196" s="10" t="s">
        <v>31</v>
      </c>
      <c r="BY196" s="11">
        <v>1</v>
      </c>
      <c r="BZ196" s="10" t="s">
        <v>139</v>
      </c>
      <c r="CA196" s="12" t="s">
        <v>76</v>
      </c>
      <c r="CB196" s="571"/>
      <c r="CC196" s="572"/>
      <c r="CD196" s="572"/>
      <c r="CE196" s="573"/>
      <c r="CF196" s="75"/>
      <c r="CG196" s="10"/>
      <c r="CH196" s="11"/>
      <c r="CI196" s="10"/>
      <c r="CJ196" s="12"/>
      <c r="CK196" s="92"/>
      <c r="CL196" s="26"/>
      <c r="CM196" s="60"/>
      <c r="CN196" s="23"/>
    </row>
    <row r="197" spans="1:92" ht="15" customHeight="1" x14ac:dyDescent="0.25">
      <c r="A197" s="189" t="s">
        <v>114</v>
      </c>
      <c r="B197" s="12">
        <v>1</v>
      </c>
      <c r="C197" s="86" t="s">
        <v>242</v>
      </c>
      <c r="D197" s="12" t="s">
        <v>91</v>
      </c>
      <c r="E197" s="24">
        <v>25</v>
      </c>
      <c r="F197" s="190">
        <v>1</v>
      </c>
      <c r="G197" s="75"/>
      <c r="H197" s="189" t="s">
        <v>114</v>
      </c>
      <c r="I197" s="12">
        <v>1</v>
      </c>
      <c r="J197" s="86" t="s">
        <v>242</v>
      </c>
      <c r="K197" s="12" t="s">
        <v>84</v>
      </c>
      <c r="L197" s="24">
        <v>30</v>
      </c>
      <c r="M197" s="190">
        <v>1</v>
      </c>
      <c r="N197" s="75"/>
      <c r="O197" s="189" t="s">
        <v>114</v>
      </c>
      <c r="P197" s="12">
        <v>1</v>
      </c>
      <c r="Q197" s="86" t="s">
        <v>242</v>
      </c>
      <c r="R197" s="12" t="s">
        <v>84</v>
      </c>
      <c r="S197" s="24">
        <v>30</v>
      </c>
      <c r="T197" s="190">
        <v>1</v>
      </c>
      <c r="Y197" s="10" t="s">
        <v>31</v>
      </c>
      <c r="Z197" s="11">
        <v>1</v>
      </c>
      <c r="AA197" s="10" t="s">
        <v>73</v>
      </c>
      <c r="AB197" s="12" t="s">
        <v>79</v>
      </c>
      <c r="AC197" s="574"/>
      <c r="AD197" s="575"/>
      <c r="AE197" s="575"/>
      <c r="AF197" s="576"/>
      <c r="AG197" s="75"/>
      <c r="AH197" s="10"/>
      <c r="AI197" s="11"/>
      <c r="AJ197" s="10"/>
      <c r="AK197" s="12"/>
      <c r="AL197" s="92"/>
      <c r="AM197" s="26"/>
      <c r="AN197" s="57"/>
      <c r="AO197" s="23"/>
      <c r="AX197" s="10" t="s">
        <v>31</v>
      </c>
      <c r="AY197" s="11">
        <v>1</v>
      </c>
      <c r="AZ197" s="10" t="s">
        <v>73</v>
      </c>
      <c r="BA197" s="12" t="s">
        <v>32</v>
      </c>
      <c r="BB197" s="574"/>
      <c r="BC197" s="575"/>
      <c r="BD197" s="575"/>
      <c r="BE197" s="576"/>
      <c r="BF197" s="75"/>
      <c r="BG197" s="10"/>
      <c r="BH197" s="11"/>
      <c r="BI197" s="10"/>
      <c r="BJ197" s="12"/>
      <c r="BK197" s="92"/>
      <c r="BL197" s="26"/>
      <c r="BM197" s="57"/>
      <c r="BN197" s="23"/>
      <c r="BX197" s="10" t="s">
        <v>31</v>
      </c>
      <c r="BY197" s="11">
        <v>1</v>
      </c>
      <c r="BZ197" s="10" t="s">
        <v>73</v>
      </c>
      <c r="CA197" s="12" t="s">
        <v>76</v>
      </c>
      <c r="CB197" s="574"/>
      <c r="CC197" s="575"/>
      <c r="CD197" s="575"/>
      <c r="CE197" s="576"/>
      <c r="CF197" s="75"/>
      <c r="CG197" s="10"/>
      <c r="CH197" s="11"/>
      <c r="CI197" s="10"/>
      <c r="CJ197" s="12"/>
      <c r="CK197" s="92"/>
      <c r="CL197" s="26"/>
      <c r="CM197" s="60"/>
      <c r="CN197" s="23"/>
    </row>
    <row r="198" spans="1:92" ht="23.25" x14ac:dyDescent="0.35">
      <c r="A198" s="189" t="s">
        <v>85</v>
      </c>
      <c r="B198" s="12">
        <v>1</v>
      </c>
      <c r="C198" s="86" t="s">
        <v>253</v>
      </c>
      <c r="D198" s="12" t="s">
        <v>91</v>
      </c>
      <c r="E198" s="24"/>
      <c r="F198" s="190">
        <f>B198*1</f>
        <v>1</v>
      </c>
      <c r="G198" s="75"/>
      <c r="H198" s="189" t="s">
        <v>85</v>
      </c>
      <c r="I198" s="12">
        <v>1</v>
      </c>
      <c r="J198" s="86" t="s">
        <v>253</v>
      </c>
      <c r="K198" s="12" t="s">
        <v>84</v>
      </c>
      <c r="L198" s="24"/>
      <c r="M198" s="190">
        <f>I198*1</f>
        <v>1</v>
      </c>
      <c r="N198" s="75"/>
      <c r="O198" s="189" t="s">
        <v>85</v>
      </c>
      <c r="P198" s="12">
        <v>1</v>
      </c>
      <c r="Q198" s="86" t="s">
        <v>253</v>
      </c>
      <c r="R198" s="12" t="s">
        <v>84</v>
      </c>
      <c r="S198" s="24"/>
      <c r="T198" s="190">
        <f>P198*1</f>
        <v>1</v>
      </c>
      <c r="Y198" s="597" t="s">
        <v>354</v>
      </c>
      <c r="Z198" s="597"/>
      <c r="AA198" s="597"/>
      <c r="AB198" s="597"/>
      <c r="AC198" s="597"/>
      <c r="AD198" s="597"/>
      <c r="AE198" s="597"/>
      <c r="AF198" s="597"/>
      <c r="AX198" s="597" t="s">
        <v>354</v>
      </c>
      <c r="AY198" s="597"/>
      <c r="AZ198" s="597"/>
      <c r="BA198" s="597"/>
      <c r="BB198" s="597"/>
      <c r="BC198" s="597"/>
      <c r="BD198" s="597"/>
      <c r="BE198" s="597"/>
      <c r="BG198" s="598" t="s">
        <v>555</v>
      </c>
      <c r="BH198" s="599"/>
      <c r="BI198" s="599"/>
      <c r="BJ198" s="599"/>
      <c r="BK198" s="599"/>
      <c r="BL198" s="599"/>
      <c r="BM198" s="599"/>
      <c r="BN198" s="600"/>
      <c r="BX198" s="597" t="s">
        <v>354</v>
      </c>
      <c r="BY198" s="597"/>
      <c r="BZ198" s="597"/>
      <c r="CA198" s="597"/>
      <c r="CB198" s="597"/>
      <c r="CC198" s="597"/>
      <c r="CD198" s="597"/>
      <c r="CE198" s="597"/>
      <c r="CG198" s="598" t="s">
        <v>555</v>
      </c>
      <c r="CH198" s="599"/>
      <c r="CI198" s="599"/>
      <c r="CJ198" s="599"/>
      <c r="CK198" s="599"/>
      <c r="CL198" s="599"/>
      <c r="CM198" s="599"/>
      <c r="CN198" s="600"/>
    </row>
    <row r="199" spans="1:92" x14ac:dyDescent="0.25">
      <c r="A199" s="189" t="s">
        <v>416</v>
      </c>
      <c r="B199" s="12">
        <v>2</v>
      </c>
      <c r="C199" s="86" t="s">
        <v>417</v>
      </c>
      <c r="D199" s="12" t="s">
        <v>91</v>
      </c>
      <c r="E199" s="24"/>
      <c r="F199" s="191"/>
      <c r="G199" s="75"/>
      <c r="H199" s="189" t="s">
        <v>416</v>
      </c>
      <c r="I199" s="12">
        <v>2</v>
      </c>
      <c r="J199" s="86" t="s">
        <v>417</v>
      </c>
      <c r="K199" s="12" t="s">
        <v>84</v>
      </c>
      <c r="L199" s="24"/>
      <c r="M199" s="191"/>
      <c r="N199" s="75"/>
      <c r="O199" s="189" t="s">
        <v>416</v>
      </c>
      <c r="P199" s="12">
        <v>2</v>
      </c>
      <c r="Q199" s="86" t="s">
        <v>417</v>
      </c>
      <c r="R199" s="12" t="s">
        <v>84</v>
      </c>
      <c r="S199" s="24"/>
      <c r="T199" s="191"/>
      <c r="Y199" s="14"/>
      <c r="Z199" s="12"/>
      <c r="AA199" s="14"/>
      <c r="AB199" s="12"/>
      <c r="AC199" s="153"/>
      <c r="AD199" s="13"/>
      <c r="AE199" s="58"/>
      <c r="AF199" s="44"/>
      <c r="AX199" s="10" t="s">
        <v>115</v>
      </c>
      <c r="AY199" s="11">
        <v>1</v>
      </c>
      <c r="AZ199" s="10" t="s">
        <v>121</v>
      </c>
      <c r="BA199" s="12" t="s">
        <v>84</v>
      </c>
      <c r="BB199" s="149"/>
      <c r="BC199" s="26" t="s">
        <v>1116</v>
      </c>
      <c r="BD199" s="58"/>
      <c r="BE199" s="44"/>
      <c r="BG199" s="601"/>
      <c r="BH199" s="602"/>
      <c r="BI199" s="602"/>
      <c r="BJ199" s="602"/>
      <c r="BK199" s="602"/>
      <c r="BL199" s="602"/>
      <c r="BM199" s="602"/>
      <c r="BN199" s="603"/>
      <c r="BX199" s="10" t="s">
        <v>115</v>
      </c>
      <c r="BY199" s="11">
        <v>1</v>
      </c>
      <c r="BZ199" s="10" t="s">
        <v>121</v>
      </c>
      <c r="CA199" s="12" t="s">
        <v>80</v>
      </c>
      <c r="CB199" s="149"/>
      <c r="CC199" s="26" t="s">
        <v>1116</v>
      </c>
      <c r="CD199" s="95"/>
      <c r="CE199" s="44"/>
      <c r="CG199" s="601"/>
      <c r="CH199" s="602"/>
      <c r="CI199" s="602"/>
      <c r="CJ199" s="602"/>
      <c r="CK199" s="602"/>
      <c r="CL199" s="602"/>
      <c r="CM199" s="602"/>
      <c r="CN199" s="603"/>
    </row>
    <row r="200" spans="1:92" x14ac:dyDescent="0.25">
      <c r="A200" s="189" t="s">
        <v>418</v>
      </c>
      <c r="B200" s="12">
        <v>6</v>
      </c>
      <c r="C200" s="86" t="s">
        <v>419</v>
      </c>
      <c r="D200" s="12" t="s">
        <v>91</v>
      </c>
      <c r="E200" s="24"/>
      <c r="F200" s="191"/>
      <c r="G200" s="75"/>
      <c r="H200" s="189" t="s">
        <v>418</v>
      </c>
      <c r="I200" s="12">
        <v>6</v>
      </c>
      <c r="J200" s="86" t="s">
        <v>419</v>
      </c>
      <c r="K200" s="12" t="s">
        <v>84</v>
      </c>
      <c r="L200" s="24"/>
      <c r="M200" s="191"/>
      <c r="N200" s="75"/>
      <c r="O200" s="189" t="s">
        <v>418</v>
      </c>
      <c r="P200" s="12">
        <v>6</v>
      </c>
      <c r="Q200" s="86" t="s">
        <v>419</v>
      </c>
      <c r="R200" s="12" t="s">
        <v>84</v>
      </c>
      <c r="S200" s="24"/>
      <c r="T200" s="191"/>
      <c r="Y200" s="113" t="s">
        <v>115</v>
      </c>
      <c r="Z200" s="11">
        <v>1</v>
      </c>
      <c r="AA200" s="10" t="s">
        <v>121</v>
      </c>
      <c r="AB200" s="11" t="s">
        <v>91</v>
      </c>
      <c r="AC200" s="149"/>
      <c r="AD200" s="390" t="s">
        <v>1116</v>
      </c>
      <c r="AE200" s="388"/>
      <c r="AF200" s="44"/>
      <c r="AX200" s="10" t="s">
        <v>116</v>
      </c>
      <c r="AY200" s="11">
        <v>1</v>
      </c>
      <c r="AZ200" s="10" t="s">
        <v>97</v>
      </c>
      <c r="BA200" s="12" t="s">
        <v>84</v>
      </c>
      <c r="BB200" s="149"/>
      <c r="BC200" s="26"/>
      <c r="BD200" s="58"/>
      <c r="BE200" s="44"/>
      <c r="BG200" s="14"/>
      <c r="BH200" s="12"/>
      <c r="BI200" s="10"/>
      <c r="BJ200" s="12"/>
      <c r="BK200" s="92"/>
      <c r="BL200" s="26"/>
      <c r="BM200" s="58"/>
      <c r="BN200" s="44"/>
      <c r="BX200" s="10" t="s">
        <v>116</v>
      </c>
      <c r="BY200" s="11">
        <v>1</v>
      </c>
      <c r="BZ200" s="10" t="s">
        <v>97</v>
      </c>
      <c r="CA200" s="12" t="s">
        <v>80</v>
      </c>
      <c r="CB200" s="149"/>
      <c r="CC200" s="26"/>
      <c r="CD200" s="95"/>
      <c r="CE200" s="44"/>
      <c r="CG200" s="14" t="s">
        <v>555</v>
      </c>
      <c r="CH200" s="12">
        <v>1</v>
      </c>
      <c r="CI200" s="10" t="s">
        <v>1142</v>
      </c>
      <c r="CJ200" s="12" t="s">
        <v>74</v>
      </c>
      <c r="CK200" s="153">
        <f>CH200*170</f>
        <v>170</v>
      </c>
      <c r="CL200" s="16"/>
      <c r="CM200" s="95">
        <v>45457</v>
      </c>
      <c r="CN200" s="23" t="s">
        <v>336</v>
      </c>
    </row>
    <row r="201" spans="1:92" x14ac:dyDescent="0.25">
      <c r="A201" s="189" t="s">
        <v>420</v>
      </c>
      <c r="B201" s="12">
        <v>2</v>
      </c>
      <c r="C201" s="86" t="s">
        <v>421</v>
      </c>
      <c r="D201" s="12" t="s">
        <v>91</v>
      </c>
      <c r="E201" s="24"/>
      <c r="F201" s="192"/>
      <c r="G201" s="75"/>
      <c r="H201" s="189" t="s">
        <v>420</v>
      </c>
      <c r="I201" s="12">
        <v>2</v>
      </c>
      <c r="J201" s="86" t="s">
        <v>421</v>
      </c>
      <c r="K201" s="12" t="s">
        <v>84</v>
      </c>
      <c r="L201" s="24"/>
      <c r="M201" s="192"/>
      <c r="N201" s="75"/>
      <c r="O201" s="189" t="s">
        <v>420</v>
      </c>
      <c r="P201" s="12">
        <v>2</v>
      </c>
      <c r="Q201" s="86" t="s">
        <v>421</v>
      </c>
      <c r="R201" s="12" t="s">
        <v>84</v>
      </c>
      <c r="S201" s="24"/>
      <c r="T201" s="192"/>
      <c r="Y201" s="113" t="s">
        <v>116</v>
      </c>
      <c r="Z201" s="11">
        <v>1</v>
      </c>
      <c r="AA201" s="10" t="s">
        <v>97</v>
      </c>
      <c r="AB201" s="12" t="s">
        <v>91</v>
      </c>
      <c r="AC201" s="149"/>
      <c r="AD201" s="67"/>
      <c r="AE201" s="388"/>
      <c r="AF201" s="44"/>
      <c r="AX201" s="10" t="s">
        <v>117</v>
      </c>
      <c r="AY201" s="11">
        <v>1</v>
      </c>
      <c r="AZ201" s="10" t="s">
        <v>97</v>
      </c>
      <c r="BA201" s="12" t="s">
        <v>84</v>
      </c>
      <c r="BB201" s="149"/>
      <c r="BC201" s="22" t="s">
        <v>1116</v>
      </c>
      <c r="BD201" s="58"/>
      <c r="BE201" s="44"/>
      <c r="BG201" s="14" t="s">
        <v>555</v>
      </c>
      <c r="BH201" s="12">
        <v>1</v>
      </c>
      <c r="BI201" s="10" t="s">
        <v>1131</v>
      </c>
      <c r="BJ201" s="12" t="s">
        <v>27</v>
      </c>
      <c r="BK201" s="153">
        <f>BH201*200</f>
        <v>200</v>
      </c>
      <c r="BL201" s="16"/>
      <c r="BM201" s="95">
        <v>45457</v>
      </c>
      <c r="BN201" s="23" t="s">
        <v>336</v>
      </c>
      <c r="BX201" s="10" t="s">
        <v>117</v>
      </c>
      <c r="BY201" s="11">
        <v>1</v>
      </c>
      <c r="BZ201" s="10" t="s">
        <v>97</v>
      </c>
      <c r="CA201" s="12" t="s">
        <v>80</v>
      </c>
      <c r="CB201" s="149"/>
      <c r="CC201" s="22" t="s">
        <v>1116</v>
      </c>
      <c r="CD201" s="95"/>
      <c r="CE201" s="44"/>
      <c r="CG201" s="14" t="s">
        <v>555</v>
      </c>
      <c r="CH201" s="12">
        <v>1</v>
      </c>
      <c r="CI201" s="10" t="s">
        <v>1094</v>
      </c>
      <c r="CJ201" s="12" t="s">
        <v>74</v>
      </c>
      <c r="CK201" s="153">
        <f>CH201*200</f>
        <v>200</v>
      </c>
      <c r="CL201" s="16"/>
      <c r="CM201" s="95">
        <v>45457</v>
      </c>
      <c r="CN201" s="23" t="s">
        <v>336</v>
      </c>
    </row>
    <row r="202" spans="1:92" x14ac:dyDescent="0.25">
      <c r="A202" s="189"/>
      <c r="B202" s="12"/>
      <c r="C202" s="86"/>
      <c r="D202" s="12"/>
      <c r="E202" s="24"/>
      <c r="F202" s="192"/>
      <c r="G202" s="75"/>
      <c r="H202" s="189"/>
      <c r="I202" s="12"/>
      <c r="J202" s="86"/>
      <c r="K202" s="12"/>
      <c r="L202" s="24"/>
      <c r="M202" s="192"/>
      <c r="N202" s="75"/>
      <c r="O202" s="189"/>
      <c r="P202" s="12"/>
      <c r="Q202" s="86"/>
      <c r="R202" s="12"/>
      <c r="S202" s="24"/>
      <c r="T202" s="192"/>
      <c r="Y202" s="113" t="s">
        <v>117</v>
      </c>
      <c r="Z202" s="11">
        <v>1</v>
      </c>
      <c r="AA202" s="10" t="s">
        <v>97</v>
      </c>
      <c r="AB202" s="12" t="s">
        <v>91</v>
      </c>
      <c r="AC202" s="149"/>
      <c r="AD202" s="183" t="s">
        <v>1116</v>
      </c>
      <c r="AE202" s="388"/>
      <c r="AF202" s="44"/>
      <c r="AX202" s="10" t="s">
        <v>99</v>
      </c>
      <c r="AY202" s="11">
        <v>1</v>
      </c>
      <c r="AZ202" s="10" t="s">
        <v>242</v>
      </c>
      <c r="BA202" s="12" t="s">
        <v>84</v>
      </c>
      <c r="BB202" s="149">
        <f>AY202*300</f>
        <v>300</v>
      </c>
      <c r="BC202" s="22">
        <f>AY202*4</f>
        <v>4</v>
      </c>
      <c r="BD202" s="58"/>
      <c r="BE202" s="44"/>
      <c r="BG202" s="14" t="s">
        <v>555</v>
      </c>
      <c r="BH202" s="11">
        <v>1</v>
      </c>
      <c r="BI202" s="14" t="s">
        <v>1132</v>
      </c>
      <c r="BJ202" s="12" t="s">
        <v>27</v>
      </c>
      <c r="BK202" s="153">
        <f>BH202*306</f>
        <v>306</v>
      </c>
      <c r="BL202" s="96"/>
      <c r="BM202" s="95">
        <v>45457</v>
      </c>
      <c r="BN202" s="23" t="s">
        <v>336</v>
      </c>
      <c r="BX202" s="10" t="s">
        <v>99</v>
      </c>
      <c r="BY202" s="11">
        <v>1</v>
      </c>
      <c r="BZ202" s="10" t="s">
        <v>242</v>
      </c>
      <c r="CA202" s="12" t="s">
        <v>80</v>
      </c>
      <c r="CB202" s="149">
        <f>BY202*300</f>
        <v>300</v>
      </c>
      <c r="CC202" s="22">
        <f>BY202*4</f>
        <v>4</v>
      </c>
      <c r="CD202" s="95"/>
      <c r="CE202" s="44"/>
      <c r="CG202" s="14" t="s">
        <v>555</v>
      </c>
      <c r="CH202" s="11">
        <v>1</v>
      </c>
      <c r="CI202" s="14" t="s">
        <v>1095</v>
      </c>
      <c r="CJ202" s="12" t="s">
        <v>74</v>
      </c>
      <c r="CK202" s="153">
        <f>CH202*313</f>
        <v>313</v>
      </c>
      <c r="CL202" s="96"/>
      <c r="CM202" s="95">
        <v>45457</v>
      </c>
      <c r="CN202" s="23" t="s">
        <v>336</v>
      </c>
    </row>
    <row r="203" spans="1:92" x14ac:dyDescent="0.25">
      <c r="A203" s="189" t="s">
        <v>368</v>
      </c>
      <c r="B203" s="12">
        <v>4</v>
      </c>
      <c r="C203" s="86" t="s">
        <v>256</v>
      </c>
      <c r="D203" s="12" t="s">
        <v>277</v>
      </c>
      <c r="E203" s="24"/>
      <c r="F203" s="192"/>
      <c r="G203" s="75"/>
      <c r="H203" s="189" t="s">
        <v>368</v>
      </c>
      <c r="I203" s="12">
        <v>4</v>
      </c>
      <c r="J203" s="86" t="s">
        <v>256</v>
      </c>
      <c r="K203" s="12" t="s">
        <v>84</v>
      </c>
      <c r="L203" s="24"/>
      <c r="M203" s="192"/>
      <c r="N203" s="75"/>
      <c r="O203" s="189" t="s">
        <v>368</v>
      </c>
      <c r="P203" s="12">
        <v>4</v>
      </c>
      <c r="Q203" s="86" t="s">
        <v>256</v>
      </c>
      <c r="R203" s="12" t="s">
        <v>80</v>
      </c>
      <c r="S203" s="24"/>
      <c r="T203" s="192"/>
      <c r="Y203" s="113" t="s">
        <v>99</v>
      </c>
      <c r="Z203" s="11">
        <v>1</v>
      </c>
      <c r="AA203" s="10" t="s">
        <v>242</v>
      </c>
      <c r="AB203" s="12" t="s">
        <v>91</v>
      </c>
      <c r="AC203" s="149">
        <f>Z203*250</f>
        <v>250</v>
      </c>
      <c r="AD203" s="183">
        <f>Z203*4</f>
        <v>4</v>
      </c>
      <c r="AE203" s="388"/>
      <c r="AF203" s="44"/>
      <c r="AX203" s="14" t="s">
        <v>93</v>
      </c>
      <c r="AY203" s="12">
        <v>1</v>
      </c>
      <c r="AZ203" s="14" t="s">
        <v>94</v>
      </c>
      <c r="BA203" s="12"/>
      <c r="BB203" s="149">
        <f>AY203*750</f>
        <v>750</v>
      </c>
      <c r="BC203" s="22">
        <f>AY203*2</f>
        <v>2</v>
      </c>
      <c r="BD203" s="58"/>
      <c r="BE203" s="44"/>
      <c r="BG203" s="14" t="s">
        <v>555</v>
      </c>
      <c r="BH203" s="11">
        <v>1</v>
      </c>
      <c r="BI203" s="14" t="s">
        <v>1133</v>
      </c>
      <c r="BJ203" s="12" t="s">
        <v>27</v>
      </c>
      <c r="BK203" s="153">
        <f>BH203*313</f>
        <v>313</v>
      </c>
      <c r="BL203" s="96"/>
      <c r="BM203" s="95">
        <v>45457</v>
      </c>
      <c r="BN203" s="23" t="s">
        <v>336</v>
      </c>
      <c r="BX203" s="14" t="s">
        <v>93</v>
      </c>
      <c r="BY203" s="12">
        <v>1</v>
      </c>
      <c r="BZ203" s="14" t="s">
        <v>94</v>
      </c>
      <c r="CA203" s="12"/>
      <c r="CB203" s="149">
        <f>BY203*750</f>
        <v>750</v>
      </c>
      <c r="CC203" s="22">
        <f>BY203*2</f>
        <v>2</v>
      </c>
      <c r="CD203" s="95"/>
      <c r="CE203" s="44"/>
      <c r="CG203" s="14" t="s">
        <v>555</v>
      </c>
      <c r="CH203" s="11">
        <v>1</v>
      </c>
      <c r="CI203" s="14" t="s">
        <v>1096</v>
      </c>
      <c r="CJ203" s="12" t="s">
        <v>74</v>
      </c>
      <c r="CK203" s="153">
        <f>CH203*357</f>
        <v>357</v>
      </c>
      <c r="CL203" s="96"/>
      <c r="CM203" s="95">
        <v>45457</v>
      </c>
      <c r="CN203" s="23" t="s">
        <v>336</v>
      </c>
    </row>
    <row r="204" spans="1:92" x14ac:dyDescent="0.25">
      <c r="A204" s="189" t="s">
        <v>369</v>
      </c>
      <c r="B204" s="12">
        <v>16</v>
      </c>
      <c r="C204" s="86" t="s">
        <v>370</v>
      </c>
      <c r="D204" s="12" t="s">
        <v>277</v>
      </c>
      <c r="E204" s="24"/>
      <c r="F204" s="192"/>
      <c r="G204" s="75"/>
      <c r="H204" s="189" t="s">
        <v>369</v>
      </c>
      <c r="I204" s="12">
        <v>16</v>
      </c>
      <c r="J204" s="86" t="s">
        <v>370</v>
      </c>
      <c r="K204" s="12" t="s">
        <v>84</v>
      </c>
      <c r="L204" s="24"/>
      <c r="M204" s="192"/>
      <c r="N204" s="75"/>
      <c r="O204" s="189" t="s">
        <v>369</v>
      </c>
      <c r="P204" s="12">
        <v>16</v>
      </c>
      <c r="Q204" s="86" t="s">
        <v>370</v>
      </c>
      <c r="R204" s="12" t="s">
        <v>80</v>
      </c>
      <c r="S204" s="24"/>
      <c r="T204" s="192"/>
      <c r="Y204" s="39" t="s">
        <v>93</v>
      </c>
      <c r="Z204" s="12">
        <v>1</v>
      </c>
      <c r="AA204" s="14" t="s">
        <v>94</v>
      </c>
      <c r="AB204" s="12"/>
      <c r="AC204" s="149">
        <f>Z204*750</f>
        <v>750</v>
      </c>
      <c r="AD204" s="183">
        <f>Z204*2</f>
        <v>2</v>
      </c>
      <c r="AE204" s="388"/>
      <c r="AF204" s="44"/>
      <c r="AX204" s="10"/>
      <c r="AY204" s="11"/>
      <c r="AZ204" s="32"/>
      <c r="BA204" s="12"/>
      <c r="BB204" s="149"/>
      <c r="BC204" s="22"/>
      <c r="BD204" s="58"/>
      <c r="BE204" s="44"/>
      <c r="BG204" s="14" t="s">
        <v>555</v>
      </c>
      <c r="BH204" s="12">
        <v>1</v>
      </c>
      <c r="BI204" s="14" t="s">
        <v>1134</v>
      </c>
      <c r="BJ204" s="12" t="s">
        <v>27</v>
      </c>
      <c r="BK204" s="153">
        <f>BH204*425</f>
        <v>425</v>
      </c>
      <c r="BL204" s="153"/>
      <c r="BM204" s="95">
        <v>45457</v>
      </c>
      <c r="BN204" s="23" t="s">
        <v>336</v>
      </c>
      <c r="BX204" s="10"/>
      <c r="BY204" s="11"/>
      <c r="BZ204" s="32"/>
      <c r="CA204" s="12"/>
      <c r="CB204" s="149"/>
      <c r="CC204" s="22"/>
      <c r="CD204" s="95"/>
      <c r="CE204" s="44"/>
      <c r="CG204" s="14" t="s">
        <v>555</v>
      </c>
      <c r="CH204" s="12">
        <v>1</v>
      </c>
      <c r="CI204" s="14" t="s">
        <v>1097</v>
      </c>
      <c r="CJ204" s="12" t="s">
        <v>74</v>
      </c>
      <c r="CK204" s="153">
        <f>CH204*494</f>
        <v>494</v>
      </c>
      <c r="CL204" s="153"/>
      <c r="CM204" s="95">
        <v>45457</v>
      </c>
      <c r="CN204" s="23" t="s">
        <v>336</v>
      </c>
    </row>
    <row r="205" spans="1:92" x14ac:dyDescent="0.25">
      <c r="A205" s="189"/>
      <c r="B205" s="12"/>
      <c r="C205" s="143"/>
      <c r="D205" s="12"/>
      <c r="E205" s="24"/>
      <c r="F205" s="192"/>
      <c r="G205" s="75"/>
      <c r="H205" s="189"/>
      <c r="I205" s="12"/>
      <c r="J205" s="143"/>
      <c r="K205" s="12"/>
      <c r="L205" s="24"/>
      <c r="M205" s="192"/>
      <c r="N205" s="75"/>
      <c r="O205" s="189"/>
      <c r="P205" s="12"/>
      <c r="Q205" s="143"/>
      <c r="R205" s="12"/>
      <c r="S205" s="24"/>
      <c r="T205" s="192"/>
      <c r="Y205" s="113"/>
      <c r="Z205" s="11"/>
      <c r="AA205" s="32"/>
      <c r="AB205" s="12"/>
      <c r="AC205" s="149"/>
      <c r="AD205" s="183"/>
      <c r="AE205" s="388"/>
      <c r="AF205" s="44"/>
      <c r="AX205" s="10" t="s">
        <v>95</v>
      </c>
      <c r="AY205" s="11">
        <v>1</v>
      </c>
      <c r="AZ205" s="10" t="s">
        <v>100</v>
      </c>
      <c r="BA205" s="12" t="s">
        <v>84</v>
      </c>
      <c r="BB205" s="149">
        <f>AY205*12*76*11.16/144*2.15</f>
        <v>151.96200000000002</v>
      </c>
      <c r="BC205" s="26" t="s">
        <v>1116</v>
      </c>
      <c r="BD205" s="58"/>
      <c r="BE205" s="44"/>
      <c r="BG205" s="14" t="s">
        <v>555</v>
      </c>
      <c r="BH205" s="11">
        <v>1</v>
      </c>
      <c r="BI205" s="14" t="s">
        <v>1135</v>
      </c>
      <c r="BJ205" s="12" t="s">
        <v>27</v>
      </c>
      <c r="BK205" s="153">
        <f>BH205*567</f>
        <v>567</v>
      </c>
      <c r="BL205" s="24"/>
      <c r="BM205" s="95">
        <v>45457</v>
      </c>
      <c r="BN205" s="23" t="s">
        <v>336</v>
      </c>
      <c r="BX205" s="10" t="s">
        <v>95</v>
      </c>
      <c r="BY205" s="11">
        <v>1</v>
      </c>
      <c r="BZ205" s="10" t="s">
        <v>100</v>
      </c>
      <c r="CA205" s="12" t="s">
        <v>80</v>
      </c>
      <c r="CB205" s="149"/>
      <c r="CC205" s="26" t="s">
        <v>1116</v>
      </c>
      <c r="CD205" s="95"/>
      <c r="CE205" s="44"/>
      <c r="CG205" s="14" t="s">
        <v>555</v>
      </c>
      <c r="CH205" s="11">
        <v>1</v>
      </c>
      <c r="CI205" s="14" t="s">
        <v>1156</v>
      </c>
      <c r="CJ205" s="12" t="s">
        <v>74</v>
      </c>
      <c r="CK205" s="153">
        <f>CH205*630</f>
        <v>630</v>
      </c>
      <c r="CL205" s="24"/>
      <c r="CM205" s="95">
        <v>45782</v>
      </c>
      <c r="CN205" s="23" t="s">
        <v>336</v>
      </c>
    </row>
    <row r="206" spans="1:92" x14ac:dyDescent="0.25">
      <c r="A206" s="566" t="s">
        <v>590</v>
      </c>
      <c r="B206" s="566"/>
      <c r="C206" s="566"/>
      <c r="D206" s="566"/>
      <c r="E206" s="566"/>
      <c r="F206" s="566"/>
      <c r="G206" s="566"/>
      <c r="H206" s="566"/>
      <c r="I206" s="566"/>
      <c r="J206" s="566"/>
      <c r="K206" s="566"/>
      <c r="L206" s="566"/>
      <c r="M206" s="566"/>
      <c r="N206" s="566"/>
      <c r="O206" s="566"/>
      <c r="P206" s="566"/>
      <c r="Q206" s="566"/>
      <c r="R206" s="566"/>
      <c r="S206" s="566"/>
      <c r="T206" s="566"/>
      <c r="Y206" s="113" t="s">
        <v>95</v>
      </c>
      <c r="Z206" s="11">
        <v>1</v>
      </c>
      <c r="AA206" s="10" t="s">
        <v>100</v>
      </c>
      <c r="AB206" s="12" t="s">
        <v>91</v>
      </c>
      <c r="AC206" s="149"/>
      <c r="AD206" s="67" t="s">
        <v>1116</v>
      </c>
      <c r="AE206" s="388"/>
      <c r="AF206" s="44"/>
      <c r="AX206" s="10" t="s">
        <v>96</v>
      </c>
      <c r="AY206" s="11">
        <v>1</v>
      </c>
      <c r="AZ206" s="10" t="s">
        <v>97</v>
      </c>
      <c r="BA206" s="12" t="s">
        <v>84</v>
      </c>
      <c r="BB206" s="111">
        <f>AY206*855</f>
        <v>855</v>
      </c>
      <c r="BC206" s="26"/>
      <c r="BD206" s="58"/>
      <c r="BE206" s="44"/>
      <c r="BG206" s="14" t="s">
        <v>555</v>
      </c>
      <c r="BH206" s="11">
        <v>1</v>
      </c>
      <c r="BI206" s="14" t="s">
        <v>1136</v>
      </c>
      <c r="BJ206" s="12" t="s">
        <v>27</v>
      </c>
      <c r="BK206" s="153">
        <f>BH206*819</f>
        <v>819</v>
      </c>
      <c r="BL206" s="24"/>
      <c r="BM206" s="95">
        <v>45457</v>
      </c>
      <c r="BN206" s="23" t="s">
        <v>336</v>
      </c>
      <c r="BX206" s="10" t="s">
        <v>96</v>
      </c>
      <c r="BY206" s="11">
        <v>1</v>
      </c>
      <c r="BZ206" s="10" t="s">
        <v>97</v>
      </c>
      <c r="CA206" s="12" t="s">
        <v>80</v>
      </c>
      <c r="CB206" s="111">
        <f>BY206*1090</f>
        <v>1090</v>
      </c>
      <c r="CC206" s="26"/>
      <c r="CD206" s="95"/>
      <c r="CE206" s="44"/>
      <c r="CG206" s="14" t="s">
        <v>555</v>
      </c>
      <c r="CH206" s="11">
        <v>1</v>
      </c>
      <c r="CI206" s="14" t="s">
        <v>1098</v>
      </c>
      <c r="CJ206" s="12" t="s">
        <v>74</v>
      </c>
      <c r="CK206" s="153">
        <f>CH206*938</f>
        <v>938</v>
      </c>
      <c r="CL206" s="24"/>
      <c r="CM206" s="95">
        <v>45457</v>
      </c>
      <c r="CN206" s="23" t="s">
        <v>336</v>
      </c>
    </row>
    <row r="207" spans="1:92" x14ac:dyDescent="0.25">
      <c r="A207" s="566"/>
      <c r="B207" s="566"/>
      <c r="C207" s="566"/>
      <c r="D207" s="566"/>
      <c r="E207" s="566"/>
      <c r="F207" s="566"/>
      <c r="G207" s="566"/>
      <c r="H207" s="566"/>
      <c r="I207" s="566"/>
      <c r="J207" s="566"/>
      <c r="K207" s="566"/>
      <c r="L207" s="566"/>
      <c r="M207" s="566"/>
      <c r="N207" s="566"/>
      <c r="O207" s="566"/>
      <c r="P207" s="566"/>
      <c r="Q207" s="566"/>
      <c r="R207" s="566"/>
      <c r="S207" s="566"/>
      <c r="T207" s="566"/>
      <c r="Y207" s="113" t="s">
        <v>96</v>
      </c>
      <c r="Z207" s="11">
        <v>1</v>
      </c>
      <c r="AA207" s="10" t="s">
        <v>97</v>
      </c>
      <c r="AB207" s="12" t="s">
        <v>91</v>
      </c>
      <c r="AC207" s="111">
        <f>Z207*400</f>
        <v>400</v>
      </c>
      <c r="AD207" s="67"/>
      <c r="AE207" s="388"/>
      <c r="AF207" s="44"/>
      <c r="AX207" s="10" t="s">
        <v>98</v>
      </c>
      <c r="AY207" s="11">
        <v>1</v>
      </c>
      <c r="AZ207" s="10" t="s">
        <v>97</v>
      </c>
      <c r="BA207" s="12" t="s">
        <v>84</v>
      </c>
      <c r="BB207" s="145">
        <f>AY207*900</f>
        <v>900</v>
      </c>
      <c r="BC207" s="26" t="s">
        <v>1116</v>
      </c>
      <c r="BD207" s="58"/>
      <c r="BE207" s="44"/>
      <c r="BG207" s="14" t="s">
        <v>555</v>
      </c>
      <c r="BH207" s="11">
        <v>1</v>
      </c>
      <c r="BI207" s="419" t="s">
        <v>1136</v>
      </c>
      <c r="BJ207" s="12" t="s">
        <v>27</v>
      </c>
      <c r="BK207" s="153"/>
      <c r="BL207" s="24"/>
      <c r="BM207" s="95"/>
      <c r="BN207" s="23" t="s">
        <v>336</v>
      </c>
      <c r="BX207" s="10" t="s">
        <v>98</v>
      </c>
      <c r="BY207" s="11">
        <v>1</v>
      </c>
      <c r="BZ207" s="10" t="s">
        <v>97</v>
      </c>
      <c r="CA207" s="12" t="s">
        <v>80</v>
      </c>
      <c r="CB207" s="145">
        <f>BY207*1155</f>
        <v>1155</v>
      </c>
      <c r="CC207" s="26" t="s">
        <v>1116</v>
      </c>
      <c r="CD207" s="95"/>
      <c r="CE207" s="44"/>
      <c r="CG207" s="14" t="s">
        <v>555</v>
      </c>
      <c r="CH207" s="11">
        <v>1</v>
      </c>
      <c r="CI207" s="14" t="s">
        <v>1153</v>
      </c>
      <c r="CJ207" s="12" t="s">
        <v>74</v>
      </c>
      <c r="CK207" s="153">
        <f>CH207*1188</f>
        <v>1188</v>
      </c>
      <c r="CL207" s="24"/>
      <c r="CM207" s="95">
        <v>45457</v>
      </c>
      <c r="CN207" s="23" t="s">
        <v>336</v>
      </c>
    </row>
    <row r="208" spans="1:92" x14ac:dyDescent="0.25">
      <c r="A208" s="566"/>
      <c r="B208" s="566"/>
      <c r="C208" s="566"/>
      <c r="D208" s="566"/>
      <c r="E208" s="566"/>
      <c r="F208" s="566"/>
      <c r="G208" s="566"/>
      <c r="H208" s="566"/>
      <c r="I208" s="566"/>
      <c r="J208" s="566"/>
      <c r="K208" s="566"/>
      <c r="L208" s="566"/>
      <c r="M208" s="566"/>
      <c r="N208" s="566"/>
      <c r="O208" s="566"/>
      <c r="P208" s="566"/>
      <c r="Q208" s="566"/>
      <c r="R208" s="566"/>
      <c r="S208" s="566"/>
      <c r="T208" s="566"/>
      <c r="Y208" s="113" t="s">
        <v>98</v>
      </c>
      <c r="Z208" s="11">
        <v>1</v>
      </c>
      <c r="AA208" s="10" t="s">
        <v>97</v>
      </c>
      <c r="AB208" s="12" t="s">
        <v>91</v>
      </c>
      <c r="AC208" s="145">
        <f>Z208*450</f>
        <v>450</v>
      </c>
      <c r="AD208" s="67" t="s">
        <v>1116</v>
      </c>
      <c r="AE208" s="388"/>
      <c r="AF208" s="44"/>
      <c r="AX208" s="10" t="s">
        <v>99</v>
      </c>
      <c r="AY208" s="11">
        <v>1</v>
      </c>
      <c r="AZ208" s="10" t="s">
        <v>242</v>
      </c>
      <c r="BA208" s="12" t="s">
        <v>84</v>
      </c>
      <c r="BB208" s="149">
        <f>AY208*300</f>
        <v>300</v>
      </c>
      <c r="BC208" s="22">
        <f>AY208*4</f>
        <v>4</v>
      </c>
      <c r="BD208" s="58"/>
      <c r="BE208" s="44"/>
      <c r="BG208" s="14" t="s">
        <v>555</v>
      </c>
      <c r="BH208" s="11">
        <v>1</v>
      </c>
      <c r="BI208" s="419" t="s">
        <v>1136</v>
      </c>
      <c r="BJ208" s="12" t="s">
        <v>27</v>
      </c>
      <c r="BK208" s="153"/>
      <c r="BL208" s="24"/>
      <c r="BM208" s="95"/>
      <c r="BN208" s="23" t="s">
        <v>336</v>
      </c>
      <c r="BX208" s="10" t="s">
        <v>99</v>
      </c>
      <c r="BY208" s="11">
        <v>1</v>
      </c>
      <c r="BZ208" s="10" t="s">
        <v>242</v>
      </c>
      <c r="CA208" s="12" t="s">
        <v>80</v>
      </c>
      <c r="CB208" s="145">
        <f>BY208*350</f>
        <v>350</v>
      </c>
      <c r="CC208" s="26">
        <f>BY208*4</f>
        <v>4</v>
      </c>
      <c r="CD208" s="95"/>
      <c r="CE208" s="44"/>
      <c r="CG208" s="14" t="s">
        <v>555</v>
      </c>
      <c r="CH208" s="11">
        <v>1</v>
      </c>
      <c r="CI208" s="14" t="s">
        <v>1152</v>
      </c>
      <c r="CJ208" s="12" t="s">
        <v>74</v>
      </c>
      <c r="CK208" s="153"/>
      <c r="CL208" s="24"/>
      <c r="CM208" s="95"/>
      <c r="CN208" s="23" t="s">
        <v>336</v>
      </c>
    </row>
    <row r="209" spans="1:92" x14ac:dyDescent="0.25">
      <c r="A209" s="566"/>
      <c r="B209" s="566"/>
      <c r="C209" s="566"/>
      <c r="D209" s="566"/>
      <c r="E209" s="566"/>
      <c r="F209" s="566"/>
      <c r="G209" s="566"/>
      <c r="H209" s="566"/>
      <c r="I209" s="566"/>
      <c r="J209" s="566"/>
      <c r="K209" s="566"/>
      <c r="L209" s="566"/>
      <c r="M209" s="566"/>
      <c r="N209" s="566"/>
      <c r="O209" s="566"/>
      <c r="P209" s="566"/>
      <c r="Q209" s="566"/>
      <c r="R209" s="566"/>
      <c r="S209" s="566"/>
      <c r="T209" s="566"/>
      <c r="Y209" s="113" t="s">
        <v>99</v>
      </c>
      <c r="Z209" s="11">
        <v>1</v>
      </c>
      <c r="AA209" s="10" t="s">
        <v>242</v>
      </c>
      <c r="AB209" s="12" t="s">
        <v>91</v>
      </c>
      <c r="AC209" s="149">
        <f>Z209*250</f>
        <v>250</v>
      </c>
      <c r="AD209" s="183">
        <f>Z209*4</f>
        <v>4</v>
      </c>
      <c r="AE209" s="388"/>
      <c r="AF209" s="44"/>
      <c r="AX209" s="14" t="s">
        <v>93</v>
      </c>
      <c r="AY209" s="12">
        <v>1</v>
      </c>
      <c r="AZ209" s="14" t="s">
        <v>94</v>
      </c>
      <c r="BA209" s="12"/>
      <c r="BB209" s="149">
        <f>AY209*750</f>
        <v>750</v>
      </c>
      <c r="BC209" s="22">
        <f>AY209*2</f>
        <v>2</v>
      </c>
      <c r="BD209" s="58"/>
      <c r="BE209" s="44"/>
      <c r="BG209" s="14" t="s">
        <v>555</v>
      </c>
      <c r="BH209" s="11">
        <v>1</v>
      </c>
      <c r="BI209" s="419" t="s">
        <v>1150</v>
      </c>
      <c r="BJ209" s="12" t="s">
        <v>27</v>
      </c>
      <c r="BK209" s="153">
        <f>BH209*2012</f>
        <v>2012</v>
      </c>
      <c r="BL209" s="24"/>
      <c r="BM209" s="95">
        <v>45457</v>
      </c>
      <c r="BN209" s="23" t="s">
        <v>336</v>
      </c>
      <c r="BX209" s="14" t="s">
        <v>93</v>
      </c>
      <c r="BY209" s="12">
        <v>1</v>
      </c>
      <c r="BZ209" s="14" t="s">
        <v>94</v>
      </c>
      <c r="CA209" s="12"/>
      <c r="CB209" s="149">
        <f>BY209*750</f>
        <v>750</v>
      </c>
      <c r="CC209" s="26">
        <f>BY209*2</f>
        <v>2</v>
      </c>
      <c r="CD209" s="95"/>
      <c r="CE209" s="44"/>
      <c r="CG209" s="14" t="s">
        <v>555</v>
      </c>
      <c r="CH209" s="11">
        <v>1</v>
      </c>
      <c r="CI209" s="14" t="s">
        <v>1151</v>
      </c>
      <c r="CJ209" s="12" t="s">
        <v>74</v>
      </c>
      <c r="CK209" s="153">
        <f>CH209*2012</f>
        <v>2012</v>
      </c>
      <c r="CL209" s="24"/>
      <c r="CM209" s="95">
        <v>45457</v>
      </c>
      <c r="CN209" s="23" t="s">
        <v>336</v>
      </c>
    </row>
    <row r="210" spans="1:92" x14ac:dyDescent="0.25">
      <c r="A210" s="566"/>
      <c r="B210" s="566"/>
      <c r="C210" s="566"/>
      <c r="D210" s="566"/>
      <c r="E210" s="566"/>
      <c r="F210" s="566"/>
      <c r="G210" s="566"/>
      <c r="H210" s="566"/>
      <c r="I210" s="566"/>
      <c r="J210" s="566"/>
      <c r="K210" s="566"/>
      <c r="L210" s="566"/>
      <c r="M210" s="566"/>
      <c r="N210" s="566"/>
      <c r="O210" s="566"/>
      <c r="P210" s="566"/>
      <c r="Q210" s="566"/>
      <c r="R210" s="566"/>
      <c r="S210" s="566"/>
      <c r="T210" s="566"/>
      <c r="Y210" s="39" t="s">
        <v>93</v>
      </c>
      <c r="Z210" s="12">
        <v>1</v>
      </c>
      <c r="AA210" s="14" t="s">
        <v>94</v>
      </c>
      <c r="AB210" s="12"/>
      <c r="AC210" s="149">
        <f>Z210*750</f>
        <v>750</v>
      </c>
      <c r="AD210" s="183">
        <f>Z210*2</f>
        <v>2</v>
      </c>
      <c r="AE210" s="388"/>
      <c r="AF210" s="44"/>
      <c r="AX210" s="10"/>
      <c r="AY210" s="11"/>
      <c r="AZ210" s="10"/>
      <c r="BA210" s="12"/>
      <c r="BB210" s="149"/>
      <c r="BC210" s="26"/>
      <c r="BD210" s="58"/>
      <c r="BE210" s="44"/>
      <c r="BG210" s="14" t="s">
        <v>555</v>
      </c>
      <c r="BH210" s="11">
        <v>1</v>
      </c>
      <c r="BI210" s="419" t="s">
        <v>1148</v>
      </c>
      <c r="BJ210" s="12" t="s">
        <v>27</v>
      </c>
      <c r="BK210" s="153">
        <f>BH210*2495</f>
        <v>2495</v>
      </c>
      <c r="BL210" s="24"/>
      <c r="BM210" s="95">
        <v>45457</v>
      </c>
      <c r="BN210" s="23" t="s">
        <v>336</v>
      </c>
      <c r="BX210" s="10"/>
      <c r="BY210" s="11"/>
      <c r="BZ210" s="10"/>
      <c r="CA210" s="12"/>
      <c r="CB210" s="149"/>
      <c r="CC210" s="26"/>
      <c r="CD210" s="95"/>
      <c r="CE210" s="44"/>
      <c r="CG210" s="14" t="s">
        <v>555</v>
      </c>
      <c r="CH210" s="11">
        <v>1</v>
      </c>
      <c r="CI210" s="14" t="s">
        <v>1154</v>
      </c>
      <c r="CJ210" s="12" t="s">
        <v>74</v>
      </c>
      <c r="CK210" s="153">
        <f>CH210*2824</f>
        <v>2824</v>
      </c>
      <c r="CL210" s="24"/>
      <c r="CM210" s="95">
        <v>45457</v>
      </c>
      <c r="CN210" s="23" t="s">
        <v>336</v>
      </c>
    </row>
    <row r="211" spans="1:92" x14ac:dyDescent="0.25">
      <c r="A211" s="203"/>
      <c r="B211" s="203"/>
      <c r="C211" s="203"/>
      <c r="D211" s="203"/>
      <c r="E211" s="203"/>
      <c r="F211" s="203"/>
      <c r="G211" s="203"/>
      <c r="H211" s="203"/>
      <c r="I211" s="203"/>
      <c r="J211" s="203"/>
      <c r="K211" s="203"/>
      <c r="L211" s="203"/>
      <c r="M211" s="203"/>
      <c r="N211" s="203"/>
      <c r="O211" s="203"/>
      <c r="P211" s="203"/>
      <c r="Q211" s="203"/>
      <c r="R211" s="203"/>
      <c r="S211" s="203"/>
      <c r="T211" s="203"/>
      <c r="Y211" s="113"/>
      <c r="Z211" s="11"/>
      <c r="AA211" s="10"/>
      <c r="AB211" s="12"/>
      <c r="AC211" s="149"/>
      <c r="AD211" s="67"/>
      <c r="AE211" s="388"/>
      <c r="AF211" s="44"/>
      <c r="AX211" s="10" t="s">
        <v>118</v>
      </c>
      <c r="AY211" s="11">
        <v>1</v>
      </c>
      <c r="AZ211" s="10" t="s">
        <v>122</v>
      </c>
      <c r="BA211" s="12" t="s">
        <v>84</v>
      </c>
      <c r="BB211" s="111">
        <f>AY211*12*95*11.16/144*2.15</f>
        <v>189.95249999999999</v>
      </c>
      <c r="BC211" s="26" t="s">
        <v>1116</v>
      </c>
      <c r="BD211" s="58"/>
      <c r="BE211" s="44"/>
      <c r="BG211" s="14" t="s">
        <v>555</v>
      </c>
      <c r="BH211" s="11">
        <v>1</v>
      </c>
      <c r="BI211" s="419" t="s">
        <v>1149</v>
      </c>
      <c r="BJ211" s="12" t="s">
        <v>27</v>
      </c>
      <c r="BK211" s="153"/>
      <c r="BL211" s="24"/>
      <c r="BM211" s="95"/>
      <c r="BN211" s="23" t="s">
        <v>336</v>
      </c>
      <c r="BX211" s="10" t="s">
        <v>118</v>
      </c>
      <c r="BY211" s="11">
        <v>1</v>
      </c>
      <c r="BZ211" s="10" t="s">
        <v>122</v>
      </c>
      <c r="CA211" s="12" t="s">
        <v>80</v>
      </c>
      <c r="CB211" s="92"/>
      <c r="CC211" s="26" t="s">
        <v>1116</v>
      </c>
      <c r="CD211" s="95"/>
      <c r="CE211" s="44"/>
      <c r="CG211" s="14" t="s">
        <v>555</v>
      </c>
      <c r="CH211" s="11">
        <v>1</v>
      </c>
      <c r="CI211" s="353" t="s">
        <v>1098</v>
      </c>
      <c r="CJ211" s="12" t="s">
        <v>74</v>
      </c>
      <c r="CK211" s="153"/>
      <c r="CL211" s="24"/>
      <c r="CM211" s="95"/>
      <c r="CN211" s="23" t="s">
        <v>336</v>
      </c>
    </row>
    <row r="212" spans="1:92" x14ac:dyDescent="0.25">
      <c r="A212" s="203"/>
      <c r="B212" s="203"/>
      <c r="C212" s="203"/>
      <c r="D212" s="203"/>
      <c r="E212" s="203"/>
      <c r="F212" s="203"/>
      <c r="G212" s="203"/>
      <c r="H212" s="203"/>
      <c r="I212" s="203"/>
      <c r="J212" s="203"/>
      <c r="K212" s="203"/>
      <c r="L212" s="203"/>
      <c r="M212" s="203"/>
      <c r="N212" s="203"/>
      <c r="O212" s="203"/>
      <c r="P212" s="203"/>
      <c r="Q212" s="203"/>
      <c r="R212" s="203"/>
      <c r="S212" s="203"/>
      <c r="T212" s="203"/>
      <c r="Y212" s="113" t="s">
        <v>118</v>
      </c>
      <c r="Z212" s="11">
        <v>1</v>
      </c>
      <c r="AA212" s="10" t="s">
        <v>122</v>
      </c>
      <c r="AB212" s="12" t="s">
        <v>91</v>
      </c>
      <c r="AC212" s="92"/>
      <c r="AD212" s="67" t="s">
        <v>1116</v>
      </c>
      <c r="AE212" s="388"/>
      <c r="AF212" s="44"/>
      <c r="AX212" s="10" t="s">
        <v>119</v>
      </c>
      <c r="AY212" s="11">
        <v>1</v>
      </c>
      <c r="AZ212" s="10" t="s">
        <v>97</v>
      </c>
      <c r="BA212" s="12" t="s">
        <v>84</v>
      </c>
      <c r="BB212" s="92">
        <f>AY212*1000</f>
        <v>1000</v>
      </c>
      <c r="BC212" s="44"/>
      <c r="BD212" s="58"/>
      <c r="BE212" s="44"/>
      <c r="BG212" s="14"/>
      <c r="BH212" s="11"/>
      <c r="BI212" s="14"/>
      <c r="BJ212" s="12"/>
      <c r="BK212" s="153"/>
      <c r="BL212" s="24"/>
      <c r="BM212" s="95"/>
      <c r="BN212" s="23"/>
      <c r="BX212" s="10" t="s">
        <v>119</v>
      </c>
      <c r="BY212" s="11">
        <v>1</v>
      </c>
      <c r="BZ212" s="10" t="s">
        <v>97</v>
      </c>
      <c r="CA212" s="12" t="s">
        <v>80</v>
      </c>
      <c r="CB212" s="92"/>
      <c r="CC212" s="44"/>
      <c r="CD212" s="95"/>
      <c r="CE212" s="44"/>
      <c r="CG212" s="14" t="s">
        <v>555</v>
      </c>
      <c r="CH212" s="11">
        <v>1</v>
      </c>
      <c r="CI212" s="14" t="s">
        <v>1155</v>
      </c>
      <c r="CJ212" s="12" t="s">
        <v>74</v>
      </c>
      <c r="CK212" s="153">
        <f>CH212*4670</f>
        <v>4670</v>
      </c>
      <c r="CL212" s="24"/>
      <c r="CM212" s="95">
        <v>45457</v>
      </c>
      <c r="CN212" s="23" t="s">
        <v>336</v>
      </c>
    </row>
    <row r="213" spans="1:92" x14ac:dyDescent="0.25">
      <c r="A213" s="203"/>
      <c r="B213" s="203"/>
      <c r="C213" s="203"/>
      <c r="D213" s="203"/>
      <c r="E213" s="203"/>
      <c r="F213" s="203"/>
      <c r="G213" s="203"/>
      <c r="H213" s="203"/>
      <c r="I213" s="203"/>
      <c r="J213" s="203"/>
      <c r="K213" s="203"/>
      <c r="L213" s="203"/>
      <c r="M213" s="203"/>
      <c r="N213" s="203"/>
      <c r="O213" s="203"/>
      <c r="P213" s="203"/>
      <c r="Q213" s="203"/>
      <c r="R213" s="203"/>
      <c r="S213" s="203"/>
      <c r="T213" s="203"/>
      <c r="Y213" s="113" t="s">
        <v>119</v>
      </c>
      <c r="Z213" s="11">
        <v>1</v>
      </c>
      <c r="AA213" s="10" t="s">
        <v>97</v>
      </c>
      <c r="AB213" s="12" t="s">
        <v>91</v>
      </c>
      <c r="AC213" s="92"/>
      <c r="AD213" s="112"/>
      <c r="AE213" s="388"/>
      <c r="AF213" s="44"/>
      <c r="AX213" s="10" t="s">
        <v>120</v>
      </c>
      <c r="AY213" s="11">
        <v>1</v>
      </c>
      <c r="AZ213" s="10" t="s">
        <v>97</v>
      </c>
      <c r="BA213" s="12" t="s">
        <v>84</v>
      </c>
      <c r="BB213" s="92">
        <f>AY213*1050</f>
        <v>1050</v>
      </c>
      <c r="BC213" s="417" t="s">
        <v>1116</v>
      </c>
      <c r="BD213" s="58"/>
      <c r="BE213" s="44"/>
      <c r="BG213" s="14"/>
      <c r="BH213" s="11"/>
      <c r="BI213" s="14"/>
      <c r="BJ213" s="12"/>
      <c r="BK213" s="153"/>
      <c r="BL213" s="24"/>
      <c r="BM213" s="95"/>
      <c r="BN213" s="23"/>
      <c r="BX213" s="10" t="s">
        <v>120</v>
      </c>
      <c r="BY213" s="11">
        <v>1</v>
      </c>
      <c r="BZ213" s="10" t="s">
        <v>97</v>
      </c>
      <c r="CA213" s="12" t="s">
        <v>80</v>
      </c>
      <c r="CB213" s="92"/>
      <c r="CC213" s="417" t="s">
        <v>1116</v>
      </c>
      <c r="CD213" s="95"/>
      <c r="CE213" s="44"/>
      <c r="CG213" s="14" t="s">
        <v>555</v>
      </c>
      <c r="CH213" s="11">
        <v>1</v>
      </c>
      <c r="CI213" s="353" t="s">
        <v>1098</v>
      </c>
      <c r="CJ213" s="12" t="s">
        <v>74</v>
      </c>
      <c r="CK213" s="153"/>
      <c r="CL213" s="24"/>
      <c r="CM213" s="95"/>
      <c r="CN213" s="23" t="s">
        <v>336</v>
      </c>
    </row>
    <row r="214" spans="1:92" x14ac:dyDescent="0.25">
      <c r="A214" s="203"/>
      <c r="B214" s="203"/>
      <c r="C214" s="203"/>
      <c r="D214" s="203"/>
      <c r="E214" s="203"/>
      <c r="F214" s="203"/>
      <c r="G214" s="203"/>
      <c r="H214" s="203"/>
      <c r="I214" s="203"/>
      <c r="J214" s="203"/>
      <c r="K214" s="203"/>
      <c r="L214" s="203"/>
      <c r="M214" s="203"/>
      <c r="N214" s="203"/>
      <c r="O214" s="203"/>
      <c r="P214" s="203"/>
      <c r="Q214" s="203"/>
      <c r="R214" s="203"/>
      <c r="S214" s="203"/>
      <c r="T214" s="203"/>
      <c r="Y214" s="113" t="s">
        <v>120</v>
      </c>
      <c r="Z214" s="11">
        <v>1</v>
      </c>
      <c r="AA214" s="10" t="s">
        <v>97</v>
      </c>
      <c r="AB214" s="12" t="s">
        <v>91</v>
      </c>
      <c r="AC214" s="92"/>
      <c r="AD214" s="418" t="s">
        <v>1116</v>
      </c>
      <c r="AE214" s="388"/>
      <c r="AF214" s="44"/>
      <c r="AX214" s="10" t="s">
        <v>99</v>
      </c>
      <c r="AY214" s="11">
        <v>1</v>
      </c>
      <c r="AZ214" s="10" t="s">
        <v>242</v>
      </c>
      <c r="BA214" s="12" t="s">
        <v>84</v>
      </c>
      <c r="BB214" s="149">
        <f>AY214*350</f>
        <v>350</v>
      </c>
      <c r="BC214" s="22">
        <f>AY214*4</f>
        <v>4</v>
      </c>
      <c r="BD214" s="58"/>
      <c r="BE214" s="44"/>
      <c r="BX214" s="10" t="s">
        <v>99</v>
      </c>
      <c r="BY214" s="11">
        <v>1</v>
      </c>
      <c r="BZ214" s="10" t="s">
        <v>242</v>
      </c>
      <c r="CA214" s="12" t="s">
        <v>80</v>
      </c>
      <c r="CB214" s="92">
        <f>BY214*350</f>
        <v>350</v>
      </c>
      <c r="CC214" s="23">
        <f>BY214*4</f>
        <v>4</v>
      </c>
      <c r="CD214" s="95"/>
      <c r="CE214" s="44"/>
    </row>
    <row r="215" spans="1:92" x14ac:dyDescent="0.25">
      <c r="A215" s="203"/>
      <c r="B215" s="203"/>
      <c r="C215" s="203"/>
      <c r="D215" s="203"/>
      <c r="E215" s="203"/>
      <c r="F215" s="203"/>
      <c r="G215" s="203"/>
      <c r="H215" s="203"/>
      <c r="I215" s="203"/>
      <c r="J215" s="203"/>
      <c r="K215" s="203"/>
      <c r="L215" s="203"/>
      <c r="M215" s="203"/>
      <c r="N215" s="203"/>
      <c r="O215" s="203"/>
      <c r="P215" s="203"/>
      <c r="Q215" s="203"/>
      <c r="R215" s="203"/>
      <c r="S215" s="203"/>
      <c r="T215" s="203"/>
      <c r="Y215" s="113" t="s">
        <v>99</v>
      </c>
      <c r="Z215" s="11">
        <v>1</v>
      </c>
      <c r="AA215" s="10" t="s">
        <v>242</v>
      </c>
      <c r="AB215" s="12" t="s">
        <v>91</v>
      </c>
      <c r="AC215" s="149">
        <f>Z215*250</f>
        <v>250</v>
      </c>
      <c r="AD215" s="183">
        <f>Z215*4</f>
        <v>4</v>
      </c>
      <c r="AE215" s="388"/>
      <c r="AF215" s="44"/>
      <c r="AX215" s="14" t="s">
        <v>93</v>
      </c>
      <c r="AY215" s="12">
        <v>1</v>
      </c>
      <c r="AZ215" s="14" t="s">
        <v>94</v>
      </c>
      <c r="BA215" s="12"/>
      <c r="BB215" s="149">
        <f>AY215*750</f>
        <v>750</v>
      </c>
      <c r="BC215" s="22">
        <f>AY215*2</f>
        <v>2</v>
      </c>
      <c r="BD215" s="58"/>
      <c r="BE215" s="44"/>
      <c r="BX215" s="14" t="s">
        <v>93</v>
      </c>
      <c r="BY215" s="12">
        <v>1</v>
      </c>
      <c r="BZ215" s="14" t="s">
        <v>94</v>
      </c>
      <c r="CA215" s="12"/>
      <c r="CB215" s="149">
        <f>BY215*750</f>
        <v>750</v>
      </c>
      <c r="CC215" s="23">
        <f>BY215*2</f>
        <v>2</v>
      </c>
      <c r="CD215" s="95"/>
      <c r="CE215" s="44"/>
    </row>
    <row r="216" spans="1:92" x14ac:dyDescent="0.25">
      <c r="A216" s="203"/>
      <c r="B216" s="203"/>
      <c r="C216" s="203"/>
      <c r="D216" s="203"/>
      <c r="E216" s="203"/>
      <c r="F216" s="203"/>
      <c r="G216" s="203"/>
      <c r="H216" s="203"/>
      <c r="I216" s="203"/>
      <c r="J216" s="203"/>
      <c r="K216" s="203"/>
      <c r="L216" s="203"/>
      <c r="M216" s="203"/>
      <c r="N216" s="203"/>
      <c r="O216" s="203"/>
      <c r="P216" s="203"/>
      <c r="Q216" s="203"/>
      <c r="R216" s="203"/>
      <c r="S216" s="203"/>
      <c r="T216" s="203"/>
      <c r="Y216" s="391" t="s">
        <v>93</v>
      </c>
      <c r="Z216" s="392">
        <v>1</v>
      </c>
      <c r="AA216" s="393" t="s">
        <v>94</v>
      </c>
      <c r="AB216" s="392"/>
      <c r="AC216" s="389">
        <f>Z216*750</f>
        <v>750</v>
      </c>
      <c r="AD216" s="394">
        <f>Z216*2</f>
        <v>2</v>
      </c>
      <c r="AE216" s="388"/>
      <c r="AF216" s="44"/>
      <c r="AX216" s="10"/>
      <c r="AY216" s="11"/>
      <c r="AZ216" s="10"/>
      <c r="BA216" s="12"/>
      <c r="BB216" s="156"/>
      <c r="BC216" s="44"/>
      <c r="BD216" s="58"/>
      <c r="BE216" s="44"/>
      <c r="BX216" s="10"/>
      <c r="BY216" s="11"/>
      <c r="BZ216" s="10"/>
      <c r="CA216" s="12"/>
      <c r="CB216" s="156"/>
      <c r="CC216" s="44"/>
      <c r="CD216" s="95"/>
      <c r="CE216" s="44"/>
    </row>
    <row r="217" spans="1:92" x14ac:dyDescent="0.25">
      <c r="A217" s="203"/>
      <c r="B217" s="203"/>
      <c r="C217" s="203"/>
      <c r="D217" s="203"/>
      <c r="E217" s="203"/>
      <c r="F217" s="203"/>
      <c r="G217" s="203"/>
      <c r="H217" s="203"/>
      <c r="I217" s="203"/>
      <c r="J217" s="203"/>
      <c r="K217" s="203"/>
      <c r="L217" s="203"/>
      <c r="M217" s="203"/>
      <c r="N217" s="203"/>
      <c r="O217" s="203"/>
      <c r="P217" s="203"/>
      <c r="Q217" s="203"/>
      <c r="R217" s="203"/>
      <c r="S217" s="203"/>
      <c r="T217" s="203"/>
      <c r="Y217" s="14"/>
      <c r="Z217" s="12"/>
      <c r="AA217" s="14"/>
      <c r="AB217" s="12"/>
      <c r="AC217" s="156"/>
      <c r="AD217" s="44"/>
      <c r="AE217" s="58"/>
      <c r="AF217" s="44"/>
      <c r="AX217" s="10"/>
      <c r="AY217" s="11"/>
      <c r="AZ217" s="10"/>
      <c r="BA217" s="12"/>
      <c r="BB217" s="156"/>
      <c r="BC217" s="44"/>
      <c r="BD217" s="58"/>
      <c r="BE217" s="44"/>
      <c r="BX217" s="10"/>
      <c r="BY217" s="11"/>
      <c r="BZ217" s="10"/>
      <c r="CA217" s="12"/>
      <c r="CB217" s="156"/>
      <c r="CC217" s="44"/>
      <c r="CD217" s="58"/>
      <c r="CE217" s="44"/>
    </row>
    <row r="218" spans="1:92" x14ac:dyDescent="0.25">
      <c r="A218" s="203"/>
      <c r="B218" s="203"/>
      <c r="C218" s="203"/>
      <c r="D218" s="203"/>
      <c r="E218" s="203"/>
      <c r="F218" s="203"/>
      <c r="G218" s="203"/>
      <c r="H218" s="203"/>
      <c r="I218" s="203"/>
      <c r="J218" s="203"/>
      <c r="K218" s="203"/>
      <c r="L218" s="203"/>
      <c r="M218" s="203"/>
      <c r="N218" s="203"/>
      <c r="O218" s="203"/>
      <c r="P218" s="203"/>
      <c r="Q218" s="203"/>
      <c r="R218" s="203"/>
      <c r="S218" s="203"/>
      <c r="T218" s="203"/>
    </row>
    <row r="219" spans="1:92" x14ac:dyDescent="0.25">
      <c r="A219" s="203"/>
      <c r="B219" s="203"/>
      <c r="C219" s="203"/>
      <c r="D219" s="203"/>
      <c r="E219" s="203"/>
      <c r="F219" s="203"/>
      <c r="G219" s="203"/>
      <c r="H219" s="203"/>
      <c r="I219" s="203"/>
      <c r="J219" s="203"/>
      <c r="K219" s="203"/>
      <c r="L219" s="203"/>
      <c r="M219" s="203"/>
      <c r="N219" s="203"/>
      <c r="O219" s="203"/>
      <c r="P219" s="203"/>
      <c r="Q219" s="203"/>
      <c r="R219" s="203"/>
      <c r="S219" s="203"/>
      <c r="T219" s="203"/>
    </row>
    <row r="220" spans="1:92" x14ac:dyDescent="0.25">
      <c r="A220" s="203"/>
      <c r="B220" s="203"/>
      <c r="C220" s="203"/>
      <c r="D220" s="203"/>
      <c r="E220" s="203"/>
      <c r="F220" s="203"/>
      <c r="G220" s="203"/>
      <c r="H220" s="203"/>
      <c r="I220" s="203"/>
      <c r="J220" s="203"/>
      <c r="K220" s="203"/>
      <c r="L220" s="203"/>
      <c r="M220" s="203"/>
      <c r="N220" s="203"/>
      <c r="O220" s="203"/>
      <c r="P220" s="203"/>
      <c r="Q220" s="203"/>
      <c r="R220" s="203"/>
      <c r="S220" s="203"/>
      <c r="T220" s="203"/>
    </row>
    <row r="221" spans="1:92" x14ac:dyDescent="0.25">
      <c r="A221" s="203"/>
      <c r="B221" s="203"/>
      <c r="C221" s="203"/>
      <c r="D221" s="203"/>
      <c r="E221" s="203"/>
      <c r="F221" s="203"/>
      <c r="G221" s="203"/>
      <c r="H221" s="203"/>
      <c r="I221" s="203"/>
      <c r="J221" s="203"/>
      <c r="K221" s="203"/>
      <c r="L221" s="203"/>
      <c r="M221" s="203"/>
      <c r="N221" s="203"/>
      <c r="O221" s="203"/>
      <c r="P221" s="203"/>
      <c r="Q221" s="203"/>
      <c r="R221" s="203"/>
      <c r="S221" s="203"/>
      <c r="T221" s="203"/>
    </row>
    <row r="222" spans="1:92" x14ac:dyDescent="0.25">
      <c r="A222" s="203"/>
      <c r="B222" s="203"/>
      <c r="C222" s="203"/>
      <c r="D222" s="203"/>
      <c r="E222" s="203"/>
      <c r="F222" s="203"/>
      <c r="G222" s="203"/>
      <c r="H222" s="203"/>
      <c r="I222" s="203"/>
      <c r="J222" s="203"/>
      <c r="K222" s="203"/>
      <c r="L222" s="203"/>
      <c r="M222" s="203"/>
      <c r="N222" s="203"/>
      <c r="O222" s="203"/>
      <c r="P222" s="203"/>
      <c r="Q222" s="203"/>
      <c r="R222" s="203"/>
      <c r="S222" s="203"/>
      <c r="T222" s="203"/>
    </row>
    <row r="223" spans="1:92" x14ac:dyDescent="0.25">
      <c r="A223" s="203"/>
      <c r="B223" s="203"/>
      <c r="C223" s="203"/>
      <c r="D223" s="203"/>
      <c r="E223" s="203"/>
      <c r="F223" s="203"/>
      <c r="G223" s="203"/>
      <c r="H223" s="203"/>
      <c r="I223" s="203"/>
      <c r="J223" s="203"/>
      <c r="K223" s="203"/>
      <c r="L223" s="203"/>
      <c r="M223" s="203"/>
      <c r="N223" s="203"/>
      <c r="O223" s="203"/>
      <c r="P223" s="203"/>
      <c r="Q223" s="203"/>
      <c r="R223" s="203"/>
      <c r="S223" s="203"/>
      <c r="T223" s="203"/>
    </row>
    <row r="224" spans="1:92" x14ac:dyDescent="0.25">
      <c r="A224" s="203"/>
      <c r="B224" s="203"/>
      <c r="C224" s="203"/>
      <c r="D224" s="203"/>
      <c r="E224" s="203"/>
      <c r="F224" s="203"/>
      <c r="G224" s="203"/>
      <c r="H224" s="203"/>
      <c r="I224" s="203"/>
      <c r="J224" s="203"/>
      <c r="K224" s="203"/>
      <c r="L224" s="203"/>
      <c r="M224" s="203"/>
      <c r="N224" s="203"/>
      <c r="O224" s="203"/>
      <c r="P224" s="203"/>
      <c r="Q224" s="203"/>
      <c r="R224" s="203"/>
      <c r="S224" s="203"/>
      <c r="T224" s="203"/>
    </row>
    <row r="225" spans="1:20" x14ac:dyDescent="0.25">
      <c r="A225" s="203"/>
      <c r="B225" s="203"/>
      <c r="C225" s="203"/>
      <c r="D225" s="203"/>
      <c r="E225" s="203"/>
      <c r="F225" s="203"/>
      <c r="G225" s="203"/>
      <c r="H225" s="203"/>
      <c r="I225" s="203"/>
      <c r="J225" s="203"/>
      <c r="K225" s="203"/>
      <c r="L225" s="203"/>
      <c r="M225" s="203"/>
      <c r="N225" s="203"/>
      <c r="O225" s="203"/>
      <c r="P225" s="203"/>
      <c r="Q225" s="203"/>
      <c r="R225" s="203"/>
      <c r="S225" s="203"/>
      <c r="T225" s="203"/>
    </row>
    <row r="226" spans="1:20" x14ac:dyDescent="0.25">
      <c r="A226" s="203"/>
      <c r="B226" s="203"/>
      <c r="C226" s="203"/>
      <c r="D226" s="203"/>
      <c r="E226" s="203"/>
      <c r="F226" s="203"/>
      <c r="G226" s="203"/>
      <c r="H226" s="203"/>
      <c r="I226" s="203"/>
      <c r="J226" s="203"/>
      <c r="K226" s="203"/>
      <c r="L226" s="203"/>
      <c r="M226" s="203"/>
      <c r="N226" s="203"/>
      <c r="O226" s="203"/>
      <c r="P226" s="203"/>
      <c r="Q226" s="203"/>
      <c r="R226" s="203"/>
      <c r="S226" s="203"/>
      <c r="T226" s="203"/>
    </row>
    <row r="227" spans="1:20" x14ac:dyDescent="0.25">
      <c r="A227" s="203"/>
      <c r="B227" s="203"/>
      <c r="C227" s="203"/>
      <c r="D227" s="203"/>
      <c r="E227" s="203"/>
      <c r="F227" s="203"/>
      <c r="G227" s="203"/>
      <c r="H227" s="203"/>
      <c r="I227" s="203"/>
      <c r="J227" s="203"/>
      <c r="K227" s="203"/>
      <c r="L227" s="203"/>
      <c r="M227" s="203"/>
      <c r="N227" s="203"/>
      <c r="O227" s="203"/>
      <c r="P227" s="203"/>
      <c r="Q227" s="203"/>
      <c r="R227" s="203"/>
      <c r="S227" s="203"/>
      <c r="T227" s="203"/>
    </row>
    <row r="228" spans="1:20" x14ac:dyDescent="0.25">
      <c r="A228" s="203"/>
      <c r="B228" s="203"/>
      <c r="C228" s="203"/>
      <c r="D228" s="203"/>
      <c r="E228" s="203"/>
      <c r="F228" s="203"/>
      <c r="G228" s="203"/>
      <c r="H228" s="203"/>
      <c r="I228" s="203"/>
      <c r="J228" s="203"/>
      <c r="K228" s="203"/>
      <c r="L228" s="203"/>
      <c r="M228" s="203"/>
      <c r="N228" s="203"/>
      <c r="O228" s="203"/>
      <c r="P228" s="203"/>
      <c r="Q228" s="203"/>
      <c r="R228" s="203"/>
      <c r="S228" s="203"/>
      <c r="T228" s="203"/>
    </row>
    <row r="229" spans="1:20" x14ac:dyDescent="0.25">
      <c r="A229" s="203"/>
      <c r="B229" s="203"/>
      <c r="C229" s="203"/>
      <c r="D229" s="203"/>
      <c r="E229" s="203"/>
      <c r="F229" s="203"/>
      <c r="G229" s="203"/>
      <c r="H229" s="203"/>
      <c r="I229" s="203"/>
      <c r="J229" s="203"/>
      <c r="K229" s="203"/>
      <c r="L229" s="203"/>
      <c r="M229" s="203"/>
      <c r="N229" s="203"/>
      <c r="O229" s="203"/>
      <c r="P229" s="203"/>
      <c r="Q229" s="203"/>
      <c r="R229" s="203"/>
      <c r="S229" s="203"/>
      <c r="T229" s="203"/>
    </row>
    <row r="230" spans="1:20" x14ac:dyDescent="0.25">
      <c r="A230" s="203"/>
      <c r="B230" s="203"/>
      <c r="C230" s="203"/>
      <c r="D230" s="203"/>
      <c r="E230" s="203"/>
      <c r="F230" s="203"/>
      <c r="G230" s="203"/>
      <c r="H230" s="203"/>
      <c r="I230" s="203"/>
      <c r="J230" s="203"/>
      <c r="K230" s="203"/>
      <c r="L230" s="203"/>
      <c r="M230" s="203"/>
      <c r="N230" s="203"/>
      <c r="O230" s="203"/>
      <c r="P230" s="203"/>
      <c r="Q230" s="203"/>
      <c r="R230" s="203"/>
      <c r="S230" s="203"/>
      <c r="T230" s="203"/>
    </row>
    <row r="231" spans="1:20" x14ac:dyDescent="0.25">
      <c r="A231" s="203"/>
      <c r="B231" s="203"/>
      <c r="C231" s="203"/>
      <c r="D231" s="203"/>
      <c r="E231" s="203"/>
      <c r="F231" s="203"/>
      <c r="G231" s="203"/>
      <c r="H231" s="203"/>
      <c r="I231" s="203"/>
      <c r="J231" s="203"/>
      <c r="K231" s="203"/>
      <c r="L231" s="203"/>
      <c r="M231" s="203"/>
      <c r="N231" s="203"/>
      <c r="O231" s="203"/>
      <c r="P231" s="203"/>
      <c r="Q231" s="203"/>
      <c r="R231" s="203"/>
      <c r="S231" s="203"/>
      <c r="T231" s="203"/>
    </row>
    <row r="232" spans="1:20" x14ac:dyDescent="0.25">
      <c r="A232" s="203"/>
      <c r="B232" s="203"/>
      <c r="C232" s="203"/>
      <c r="D232" s="203"/>
      <c r="E232" s="203"/>
      <c r="F232" s="203"/>
      <c r="G232" s="203"/>
      <c r="H232" s="203"/>
      <c r="I232" s="203"/>
      <c r="J232" s="203"/>
      <c r="K232" s="203"/>
      <c r="L232" s="203"/>
      <c r="M232" s="203"/>
      <c r="N232" s="203"/>
      <c r="O232" s="203"/>
      <c r="P232" s="203"/>
      <c r="Q232" s="203"/>
      <c r="R232" s="203"/>
      <c r="S232" s="203"/>
      <c r="T232" s="203"/>
    </row>
    <row r="233" spans="1:20" x14ac:dyDescent="0.25">
      <c r="A233" s="203"/>
      <c r="B233" s="203"/>
      <c r="C233" s="203"/>
      <c r="D233" s="203"/>
      <c r="E233" s="203"/>
      <c r="F233" s="203"/>
      <c r="G233" s="203"/>
      <c r="H233" s="203"/>
      <c r="I233" s="203"/>
      <c r="J233" s="203"/>
      <c r="K233" s="203"/>
      <c r="L233" s="203"/>
      <c r="M233" s="203"/>
      <c r="N233" s="203"/>
      <c r="O233" s="203"/>
      <c r="P233" s="203"/>
      <c r="Q233" s="203"/>
      <c r="R233" s="203"/>
      <c r="S233" s="203"/>
      <c r="T233" s="203"/>
    </row>
    <row r="236" spans="1:20" x14ac:dyDescent="0.25">
      <c r="A236" s="37"/>
      <c r="B236" s="38"/>
      <c r="C236" s="19"/>
      <c r="D236" s="19"/>
      <c r="E236" s="19"/>
      <c r="F236" s="20"/>
    </row>
    <row r="237" spans="1:20" ht="18.75" x14ac:dyDescent="0.3">
      <c r="A237" s="594" t="s">
        <v>123</v>
      </c>
      <c r="B237" s="595"/>
      <c r="C237" s="595"/>
      <c r="D237" s="595"/>
      <c r="E237" s="595"/>
      <c r="F237" s="596"/>
    </row>
    <row r="238" spans="1:20" ht="15.75" x14ac:dyDescent="0.25">
      <c r="A238" s="29"/>
      <c r="B238" s="30"/>
      <c r="C238" s="31"/>
      <c r="D238" s="31"/>
      <c r="E238" s="31"/>
      <c r="F238" s="31"/>
      <c r="H238" s="591" t="s">
        <v>373</v>
      </c>
      <c r="I238" s="592"/>
      <c r="J238" s="592"/>
      <c r="K238" s="592"/>
      <c r="L238" s="592"/>
      <c r="M238" s="593"/>
      <c r="O238" s="591" t="s">
        <v>376</v>
      </c>
      <c r="P238" s="592"/>
      <c r="Q238" s="592"/>
      <c r="R238" s="592"/>
      <c r="S238" s="592"/>
      <c r="T238" s="593"/>
    </row>
    <row r="239" spans="1:20" ht="16.5" thickBot="1" x14ac:dyDescent="0.3">
      <c r="A239" s="27" t="s">
        <v>0</v>
      </c>
      <c r="B239" s="28" t="s">
        <v>1</v>
      </c>
      <c r="C239" s="28" t="s">
        <v>2</v>
      </c>
      <c r="D239" s="28" t="s">
        <v>24</v>
      </c>
      <c r="E239" s="9" t="s">
        <v>7</v>
      </c>
      <c r="F239" s="8" t="s">
        <v>9</v>
      </c>
      <c r="H239" s="10"/>
      <c r="I239" s="11"/>
      <c r="J239" s="32"/>
      <c r="K239" s="12"/>
      <c r="L239" s="21"/>
      <c r="M239" s="24"/>
      <c r="O239" s="10"/>
      <c r="P239" s="11"/>
      <c r="Q239" s="32"/>
      <c r="R239" s="12"/>
      <c r="S239" s="21"/>
      <c r="T239" s="24"/>
    </row>
    <row r="240" spans="1:20" x14ac:dyDescent="0.25">
      <c r="A240" s="10"/>
      <c r="B240" s="11"/>
      <c r="C240" s="10"/>
      <c r="D240" s="12"/>
      <c r="E240" s="22"/>
      <c r="F240" s="13"/>
      <c r="H240" s="10" t="s">
        <v>101</v>
      </c>
      <c r="I240" s="11">
        <v>1</v>
      </c>
      <c r="J240" s="34" t="s">
        <v>374</v>
      </c>
      <c r="K240" s="48" t="s">
        <v>75</v>
      </c>
      <c r="L240" s="22"/>
      <c r="M240" s="13"/>
      <c r="O240" s="10" t="s">
        <v>239</v>
      </c>
      <c r="P240" s="11">
        <v>1</v>
      </c>
      <c r="Q240" s="10" t="s">
        <v>237</v>
      </c>
      <c r="R240" s="12" t="s">
        <v>240</v>
      </c>
      <c r="S240" s="49">
        <v>3375</v>
      </c>
      <c r="T240" s="51">
        <v>16</v>
      </c>
    </row>
    <row r="241" spans="1:20" ht="15.75" x14ac:dyDescent="0.25">
      <c r="A241" s="591" t="s">
        <v>371</v>
      </c>
      <c r="B241" s="592"/>
      <c r="C241" s="592"/>
      <c r="D241" s="592"/>
      <c r="E241" s="592"/>
      <c r="F241" s="593"/>
      <c r="H241" s="10" t="s">
        <v>31</v>
      </c>
      <c r="I241" s="11">
        <v>2</v>
      </c>
      <c r="J241" s="34" t="s">
        <v>109</v>
      </c>
      <c r="K241" s="48" t="s">
        <v>75</v>
      </c>
      <c r="L241" s="22"/>
      <c r="M241" s="13"/>
      <c r="O241" s="10" t="s">
        <v>236</v>
      </c>
      <c r="P241" s="11">
        <v>1</v>
      </c>
      <c r="Q241" s="10" t="s">
        <v>237</v>
      </c>
      <c r="R241" s="12" t="s">
        <v>238</v>
      </c>
      <c r="S241" s="49">
        <v>3485</v>
      </c>
      <c r="T241" s="51">
        <v>16</v>
      </c>
    </row>
    <row r="242" spans="1:20" x14ac:dyDescent="0.25">
      <c r="A242" s="10"/>
      <c r="B242" s="11"/>
      <c r="C242" s="10"/>
      <c r="D242" s="12"/>
      <c r="E242" s="22"/>
      <c r="F242" s="13"/>
      <c r="H242" s="10" t="s">
        <v>102</v>
      </c>
      <c r="I242" s="11">
        <v>1</v>
      </c>
      <c r="J242" s="36" t="s">
        <v>1168</v>
      </c>
      <c r="K242" s="48" t="s">
        <v>80</v>
      </c>
      <c r="L242" s="22"/>
      <c r="M242" s="13"/>
      <c r="O242" s="10" t="s">
        <v>241</v>
      </c>
      <c r="P242" s="11">
        <v>1</v>
      </c>
      <c r="Q242" s="10" t="s">
        <v>237</v>
      </c>
      <c r="R242" s="12" t="s">
        <v>240</v>
      </c>
      <c r="S242" s="49">
        <v>4195</v>
      </c>
      <c r="T242" s="51">
        <v>16</v>
      </c>
    </row>
    <row r="243" spans="1:20" x14ac:dyDescent="0.25">
      <c r="A243" s="39" t="s">
        <v>124</v>
      </c>
      <c r="B243" s="12">
        <v>12</v>
      </c>
      <c r="C243" s="43" t="s">
        <v>1242</v>
      </c>
      <c r="D243" s="137" t="s">
        <v>125</v>
      </c>
      <c r="E243" s="138">
        <v>200</v>
      </c>
      <c r="F243" s="51">
        <v>6</v>
      </c>
      <c r="H243" s="10"/>
      <c r="I243" s="11">
        <v>1</v>
      </c>
      <c r="J243" s="36" t="s">
        <v>104</v>
      </c>
      <c r="K243" s="48" t="s">
        <v>80</v>
      </c>
      <c r="L243" s="22"/>
      <c r="M243" s="13"/>
      <c r="O243" s="10"/>
      <c r="P243" s="11"/>
      <c r="Q243" s="32"/>
      <c r="R243" s="12"/>
      <c r="S243" s="21"/>
      <c r="T243" s="24"/>
    </row>
    <row r="244" spans="1:20" ht="45" x14ac:dyDescent="0.25">
      <c r="A244" s="41" t="s">
        <v>126</v>
      </c>
      <c r="B244" s="42">
        <v>1</v>
      </c>
      <c r="C244" s="34" t="s">
        <v>1239</v>
      </c>
      <c r="D244" s="11" t="s">
        <v>129</v>
      </c>
      <c r="E244" s="40" t="s">
        <v>1184</v>
      </c>
      <c r="F244" s="13"/>
      <c r="H244" s="41" t="s">
        <v>312</v>
      </c>
      <c r="I244" s="11">
        <v>1</v>
      </c>
      <c r="J244" s="34" t="s">
        <v>1166</v>
      </c>
      <c r="K244" s="48" t="s">
        <v>80</v>
      </c>
      <c r="L244" s="22"/>
      <c r="M244" s="13"/>
      <c r="O244" s="86" t="s">
        <v>319</v>
      </c>
      <c r="P244" s="48">
        <v>1</v>
      </c>
      <c r="Q244" s="87" t="s">
        <v>320</v>
      </c>
      <c r="R244" s="48" t="s">
        <v>277</v>
      </c>
      <c r="S244" s="21"/>
      <c r="T244" s="24"/>
    </row>
    <row r="245" spans="1:20" x14ac:dyDescent="0.25">
      <c r="A245" s="10" t="s">
        <v>127</v>
      </c>
      <c r="B245" s="11">
        <v>1</v>
      </c>
      <c r="C245" s="10"/>
      <c r="D245" s="11" t="s">
        <v>129</v>
      </c>
      <c r="E245" s="22">
        <v>275</v>
      </c>
      <c r="F245" s="13"/>
      <c r="H245" s="10"/>
      <c r="I245" s="11"/>
      <c r="J245" s="10"/>
      <c r="K245" s="12"/>
      <c r="L245" s="22"/>
      <c r="M245" s="13"/>
      <c r="O245" s="10"/>
      <c r="P245" s="11"/>
      <c r="Q245" s="32"/>
      <c r="R245" s="12"/>
      <c r="S245" s="21"/>
      <c r="T245" s="24"/>
    </row>
    <row r="246" spans="1:20" ht="15.75" x14ac:dyDescent="0.25">
      <c r="A246" s="10"/>
      <c r="B246" s="11"/>
      <c r="C246" s="10"/>
      <c r="D246" s="12"/>
      <c r="E246" s="22"/>
      <c r="F246" s="13"/>
      <c r="H246" s="10"/>
      <c r="I246" s="11"/>
      <c r="J246" s="140" t="s">
        <v>375</v>
      </c>
      <c r="K246" s="12"/>
      <c r="L246" s="22"/>
      <c r="M246" s="13"/>
      <c r="O246" s="591" t="s">
        <v>377</v>
      </c>
      <c r="P246" s="592"/>
      <c r="Q246" s="592"/>
      <c r="R246" s="592"/>
      <c r="S246" s="592"/>
      <c r="T246" s="593"/>
    </row>
    <row r="247" spans="1:20" x14ac:dyDescent="0.25">
      <c r="A247" s="10" t="s">
        <v>128</v>
      </c>
      <c r="B247" s="11">
        <v>1</v>
      </c>
      <c r="C247" s="73" t="s">
        <v>226</v>
      </c>
      <c r="D247" s="11" t="s">
        <v>129</v>
      </c>
      <c r="E247" s="22"/>
      <c r="F247" s="13"/>
      <c r="H247" s="10"/>
      <c r="I247" s="141"/>
      <c r="J247" s="142"/>
      <c r="K247" s="12"/>
      <c r="L247" s="22"/>
      <c r="M247" s="13"/>
      <c r="O247" s="10"/>
      <c r="P247" s="11"/>
      <c r="Q247" s="32"/>
      <c r="R247" s="12"/>
      <c r="S247" s="21"/>
      <c r="T247" s="24"/>
    </row>
    <row r="248" spans="1:20" ht="30" x14ac:dyDescent="0.25">
      <c r="A248" s="33" t="s">
        <v>130</v>
      </c>
      <c r="B248" s="11">
        <v>1</v>
      </c>
      <c r="C248" s="34" t="s">
        <v>1238</v>
      </c>
      <c r="D248" s="42" t="s">
        <v>1237</v>
      </c>
      <c r="E248" s="139">
        <v>800</v>
      </c>
      <c r="F248" s="13"/>
      <c r="H248" s="34" t="s">
        <v>306</v>
      </c>
      <c r="I248" s="84">
        <v>1</v>
      </c>
      <c r="J248" s="85" t="s">
        <v>307</v>
      </c>
      <c r="K248" s="48" t="s">
        <v>29</v>
      </c>
      <c r="L248" s="22"/>
      <c r="M248" s="13"/>
      <c r="O248" s="14" t="s">
        <v>93</v>
      </c>
      <c r="P248" s="12">
        <v>1</v>
      </c>
      <c r="Q248" s="14" t="s">
        <v>92</v>
      </c>
      <c r="R248" s="12"/>
      <c r="S248" s="24"/>
      <c r="T248" s="24"/>
    </row>
    <row r="249" spans="1:20" x14ac:dyDescent="0.25">
      <c r="A249" s="14"/>
      <c r="B249" s="12"/>
      <c r="C249" s="23"/>
      <c r="D249" s="12"/>
      <c r="E249" s="22"/>
      <c r="F249" s="24"/>
      <c r="H249" s="34" t="s">
        <v>31</v>
      </c>
      <c r="I249" s="84">
        <v>8</v>
      </c>
      <c r="J249" s="85" t="s">
        <v>308</v>
      </c>
      <c r="K249" s="48" t="s">
        <v>29</v>
      </c>
      <c r="L249" s="21"/>
      <c r="M249" s="13"/>
      <c r="O249" s="14" t="s">
        <v>93</v>
      </c>
      <c r="P249" s="12">
        <v>1</v>
      </c>
      <c r="Q249" s="14" t="s">
        <v>94</v>
      </c>
      <c r="R249" s="12"/>
      <c r="S249" s="24"/>
      <c r="T249" s="24"/>
    </row>
    <row r="250" spans="1:20" x14ac:dyDescent="0.25">
      <c r="A250" s="10" t="s">
        <v>205</v>
      </c>
      <c r="B250" s="52">
        <v>2</v>
      </c>
      <c r="C250" s="34" t="s">
        <v>206</v>
      </c>
      <c r="D250" s="52" t="s">
        <v>129</v>
      </c>
      <c r="E250" s="139">
        <v>143</v>
      </c>
      <c r="F250" s="24"/>
      <c r="H250" s="34" t="s">
        <v>31</v>
      </c>
      <c r="I250" s="84">
        <v>2</v>
      </c>
      <c r="J250" s="85" t="s">
        <v>309</v>
      </c>
      <c r="K250" s="48" t="s">
        <v>29</v>
      </c>
      <c r="L250" s="15"/>
      <c r="M250" s="13"/>
    </row>
    <row r="251" spans="1:20" ht="30" x14ac:dyDescent="0.25">
      <c r="A251" s="10"/>
      <c r="B251" s="52">
        <v>1</v>
      </c>
      <c r="C251" s="36" t="s">
        <v>571</v>
      </c>
      <c r="D251" s="52" t="s">
        <v>91</v>
      </c>
      <c r="E251" s="139">
        <f>B251*1100</f>
        <v>1100</v>
      </c>
      <c r="F251" s="24"/>
      <c r="H251" s="34" t="s">
        <v>310</v>
      </c>
      <c r="I251" s="84">
        <v>4</v>
      </c>
      <c r="J251" s="85" t="s">
        <v>311</v>
      </c>
      <c r="K251" s="48" t="s">
        <v>84</v>
      </c>
      <c r="L251" s="15"/>
      <c r="M251" s="13"/>
      <c r="O251" s="36" t="s">
        <v>259</v>
      </c>
      <c r="P251" s="52">
        <v>2</v>
      </c>
      <c r="Q251" s="36" t="s">
        <v>260</v>
      </c>
      <c r="R251" s="52" t="s">
        <v>261</v>
      </c>
      <c r="S251" s="21"/>
      <c r="T251" s="24"/>
    </row>
    <row r="252" spans="1:20" ht="30" x14ac:dyDescent="0.25">
      <c r="A252" s="10"/>
      <c r="B252" s="11"/>
      <c r="C252" s="10"/>
      <c r="D252" s="12"/>
      <c r="E252" s="22"/>
      <c r="F252" s="13"/>
      <c r="H252" s="34" t="s">
        <v>312</v>
      </c>
      <c r="I252" s="84">
        <v>40</v>
      </c>
      <c r="J252" s="85" t="s">
        <v>1167</v>
      </c>
      <c r="K252" s="48" t="s">
        <v>84</v>
      </c>
      <c r="L252" s="15"/>
      <c r="M252" s="13"/>
      <c r="O252" s="36" t="s">
        <v>262</v>
      </c>
      <c r="P252" s="52">
        <v>2</v>
      </c>
      <c r="Q252" s="36" t="s">
        <v>263</v>
      </c>
      <c r="R252" s="52" t="s">
        <v>261</v>
      </c>
      <c r="S252" s="25"/>
      <c r="T252" s="13"/>
    </row>
    <row r="253" spans="1:20" ht="30" x14ac:dyDescent="0.25">
      <c r="A253" s="591" t="s">
        <v>372</v>
      </c>
      <c r="B253" s="592"/>
      <c r="C253" s="592"/>
      <c r="D253" s="592"/>
      <c r="E253" s="592"/>
      <c r="F253" s="593"/>
      <c r="H253" s="10"/>
      <c r="I253" s="11"/>
      <c r="J253" s="32"/>
      <c r="K253" s="12"/>
      <c r="L253" s="21"/>
      <c r="M253" s="24"/>
      <c r="O253" s="36" t="s">
        <v>264</v>
      </c>
      <c r="P253" s="52">
        <v>2</v>
      </c>
      <c r="Q253" s="36" t="s">
        <v>265</v>
      </c>
      <c r="R253" s="52" t="s">
        <v>261</v>
      </c>
      <c r="S253" s="22"/>
      <c r="T253" s="13"/>
    </row>
    <row r="254" spans="1:20" x14ac:dyDescent="0.25">
      <c r="A254" s="10"/>
      <c r="B254" s="11"/>
      <c r="C254" s="10"/>
      <c r="D254" s="12"/>
      <c r="E254" s="22"/>
      <c r="F254" s="13"/>
      <c r="O254" s="10"/>
      <c r="P254" s="11"/>
      <c r="Q254" s="10"/>
      <c r="R254" s="12"/>
      <c r="S254" s="22"/>
      <c r="T254" s="13"/>
    </row>
    <row r="255" spans="1:20" ht="45" x14ac:dyDescent="0.25">
      <c r="A255" s="36" t="s">
        <v>290</v>
      </c>
      <c r="B255" s="52">
        <v>1</v>
      </c>
      <c r="C255" s="36" t="s">
        <v>291</v>
      </c>
      <c r="D255" s="48" t="s">
        <v>84</v>
      </c>
      <c r="E255" s="22"/>
      <c r="F255" s="13"/>
      <c r="H255" s="546" t="s">
        <v>590</v>
      </c>
      <c r="I255" s="546"/>
      <c r="J255" s="546"/>
      <c r="K255" s="546"/>
      <c r="L255" s="546"/>
      <c r="O255" s="591" t="s">
        <v>378</v>
      </c>
      <c r="P255" s="592"/>
      <c r="Q255" s="592"/>
      <c r="R255" s="592"/>
      <c r="S255" s="592"/>
      <c r="T255" s="593"/>
    </row>
    <row r="256" spans="1:20" ht="60" x14ac:dyDescent="0.25">
      <c r="A256" s="36" t="s">
        <v>292</v>
      </c>
      <c r="B256" s="52">
        <v>1</v>
      </c>
      <c r="C256" s="36" t="s">
        <v>293</v>
      </c>
      <c r="D256" s="48" t="s">
        <v>84</v>
      </c>
      <c r="E256" s="22"/>
      <c r="F256" s="13"/>
      <c r="H256" s="546"/>
      <c r="I256" s="546"/>
      <c r="J256" s="546"/>
      <c r="K256" s="546"/>
      <c r="L256" s="546"/>
      <c r="O256" s="10"/>
      <c r="P256" s="11"/>
      <c r="Q256" s="10"/>
      <c r="R256" s="12"/>
      <c r="S256" s="21"/>
      <c r="T256" s="13"/>
    </row>
    <row r="257" spans="1:20" ht="30" customHeight="1" x14ac:dyDescent="0.25">
      <c r="A257" s="10"/>
      <c r="B257" s="11"/>
      <c r="C257" s="10"/>
      <c r="D257" s="12"/>
      <c r="E257" s="22"/>
      <c r="F257" s="13"/>
      <c r="H257" s="546"/>
      <c r="I257" s="546"/>
      <c r="J257" s="546"/>
      <c r="K257" s="546"/>
      <c r="L257" s="546"/>
      <c r="O257" s="33" t="s">
        <v>233</v>
      </c>
      <c r="P257" s="11">
        <v>1</v>
      </c>
      <c r="Q257" s="10" t="s">
        <v>234</v>
      </c>
      <c r="R257" s="12" t="s">
        <v>84</v>
      </c>
      <c r="S257" s="83">
        <v>550</v>
      </c>
      <c r="T257" s="51">
        <v>3</v>
      </c>
    </row>
    <row r="258" spans="1:20" ht="30" customHeight="1" x14ac:dyDescent="0.25">
      <c r="A258" s="33" t="s">
        <v>110</v>
      </c>
      <c r="B258" s="11">
        <v>1</v>
      </c>
      <c r="C258" s="36" t="s">
        <v>106</v>
      </c>
      <c r="D258" s="12"/>
      <c r="E258" s="22"/>
      <c r="F258" s="24"/>
      <c r="H258" s="546"/>
      <c r="I258" s="546"/>
      <c r="J258" s="546"/>
      <c r="K258" s="546"/>
      <c r="L258" s="546"/>
    </row>
    <row r="259" spans="1:20" ht="45" customHeight="1" x14ac:dyDescent="0.25">
      <c r="A259" s="33" t="s">
        <v>111</v>
      </c>
      <c r="B259" s="11">
        <v>1</v>
      </c>
      <c r="C259" s="36" t="s">
        <v>107</v>
      </c>
      <c r="D259" s="12"/>
      <c r="E259" s="22"/>
      <c r="F259" s="24"/>
      <c r="H259" s="546"/>
      <c r="I259" s="546"/>
      <c r="J259" s="546"/>
      <c r="K259" s="546"/>
      <c r="L259" s="546"/>
    </row>
    <row r="260" spans="1:20" ht="30" customHeight="1" x14ac:dyDescent="0.25">
      <c r="A260" s="33" t="s">
        <v>112</v>
      </c>
      <c r="B260" s="11">
        <v>1</v>
      </c>
      <c r="C260" s="36" t="s">
        <v>108</v>
      </c>
      <c r="D260" s="12"/>
      <c r="E260" s="21"/>
      <c r="F260" s="24"/>
    </row>
    <row r="261" spans="1:20" ht="15" customHeight="1" x14ac:dyDescent="0.25">
      <c r="A261" s="10"/>
      <c r="B261" s="11"/>
      <c r="C261" s="32"/>
      <c r="D261" s="12"/>
      <c r="E261" s="21"/>
      <c r="F261" s="24"/>
    </row>
    <row r="269" spans="1:20" x14ac:dyDescent="0.25">
      <c r="A269" s="29"/>
      <c r="B269" s="30"/>
      <c r="C269" s="31"/>
      <c r="D269" s="31"/>
      <c r="E269" s="31"/>
      <c r="F269" s="31"/>
    </row>
    <row r="270" spans="1:20" x14ac:dyDescent="0.25">
      <c r="A270" s="583"/>
      <c r="B270" s="584"/>
      <c r="C270" s="584"/>
      <c r="D270" s="584"/>
      <c r="E270" s="584"/>
      <c r="F270" s="585"/>
    </row>
    <row r="271" spans="1:20" x14ac:dyDescent="0.25">
      <c r="A271" s="583" t="s">
        <v>266</v>
      </c>
      <c r="B271" s="584"/>
      <c r="C271" s="584"/>
      <c r="D271" s="584"/>
      <c r="E271" s="584"/>
      <c r="F271" s="585"/>
    </row>
    <row r="272" spans="1:20" x14ac:dyDescent="0.25">
      <c r="A272" s="583" t="s">
        <v>267</v>
      </c>
      <c r="B272" s="584"/>
      <c r="C272" s="584"/>
      <c r="D272" s="584"/>
      <c r="E272" s="584"/>
      <c r="F272" s="585"/>
    </row>
    <row r="273" spans="1:12" ht="15" customHeight="1" x14ac:dyDescent="0.25">
      <c r="A273" s="583" t="s">
        <v>268</v>
      </c>
      <c r="B273" s="584"/>
      <c r="C273" s="584"/>
      <c r="D273" s="584"/>
      <c r="E273" s="584"/>
      <c r="F273" s="585"/>
      <c r="H273" s="546" t="s">
        <v>590</v>
      </c>
      <c r="I273" s="546"/>
      <c r="J273" s="546"/>
      <c r="K273" s="205"/>
      <c r="L273" s="205"/>
    </row>
    <row r="274" spans="1:12" ht="15" customHeight="1" x14ac:dyDescent="0.25">
      <c r="A274" s="583"/>
      <c r="B274" s="584"/>
      <c r="C274" s="584"/>
      <c r="D274" s="584"/>
      <c r="E274" s="584"/>
      <c r="F274" s="585"/>
      <c r="H274" s="546"/>
      <c r="I274" s="546"/>
      <c r="J274" s="546"/>
      <c r="K274" s="205"/>
      <c r="L274" s="205"/>
    </row>
    <row r="275" spans="1:12" ht="15" customHeight="1" x14ac:dyDescent="0.25">
      <c r="A275" s="583" t="s">
        <v>269</v>
      </c>
      <c r="B275" s="584"/>
      <c r="C275" s="584"/>
      <c r="D275" s="584"/>
      <c r="E275" s="584"/>
      <c r="F275" s="585"/>
      <c r="H275" s="546"/>
      <c r="I275" s="546"/>
      <c r="J275" s="546"/>
      <c r="K275" s="205"/>
      <c r="L275" s="205"/>
    </row>
    <row r="276" spans="1:12" ht="15" customHeight="1" x14ac:dyDescent="0.25">
      <c r="A276" s="583"/>
      <c r="B276" s="584"/>
      <c r="C276" s="584"/>
      <c r="D276" s="584"/>
      <c r="E276" s="584"/>
      <c r="F276" s="585"/>
      <c r="H276" s="546"/>
      <c r="I276" s="546"/>
      <c r="J276" s="546"/>
      <c r="K276" s="205"/>
      <c r="L276" s="205"/>
    </row>
    <row r="277" spans="1:12" ht="15" customHeight="1" x14ac:dyDescent="0.25">
      <c r="A277" s="588" t="s">
        <v>271</v>
      </c>
      <c r="B277" s="589"/>
      <c r="C277" s="589"/>
      <c r="D277" s="589"/>
      <c r="E277" s="589"/>
      <c r="F277" s="590"/>
      <c r="H277" s="546"/>
      <c r="I277" s="546"/>
      <c r="J277" s="546"/>
      <c r="K277" s="205"/>
      <c r="L277" s="205"/>
    </row>
    <row r="278" spans="1:12" x14ac:dyDescent="0.25">
      <c r="A278" s="588" t="s">
        <v>272</v>
      </c>
      <c r="B278" s="589"/>
      <c r="C278" s="589"/>
      <c r="D278" s="589"/>
      <c r="E278" s="589"/>
      <c r="F278" s="590"/>
      <c r="H278" s="546"/>
      <c r="I278" s="546"/>
      <c r="J278" s="546"/>
    </row>
    <row r="279" spans="1:12" x14ac:dyDescent="0.25">
      <c r="A279" s="588"/>
      <c r="B279" s="589"/>
      <c r="C279" s="589"/>
      <c r="D279" s="589"/>
      <c r="E279" s="589"/>
      <c r="F279" s="590"/>
    </row>
    <row r="280" spans="1:12" x14ac:dyDescent="0.25">
      <c r="A280" s="583" t="s">
        <v>355</v>
      </c>
      <c r="B280" s="584"/>
      <c r="C280" s="584"/>
      <c r="D280" s="584"/>
      <c r="E280" s="584"/>
      <c r="F280" s="585"/>
    </row>
    <row r="281" spans="1:12" x14ac:dyDescent="0.25">
      <c r="A281" s="583"/>
      <c r="B281" s="584"/>
      <c r="C281" s="584"/>
      <c r="D281" s="584"/>
      <c r="E281" s="584"/>
      <c r="F281" s="585"/>
    </row>
    <row r="282" spans="1:12" x14ac:dyDescent="0.25">
      <c r="A282" s="583" t="s">
        <v>276</v>
      </c>
      <c r="B282" s="584"/>
      <c r="C282" s="584"/>
      <c r="D282" s="584"/>
      <c r="E282" s="584"/>
      <c r="F282" s="585"/>
    </row>
    <row r="283" spans="1:12" x14ac:dyDescent="0.25">
      <c r="A283" s="583"/>
      <c r="B283" s="584"/>
      <c r="C283" s="584"/>
      <c r="D283" s="584"/>
      <c r="E283" s="584"/>
      <c r="F283" s="585"/>
    </row>
    <row r="284" spans="1:12" x14ac:dyDescent="0.25">
      <c r="A284" s="583" t="s">
        <v>441</v>
      </c>
      <c r="B284" s="584"/>
      <c r="C284" s="584"/>
      <c r="D284" s="584"/>
      <c r="E284" s="584"/>
      <c r="F284" s="585"/>
    </row>
    <row r="285" spans="1:12" x14ac:dyDescent="0.25">
      <c r="A285" s="583"/>
      <c r="B285" s="584"/>
      <c r="C285" s="584"/>
      <c r="D285" s="584"/>
      <c r="E285" s="584"/>
      <c r="F285" s="585"/>
    </row>
    <row r="286" spans="1:12" x14ac:dyDescent="0.25">
      <c r="A286" s="583"/>
      <c r="B286" s="584"/>
      <c r="C286" s="584"/>
      <c r="D286" s="584"/>
      <c r="E286" s="584"/>
      <c r="F286" s="585"/>
    </row>
    <row r="287" spans="1:12" x14ac:dyDescent="0.25">
      <c r="A287" s="583"/>
      <c r="B287" s="584"/>
      <c r="C287" s="584"/>
      <c r="D287" s="584"/>
      <c r="E287" s="584"/>
      <c r="F287" s="585"/>
    </row>
    <row r="288" spans="1:12" x14ac:dyDescent="0.25">
      <c r="A288" s="1"/>
      <c r="B288" s="1"/>
    </row>
    <row r="289" spans="1:3" x14ac:dyDescent="0.25">
      <c r="A289" s="1" t="s">
        <v>579</v>
      </c>
      <c r="B289" s="586" t="s">
        <v>729</v>
      </c>
      <c r="C289" s="586"/>
    </row>
    <row r="290" spans="1:3" x14ac:dyDescent="0.25">
      <c r="A290" s="1" t="s">
        <v>580</v>
      </c>
      <c r="B290" s="587" t="s">
        <v>728</v>
      </c>
      <c r="C290" s="587"/>
    </row>
    <row r="306" spans="1:48" ht="15.75" thickBot="1" x14ac:dyDescent="0.3">
      <c r="A306" s="207"/>
      <c r="B306" s="207"/>
      <c r="C306" s="207"/>
      <c r="D306" s="207"/>
      <c r="E306" s="207"/>
      <c r="F306" s="207"/>
    </row>
    <row r="307" spans="1:48" x14ac:dyDescent="0.25">
      <c r="A307" s="208" t="s">
        <v>277</v>
      </c>
      <c r="B307" s="208" t="s">
        <v>157</v>
      </c>
      <c r="C307" s="207">
        <v>120</v>
      </c>
      <c r="D307" s="209">
        <f>'Plate Price'!$C$8</f>
        <v>0.66</v>
      </c>
      <c r="E307" s="207"/>
      <c r="F307" s="207"/>
      <c r="G307" s="178" t="s">
        <v>461</v>
      </c>
      <c r="H307" s="179" t="s">
        <v>457</v>
      </c>
      <c r="I307" s="179" t="s">
        <v>209</v>
      </c>
      <c r="J307" s="179" t="s">
        <v>458</v>
      </c>
      <c r="K307" s="180" t="s">
        <v>460</v>
      </c>
      <c r="L307" s="207" t="s">
        <v>461</v>
      </c>
      <c r="M307" s="207" t="s">
        <v>458</v>
      </c>
      <c r="N307" s="207" t="s">
        <v>460</v>
      </c>
      <c r="O307" s="207" t="s">
        <v>462</v>
      </c>
      <c r="P307" s="207">
        <v>144</v>
      </c>
      <c r="Q307" s="207" t="s">
        <v>459</v>
      </c>
      <c r="R307" s="207"/>
      <c r="S307" s="207"/>
      <c r="T307" s="207"/>
      <c r="U307" s="207"/>
      <c r="V307" s="207"/>
      <c r="W307" s="208" t="s">
        <v>277</v>
      </c>
      <c r="X307" s="210" t="s">
        <v>463</v>
      </c>
      <c r="Y307" s="207">
        <v>120</v>
      </c>
      <c r="Z307" s="209">
        <f>D304</f>
        <v>0</v>
      </c>
      <c r="AA307" s="207">
        <v>120</v>
      </c>
      <c r="AB307" s="209">
        <f>Z307</f>
        <v>0</v>
      </c>
      <c r="AC307" s="208" t="s">
        <v>91</v>
      </c>
      <c r="AD307" s="210" t="s">
        <v>466</v>
      </c>
      <c r="AE307" s="207">
        <v>60</v>
      </c>
      <c r="AF307" s="209">
        <f>D312</f>
        <v>0.49</v>
      </c>
      <c r="AG307" s="207">
        <v>60</v>
      </c>
      <c r="AH307" s="209">
        <f>AF307</f>
        <v>0.49</v>
      </c>
      <c r="AI307" s="208" t="s">
        <v>84</v>
      </c>
      <c r="AJ307" s="210" t="s">
        <v>466</v>
      </c>
      <c r="AK307" s="207">
        <v>60</v>
      </c>
      <c r="AL307" s="209">
        <f>D321</f>
        <v>1.58</v>
      </c>
      <c r="AM307" s="207">
        <v>72</v>
      </c>
      <c r="AN307" s="209">
        <f>D329</f>
        <v>0</v>
      </c>
      <c r="AO307" s="208" t="s">
        <v>80</v>
      </c>
      <c r="AP307" s="210" t="s">
        <v>466</v>
      </c>
      <c r="AQ307" s="207">
        <v>60</v>
      </c>
      <c r="AR307" s="209">
        <f>D334</f>
        <v>2.4500000000000002</v>
      </c>
      <c r="AS307" s="207">
        <v>72</v>
      </c>
      <c r="AT307" s="209">
        <f>D339</f>
        <v>0</v>
      </c>
      <c r="AU307" s="207"/>
    </row>
    <row r="308" spans="1:48" ht="15.75" thickBot="1" x14ac:dyDescent="0.3">
      <c r="A308" s="208" t="s">
        <v>277</v>
      </c>
      <c r="B308" s="208" t="s">
        <v>211</v>
      </c>
      <c r="C308" s="207">
        <v>120</v>
      </c>
      <c r="D308" s="209">
        <f>'Plate Price'!$C$9</f>
        <v>0.77</v>
      </c>
      <c r="E308" s="207"/>
      <c r="F308" s="207"/>
      <c r="G308" s="181">
        <v>2</v>
      </c>
      <c r="H308" s="182" t="s">
        <v>91</v>
      </c>
      <c r="I308" s="182" t="s">
        <v>469</v>
      </c>
      <c r="J308" s="182">
        <v>48</v>
      </c>
      <c r="K308" s="115">
        <v>96</v>
      </c>
      <c r="L308" s="207">
        <f>G308</f>
        <v>2</v>
      </c>
      <c r="M308" s="207">
        <f>J308</f>
        <v>48</v>
      </c>
      <c r="N308" s="207">
        <f>K308</f>
        <v>96</v>
      </c>
      <c r="O308" s="207">
        <f>VLOOKUP(I308,S:U,IF(H308="sa516-70",3,IF(H308="sa36",3,IF(H308="SA240-304/304L",2,IF(H308="SA240-316/316L",2)))),FALSE)</f>
        <v>25.53</v>
      </c>
      <c r="P308" s="207">
        <v>144</v>
      </c>
      <c r="Q308" s="207">
        <f>VLOOKUP(I308,IF(H308="SA36",AD:AH, IF(H308="SA516-70",X:AB, IF(H308="SA240-304/304L",AJ:AN, IF(H308="SA240-316/316L",AP:AT)))),IF(M308&lt;60.1,3,5),FALSE)</f>
        <v>0.56999999999999995</v>
      </c>
      <c r="R308" s="207"/>
      <c r="S308" s="207"/>
      <c r="T308" s="207"/>
      <c r="U308" s="207"/>
      <c r="V308" s="207"/>
      <c r="W308" s="208" t="s">
        <v>277</v>
      </c>
      <c r="X308" s="210" t="s">
        <v>464</v>
      </c>
      <c r="Y308" s="207">
        <v>120</v>
      </c>
      <c r="Z308" s="209">
        <f t="shared" ref="Z308:Z314" si="84">D305</f>
        <v>0</v>
      </c>
      <c r="AA308" s="207">
        <v>120</v>
      </c>
      <c r="AB308" s="209">
        <f t="shared" ref="AB308:AB314" si="85">Z308</f>
        <v>0</v>
      </c>
      <c r="AC308" s="208" t="s">
        <v>91</v>
      </c>
      <c r="AD308" s="210" t="s">
        <v>463</v>
      </c>
      <c r="AE308" s="207">
        <v>60</v>
      </c>
      <c r="AF308" s="209">
        <f t="shared" ref="AF308:AF315" si="86">D313</f>
        <v>0.49</v>
      </c>
      <c r="AG308" s="207">
        <v>60</v>
      </c>
      <c r="AH308" s="209">
        <f t="shared" ref="AH308:AH315" si="87">AF308</f>
        <v>0.49</v>
      </c>
      <c r="AI308" s="208" t="s">
        <v>84</v>
      </c>
      <c r="AJ308" s="210" t="s">
        <v>463</v>
      </c>
      <c r="AK308" s="207">
        <v>60</v>
      </c>
      <c r="AL308" s="209">
        <f t="shared" ref="AL308:AL314" si="88">D322</f>
        <v>1.58</v>
      </c>
      <c r="AM308" s="207">
        <v>72</v>
      </c>
      <c r="AN308" s="209">
        <f t="shared" ref="AN308:AN311" si="89">D330</f>
        <v>1.89</v>
      </c>
      <c r="AO308" s="208" t="s">
        <v>80</v>
      </c>
      <c r="AP308" s="210" t="s">
        <v>463</v>
      </c>
      <c r="AQ308" s="207">
        <v>60</v>
      </c>
      <c r="AR308" s="209">
        <f t="shared" ref="AR308:AR311" si="90">D335</f>
        <v>2.4500000000000002</v>
      </c>
      <c r="AS308" s="207">
        <v>72</v>
      </c>
      <c r="AT308" s="209">
        <f t="shared" ref="AT308:AT311" si="91">D340</f>
        <v>0</v>
      </c>
      <c r="AU308" s="207"/>
    </row>
    <row r="309" spans="1:48" x14ac:dyDescent="0.25">
      <c r="A309" s="208" t="s">
        <v>277</v>
      </c>
      <c r="B309" s="208" t="s">
        <v>212</v>
      </c>
      <c r="C309" s="207">
        <v>120</v>
      </c>
      <c r="D309" s="209">
        <f>'Plate Price'!$C$10</f>
        <v>0</v>
      </c>
      <c r="E309" s="207"/>
      <c r="F309" s="207"/>
      <c r="L309" s="207"/>
      <c r="M309" s="207"/>
      <c r="N309" s="207"/>
      <c r="O309" s="207"/>
      <c r="P309" s="207"/>
      <c r="Q309" s="207"/>
      <c r="R309" s="207"/>
      <c r="S309" s="210" t="s">
        <v>466</v>
      </c>
      <c r="T309" s="207">
        <v>8.58</v>
      </c>
      <c r="U309" s="207">
        <v>7.66</v>
      </c>
      <c r="V309" s="207"/>
      <c r="W309" s="208" t="s">
        <v>277</v>
      </c>
      <c r="X309" s="210" t="s">
        <v>467</v>
      </c>
      <c r="Y309" s="207">
        <v>120</v>
      </c>
      <c r="Z309" s="209">
        <f t="shared" si="84"/>
        <v>0</v>
      </c>
      <c r="AA309" s="207">
        <v>120</v>
      </c>
      <c r="AB309" s="209">
        <f t="shared" si="85"/>
        <v>0</v>
      </c>
      <c r="AC309" s="208" t="s">
        <v>91</v>
      </c>
      <c r="AD309" s="210" t="s">
        <v>464</v>
      </c>
      <c r="AE309" s="207">
        <v>60</v>
      </c>
      <c r="AF309" s="209">
        <f t="shared" si="86"/>
        <v>0.52</v>
      </c>
      <c r="AG309" s="207">
        <v>60</v>
      </c>
      <c r="AH309" s="209">
        <f t="shared" si="87"/>
        <v>0.52</v>
      </c>
      <c r="AI309" s="208" t="s">
        <v>84</v>
      </c>
      <c r="AJ309" s="210" t="s">
        <v>464</v>
      </c>
      <c r="AK309" s="207">
        <v>60</v>
      </c>
      <c r="AL309" s="209">
        <f t="shared" si="88"/>
        <v>1.65</v>
      </c>
      <c r="AM309" s="207">
        <v>72</v>
      </c>
      <c r="AN309" s="209">
        <f t="shared" si="89"/>
        <v>0</v>
      </c>
      <c r="AO309" s="208" t="s">
        <v>80</v>
      </c>
      <c r="AP309" s="210" t="s">
        <v>464</v>
      </c>
      <c r="AQ309" s="207">
        <v>60</v>
      </c>
      <c r="AR309" s="209">
        <f t="shared" si="90"/>
        <v>2.69</v>
      </c>
      <c r="AS309" s="207">
        <v>72</v>
      </c>
      <c r="AT309" s="209">
        <f t="shared" si="91"/>
        <v>0</v>
      </c>
      <c r="AU309" s="207"/>
    </row>
    <row r="310" spans="1:48" ht="15.75" thickBot="1" x14ac:dyDescent="0.3">
      <c r="A310" s="208" t="s">
        <v>277</v>
      </c>
      <c r="B310" s="208" t="s">
        <v>213</v>
      </c>
      <c r="C310" s="207">
        <v>120</v>
      </c>
      <c r="D310" s="209">
        <f>'Plate Price'!$C$11</f>
        <v>0</v>
      </c>
      <c r="E310" s="207"/>
      <c r="F310" s="207"/>
      <c r="L310" s="207"/>
      <c r="M310" s="207"/>
      <c r="N310" s="207"/>
      <c r="O310" s="207"/>
      <c r="P310" s="207"/>
      <c r="Q310" s="207"/>
      <c r="R310" s="207"/>
      <c r="S310" s="210" t="s">
        <v>463</v>
      </c>
      <c r="T310" s="207">
        <v>11.16</v>
      </c>
      <c r="U310" s="207">
        <v>10.210000000000001</v>
      </c>
      <c r="V310" s="207"/>
      <c r="W310" s="208" t="s">
        <v>277</v>
      </c>
      <c r="X310" s="210" t="s">
        <v>468</v>
      </c>
      <c r="Y310" s="207">
        <v>120</v>
      </c>
      <c r="Z310" s="209">
        <f t="shared" si="84"/>
        <v>0.66</v>
      </c>
      <c r="AA310" s="207">
        <v>120</v>
      </c>
      <c r="AB310" s="209">
        <f t="shared" si="85"/>
        <v>0.66</v>
      </c>
      <c r="AC310" s="208" t="s">
        <v>91</v>
      </c>
      <c r="AD310" s="210" t="s">
        <v>467</v>
      </c>
      <c r="AE310" s="207">
        <v>60</v>
      </c>
      <c r="AF310" s="209">
        <f t="shared" si="86"/>
        <v>0.52</v>
      </c>
      <c r="AG310" s="207">
        <v>60</v>
      </c>
      <c r="AH310" s="209">
        <f t="shared" si="87"/>
        <v>0.52</v>
      </c>
      <c r="AI310" s="208" t="s">
        <v>84</v>
      </c>
      <c r="AJ310" s="210" t="s">
        <v>467</v>
      </c>
      <c r="AK310" s="207">
        <v>60</v>
      </c>
      <c r="AL310" s="209">
        <f t="shared" si="88"/>
        <v>1.74</v>
      </c>
      <c r="AM310" s="207">
        <v>72</v>
      </c>
      <c r="AN310" s="209">
        <f t="shared" si="89"/>
        <v>0</v>
      </c>
      <c r="AO310" s="208" t="s">
        <v>80</v>
      </c>
      <c r="AP310" s="210" t="s">
        <v>467</v>
      </c>
      <c r="AQ310" s="207">
        <v>60</v>
      </c>
      <c r="AR310" s="209">
        <f t="shared" si="90"/>
        <v>2.4900000000000002</v>
      </c>
      <c r="AS310" s="207">
        <v>72</v>
      </c>
      <c r="AT310" s="209">
        <f t="shared" si="91"/>
        <v>0</v>
      </c>
      <c r="AU310" s="207"/>
    </row>
    <row r="311" spans="1:48" ht="15.75" thickBot="1" x14ac:dyDescent="0.3">
      <c r="A311" s="208" t="s">
        <v>277</v>
      </c>
      <c r="B311" s="208" t="s">
        <v>214</v>
      </c>
      <c r="C311" s="207">
        <v>120</v>
      </c>
      <c r="D311" s="209">
        <f>'Plate Price'!$C$12</f>
        <v>0</v>
      </c>
      <c r="E311" s="207"/>
      <c r="F311" s="207"/>
      <c r="G311" s="542" t="s">
        <v>459</v>
      </c>
      <c r="H311" s="543"/>
      <c r="I311" s="544">
        <f>IFERROR(L308*M308*N308*(O308/P308)*Q308," ")</f>
        <v>931.33439999999996</v>
      </c>
      <c r="J311" s="544"/>
      <c r="K311" s="545"/>
      <c r="L311" s="207"/>
      <c r="M311" s="207"/>
      <c r="N311" s="207"/>
      <c r="O311" s="207"/>
      <c r="P311" s="207"/>
      <c r="Q311" s="207"/>
      <c r="R311" s="207"/>
      <c r="S311" s="210" t="s">
        <v>464</v>
      </c>
      <c r="T311" s="207">
        <v>13.75</v>
      </c>
      <c r="U311" s="207">
        <v>12.76</v>
      </c>
      <c r="V311" s="207"/>
      <c r="W311" s="208" t="s">
        <v>277</v>
      </c>
      <c r="X311" s="210" t="s">
        <v>469</v>
      </c>
      <c r="Y311" s="207">
        <v>120</v>
      </c>
      <c r="Z311" s="209">
        <f t="shared" si="84"/>
        <v>0.77</v>
      </c>
      <c r="AA311" s="207">
        <v>120</v>
      </c>
      <c r="AB311" s="209">
        <f t="shared" si="85"/>
        <v>0.77</v>
      </c>
      <c r="AC311" s="208" t="s">
        <v>91</v>
      </c>
      <c r="AD311" s="210" t="s">
        <v>468</v>
      </c>
      <c r="AE311" s="207">
        <v>60</v>
      </c>
      <c r="AF311" s="209">
        <f t="shared" si="86"/>
        <v>0.49</v>
      </c>
      <c r="AG311" s="207">
        <v>60</v>
      </c>
      <c r="AH311" s="209">
        <f t="shared" si="87"/>
        <v>0.49</v>
      </c>
      <c r="AI311" s="208" t="s">
        <v>84</v>
      </c>
      <c r="AJ311" s="210" t="s">
        <v>468</v>
      </c>
      <c r="AK311" s="207">
        <v>60</v>
      </c>
      <c r="AL311" s="209">
        <f t="shared" si="88"/>
        <v>1.98</v>
      </c>
      <c r="AM311" s="207">
        <v>72</v>
      </c>
      <c r="AN311" s="209">
        <f t="shared" si="89"/>
        <v>0</v>
      </c>
      <c r="AO311" s="208" t="s">
        <v>80</v>
      </c>
      <c r="AP311" s="210" t="s">
        <v>468</v>
      </c>
      <c r="AQ311" s="207">
        <v>60</v>
      </c>
      <c r="AR311" s="209">
        <f t="shared" si="90"/>
        <v>2.71</v>
      </c>
      <c r="AS311" s="207">
        <v>72</v>
      </c>
      <c r="AT311" s="209">
        <f t="shared" si="91"/>
        <v>0</v>
      </c>
      <c r="AU311" s="207"/>
      <c r="AV311" s="207"/>
    </row>
    <row r="312" spans="1:48" x14ac:dyDescent="0.25">
      <c r="A312" s="208" t="s">
        <v>91</v>
      </c>
      <c r="B312" s="208" t="s">
        <v>151</v>
      </c>
      <c r="C312" s="207">
        <v>60</v>
      </c>
      <c r="D312" s="209">
        <f>'Plate Price'!$C$31</f>
        <v>0.49</v>
      </c>
      <c r="E312" s="207"/>
      <c r="F312" s="207"/>
      <c r="L312" s="207"/>
      <c r="M312" s="207"/>
      <c r="N312" s="207"/>
      <c r="O312" s="207"/>
      <c r="P312" s="207"/>
      <c r="Q312" s="207"/>
      <c r="R312" s="207"/>
      <c r="S312" s="210" t="s">
        <v>467</v>
      </c>
      <c r="T312" s="207">
        <v>16.5</v>
      </c>
      <c r="U312" s="207">
        <v>15.32</v>
      </c>
      <c r="V312" s="207"/>
      <c r="W312" s="208" t="s">
        <v>277</v>
      </c>
      <c r="X312" s="210" t="s">
        <v>470</v>
      </c>
      <c r="Y312" s="207">
        <v>120</v>
      </c>
      <c r="Z312" s="209">
        <f t="shared" si="84"/>
        <v>0</v>
      </c>
      <c r="AA312" s="207">
        <v>120</v>
      </c>
      <c r="AB312" s="209">
        <f t="shared" si="85"/>
        <v>0</v>
      </c>
      <c r="AC312" s="208" t="s">
        <v>91</v>
      </c>
      <c r="AD312" s="210" t="s">
        <v>469</v>
      </c>
      <c r="AE312" s="207">
        <v>60</v>
      </c>
      <c r="AF312" s="209">
        <f t="shared" si="86"/>
        <v>0.56999999999999995</v>
      </c>
      <c r="AG312" s="207">
        <v>60</v>
      </c>
      <c r="AH312" s="209">
        <f t="shared" si="87"/>
        <v>0.56999999999999995</v>
      </c>
      <c r="AI312" s="208" t="s">
        <v>84</v>
      </c>
      <c r="AJ312" s="210" t="s">
        <v>469</v>
      </c>
      <c r="AK312" s="207">
        <v>60</v>
      </c>
      <c r="AL312" s="209">
        <f t="shared" si="88"/>
        <v>2.04</v>
      </c>
      <c r="AM312" s="207"/>
      <c r="AN312" s="207"/>
      <c r="AO312" s="207"/>
      <c r="AP312" s="207"/>
      <c r="AQ312" s="207"/>
      <c r="AR312" s="207"/>
      <c r="AS312" s="207"/>
      <c r="AT312" s="207"/>
      <c r="AU312" s="207"/>
      <c r="AV312" s="207"/>
    </row>
    <row r="313" spans="1:48" x14ac:dyDescent="0.25">
      <c r="A313" s="208" t="s">
        <v>91</v>
      </c>
      <c r="B313" s="208" t="s">
        <v>154</v>
      </c>
      <c r="C313" s="207">
        <v>60</v>
      </c>
      <c r="D313" s="209">
        <f>'Plate Price'!$C$32</f>
        <v>0.49</v>
      </c>
      <c r="E313" s="208" t="s">
        <v>277</v>
      </c>
      <c r="F313" s="208"/>
      <c r="G313" s="1"/>
      <c r="L313" s="207"/>
      <c r="M313" s="207"/>
      <c r="N313" s="207"/>
      <c r="O313" s="207"/>
      <c r="P313" s="207"/>
      <c r="Q313" s="207"/>
      <c r="R313" s="207"/>
      <c r="S313" s="210" t="s">
        <v>468</v>
      </c>
      <c r="T313" s="207">
        <v>21.66</v>
      </c>
      <c r="U313" s="207">
        <v>20.420000000000002</v>
      </c>
      <c r="V313" s="207"/>
      <c r="W313" s="208" t="s">
        <v>277</v>
      </c>
      <c r="X313" s="210" t="s">
        <v>471</v>
      </c>
      <c r="Y313" s="207">
        <v>120</v>
      </c>
      <c r="Z313" s="209">
        <f t="shared" si="84"/>
        <v>0</v>
      </c>
      <c r="AA313" s="207">
        <v>120</v>
      </c>
      <c r="AB313" s="209">
        <f t="shared" si="85"/>
        <v>0</v>
      </c>
      <c r="AC313" s="208" t="s">
        <v>91</v>
      </c>
      <c r="AD313" s="210" t="s">
        <v>470</v>
      </c>
      <c r="AE313" s="207">
        <v>60</v>
      </c>
      <c r="AF313" s="209">
        <f t="shared" si="86"/>
        <v>0.59</v>
      </c>
      <c r="AG313" s="207">
        <v>60</v>
      </c>
      <c r="AH313" s="209">
        <f t="shared" si="87"/>
        <v>0.59</v>
      </c>
      <c r="AI313" s="208" t="s">
        <v>84</v>
      </c>
      <c r="AJ313" s="210" t="s">
        <v>470</v>
      </c>
      <c r="AK313" s="207">
        <v>60</v>
      </c>
      <c r="AL313" s="209">
        <f t="shared" si="88"/>
        <v>2.09</v>
      </c>
      <c r="AM313" s="207"/>
      <c r="AN313" s="207"/>
      <c r="AO313" s="207"/>
      <c r="AP313" s="207"/>
      <c r="AQ313" s="207"/>
      <c r="AR313" s="207"/>
      <c r="AS313" s="207"/>
      <c r="AT313" s="207"/>
      <c r="AU313" s="207"/>
      <c r="AV313" s="207"/>
    </row>
    <row r="314" spans="1:48" x14ac:dyDescent="0.25">
      <c r="A314" s="208" t="s">
        <v>91</v>
      </c>
      <c r="B314" s="208" t="s">
        <v>155</v>
      </c>
      <c r="C314" s="207">
        <v>60</v>
      </c>
      <c r="D314" s="209">
        <f>'Plate Price'!$C$33</f>
        <v>0.52</v>
      </c>
      <c r="E314" s="208" t="s">
        <v>91</v>
      </c>
      <c r="F314" s="208"/>
      <c r="G314" s="1"/>
      <c r="L314" s="207"/>
      <c r="M314" s="207"/>
      <c r="N314" s="207"/>
      <c r="O314" s="207"/>
      <c r="P314" s="207"/>
      <c r="Q314" s="207"/>
      <c r="R314" s="207"/>
      <c r="S314" s="210" t="s">
        <v>469</v>
      </c>
      <c r="T314" s="207">
        <v>26.83</v>
      </c>
      <c r="U314" s="207">
        <v>25.53</v>
      </c>
      <c r="V314" s="207"/>
      <c r="W314" s="208" t="s">
        <v>277</v>
      </c>
      <c r="X314" s="210" t="s">
        <v>465</v>
      </c>
      <c r="Y314" s="207">
        <v>120</v>
      </c>
      <c r="Z314" s="209">
        <f t="shared" si="84"/>
        <v>0</v>
      </c>
      <c r="AA314" s="207">
        <v>120</v>
      </c>
      <c r="AB314" s="209">
        <f t="shared" si="85"/>
        <v>0</v>
      </c>
      <c r="AC314" s="208" t="s">
        <v>91</v>
      </c>
      <c r="AD314" s="210" t="s">
        <v>471</v>
      </c>
      <c r="AE314" s="207">
        <v>60</v>
      </c>
      <c r="AF314" s="209">
        <f t="shared" si="86"/>
        <v>0</v>
      </c>
      <c r="AG314" s="207">
        <v>60</v>
      </c>
      <c r="AH314" s="209">
        <f t="shared" si="87"/>
        <v>0</v>
      </c>
      <c r="AI314" s="208" t="s">
        <v>84</v>
      </c>
      <c r="AJ314" s="210" t="s">
        <v>465</v>
      </c>
      <c r="AK314" s="207">
        <v>60</v>
      </c>
      <c r="AL314" s="209">
        <f t="shared" si="88"/>
        <v>2.09</v>
      </c>
      <c r="AM314" s="207"/>
      <c r="AN314" s="207"/>
      <c r="AO314" s="207"/>
      <c r="AP314" s="207"/>
      <c r="AQ314" s="207"/>
      <c r="AR314" s="207"/>
      <c r="AS314" s="207"/>
      <c r="AT314" s="207"/>
      <c r="AU314" s="207"/>
      <c r="AV314" s="207"/>
    </row>
    <row r="315" spans="1:48" x14ac:dyDescent="0.25">
      <c r="A315" s="208" t="s">
        <v>91</v>
      </c>
      <c r="B315" s="208" t="s">
        <v>156</v>
      </c>
      <c r="C315" s="207">
        <v>60</v>
      </c>
      <c r="D315" s="209">
        <f>'Plate Price'!$C$34</f>
        <v>0.52</v>
      </c>
      <c r="E315" s="208" t="s">
        <v>84</v>
      </c>
      <c r="F315" s="208"/>
      <c r="G315" s="1"/>
      <c r="L315" s="207"/>
      <c r="M315" s="207"/>
      <c r="N315" s="207"/>
      <c r="O315" s="207"/>
      <c r="P315" s="207"/>
      <c r="Q315" s="207"/>
      <c r="R315" s="207"/>
      <c r="S315" s="210" t="s">
        <v>470</v>
      </c>
      <c r="T315" s="207">
        <v>32.119999999999997</v>
      </c>
      <c r="U315" s="207">
        <v>30.63</v>
      </c>
      <c r="V315" s="207"/>
      <c r="W315" s="207"/>
      <c r="X315" s="207"/>
      <c r="Y315" s="207"/>
      <c r="Z315" s="207"/>
      <c r="AA315" s="207"/>
      <c r="AB315" s="207"/>
      <c r="AC315" s="208" t="s">
        <v>91</v>
      </c>
      <c r="AD315" s="210" t="s">
        <v>465</v>
      </c>
      <c r="AE315" s="207">
        <v>60</v>
      </c>
      <c r="AF315" s="209">
        <f t="shared" si="86"/>
        <v>0.57999999999999996</v>
      </c>
      <c r="AG315" s="207">
        <v>60</v>
      </c>
      <c r="AH315" s="209">
        <f t="shared" si="87"/>
        <v>0.57999999999999996</v>
      </c>
      <c r="AI315" s="207"/>
      <c r="AJ315" s="207"/>
      <c r="AK315" s="207"/>
      <c r="AL315" s="207"/>
      <c r="AM315" s="207"/>
      <c r="AN315" s="207"/>
      <c r="AO315" s="207"/>
      <c r="AP315" s="207"/>
      <c r="AQ315" s="207"/>
      <c r="AR315" s="207"/>
      <c r="AS315" s="207"/>
      <c r="AT315" s="207"/>
      <c r="AU315" s="207"/>
      <c r="AV315" s="207"/>
    </row>
    <row r="316" spans="1:48" x14ac:dyDescent="0.25">
      <c r="A316" s="208" t="s">
        <v>91</v>
      </c>
      <c r="B316" s="208" t="s">
        <v>157</v>
      </c>
      <c r="C316" s="207">
        <v>60</v>
      </c>
      <c r="D316" s="209">
        <f>'Plate Price'!$C$35</f>
        <v>0.49</v>
      </c>
      <c r="E316" s="208" t="s">
        <v>80</v>
      </c>
      <c r="F316" s="208"/>
      <c r="G316" s="1"/>
      <c r="L316" s="207"/>
      <c r="M316" s="207"/>
      <c r="N316" s="207"/>
      <c r="O316" s="207"/>
      <c r="P316" s="207"/>
      <c r="Q316" s="207"/>
      <c r="R316" s="207"/>
      <c r="S316" s="210" t="s">
        <v>471</v>
      </c>
      <c r="T316" s="207">
        <v>37.29</v>
      </c>
      <c r="U316" s="207">
        <v>35.74</v>
      </c>
      <c r="V316" s="207"/>
      <c r="W316" s="207"/>
      <c r="X316" s="207"/>
      <c r="Y316" s="207"/>
      <c r="Z316" s="207"/>
      <c r="AA316" s="207"/>
      <c r="AB316" s="207"/>
      <c r="AC316" s="207"/>
      <c r="AD316" s="207"/>
      <c r="AE316" s="207"/>
      <c r="AF316" s="207"/>
      <c r="AG316" s="207"/>
      <c r="AH316" s="207"/>
      <c r="AI316" s="207"/>
      <c r="AJ316" s="207"/>
      <c r="AK316" s="207"/>
      <c r="AL316" s="207"/>
      <c r="AM316" s="207"/>
      <c r="AN316" s="207"/>
      <c r="AO316" s="207"/>
      <c r="AP316" s="207"/>
      <c r="AQ316" s="207"/>
      <c r="AR316" s="207"/>
      <c r="AS316" s="207"/>
      <c r="AT316" s="207"/>
      <c r="AU316" s="207"/>
      <c r="AV316" s="207"/>
    </row>
    <row r="317" spans="1:48" x14ac:dyDescent="0.25">
      <c r="A317" s="208" t="s">
        <v>91</v>
      </c>
      <c r="B317" s="208" t="s">
        <v>211</v>
      </c>
      <c r="C317" s="207">
        <v>60</v>
      </c>
      <c r="D317" s="209">
        <f>'Plate Price'!$C$36</f>
        <v>0.56999999999999995</v>
      </c>
      <c r="E317" s="207"/>
      <c r="F317" s="207"/>
      <c r="L317" s="207"/>
      <c r="M317" s="207"/>
      <c r="N317" s="207"/>
      <c r="O317" s="207"/>
      <c r="P317" s="207"/>
      <c r="Q317" s="207"/>
      <c r="R317" s="207"/>
      <c r="S317" s="210" t="s">
        <v>465</v>
      </c>
      <c r="T317" s="207">
        <v>42.67</v>
      </c>
      <c r="U317" s="207">
        <v>40.840000000000003</v>
      </c>
      <c r="V317" s="207"/>
      <c r="W317" s="207"/>
      <c r="X317" s="207"/>
      <c r="Y317" s="207"/>
      <c r="Z317" s="207"/>
      <c r="AA317" s="207"/>
      <c r="AB317" s="207"/>
      <c r="AC317" s="207"/>
      <c r="AD317" s="207"/>
      <c r="AE317" s="207"/>
      <c r="AF317" s="207"/>
      <c r="AG317" s="207"/>
      <c r="AH317" s="207"/>
      <c r="AI317" s="207"/>
      <c r="AJ317" s="207"/>
      <c r="AK317" s="207"/>
      <c r="AL317" s="207"/>
      <c r="AM317" s="207"/>
      <c r="AN317" s="207"/>
      <c r="AO317" s="207"/>
      <c r="AP317" s="207"/>
      <c r="AQ317" s="207"/>
      <c r="AR317" s="207"/>
      <c r="AS317" s="207"/>
      <c r="AT317" s="207"/>
      <c r="AU317" s="207"/>
      <c r="AV317" s="207"/>
    </row>
    <row r="318" spans="1:48" x14ac:dyDescent="0.25">
      <c r="A318" s="208" t="s">
        <v>91</v>
      </c>
      <c r="B318" s="208" t="s">
        <v>212</v>
      </c>
      <c r="C318" s="207">
        <v>60</v>
      </c>
      <c r="D318" s="209">
        <f>'Plate Price'!$C$37</f>
        <v>0.59</v>
      </c>
      <c r="E318" s="207"/>
      <c r="F318" s="207"/>
      <c r="L318" s="207"/>
      <c r="M318" s="207"/>
      <c r="N318" s="207"/>
      <c r="O318" s="207"/>
      <c r="P318" s="207"/>
      <c r="Q318" s="207"/>
      <c r="R318" s="207"/>
      <c r="S318" s="208"/>
      <c r="T318" s="207"/>
      <c r="U318" s="207"/>
      <c r="V318" s="207"/>
      <c r="W318" s="207"/>
      <c r="X318" s="207"/>
      <c r="Y318" s="207"/>
      <c r="Z318" s="207"/>
      <c r="AA318" s="207"/>
      <c r="AB318" s="207"/>
      <c r="AC318" s="207"/>
      <c r="AD318" s="207"/>
      <c r="AE318" s="207"/>
      <c r="AF318" s="207"/>
      <c r="AG318" s="207"/>
      <c r="AH318" s="207"/>
      <c r="AI318" s="207"/>
      <c r="AJ318" s="207"/>
      <c r="AK318" s="207"/>
      <c r="AL318" s="207"/>
      <c r="AM318" s="207"/>
      <c r="AN318" s="207"/>
      <c r="AO318" s="207"/>
      <c r="AP318" s="207"/>
      <c r="AQ318" s="207"/>
      <c r="AR318" s="207"/>
      <c r="AS318" s="207"/>
      <c r="AT318" s="207"/>
      <c r="AU318" s="207"/>
      <c r="AV318" s="207"/>
    </row>
    <row r="319" spans="1:48" x14ac:dyDescent="0.25">
      <c r="A319" s="208" t="s">
        <v>91</v>
      </c>
      <c r="B319" s="208" t="s">
        <v>213</v>
      </c>
      <c r="C319" s="207">
        <v>60</v>
      </c>
      <c r="D319" s="209">
        <f>'Plate Price'!$C$38</f>
        <v>0</v>
      </c>
      <c r="E319" s="207"/>
      <c r="F319" s="207"/>
      <c r="L319" s="207"/>
      <c r="M319" s="207"/>
      <c r="N319" s="207"/>
      <c r="O319" s="207"/>
      <c r="P319" s="207"/>
      <c r="Q319" s="207"/>
      <c r="R319" s="207"/>
      <c r="S319" s="208"/>
      <c r="T319" s="207"/>
      <c r="U319" s="207"/>
      <c r="V319" s="207"/>
      <c r="W319" s="207"/>
      <c r="X319" s="207"/>
      <c r="Y319" s="207"/>
      <c r="Z319" s="207"/>
      <c r="AA319" s="207"/>
      <c r="AB319" s="207"/>
      <c r="AC319" s="207"/>
      <c r="AD319" s="207"/>
      <c r="AE319" s="207"/>
      <c r="AF319" s="207"/>
      <c r="AG319" s="207"/>
      <c r="AH319" s="207"/>
      <c r="AI319" s="207"/>
      <c r="AJ319" s="207"/>
      <c r="AK319" s="207"/>
      <c r="AL319" s="207"/>
      <c r="AM319" s="207"/>
      <c r="AN319" s="207"/>
      <c r="AO319" s="207"/>
      <c r="AP319" s="207"/>
      <c r="AQ319" s="207"/>
      <c r="AR319" s="207"/>
      <c r="AS319" s="207"/>
      <c r="AT319" s="207"/>
      <c r="AU319" s="207"/>
      <c r="AV319" s="207"/>
    </row>
    <row r="320" spans="1:48" x14ac:dyDescent="0.25">
      <c r="A320" s="208" t="s">
        <v>91</v>
      </c>
      <c r="B320" s="208" t="s">
        <v>214</v>
      </c>
      <c r="C320" s="207">
        <v>60</v>
      </c>
      <c r="D320" s="209">
        <f>'Plate Price'!$C$39</f>
        <v>0.57999999999999996</v>
      </c>
      <c r="E320" s="210" t="s">
        <v>466</v>
      </c>
      <c r="F320" s="207"/>
      <c r="H320" s="546" t="s">
        <v>590</v>
      </c>
      <c r="I320" s="546"/>
      <c r="J320" s="546"/>
      <c r="L320" s="207"/>
      <c r="M320" s="207"/>
      <c r="N320" s="207"/>
      <c r="O320" s="207"/>
      <c r="P320" s="207"/>
      <c r="Q320" s="207"/>
      <c r="R320" s="207"/>
      <c r="S320" s="208"/>
      <c r="T320" s="207"/>
      <c r="U320" s="207"/>
      <c r="V320" s="207"/>
      <c r="W320" s="207"/>
      <c r="X320" s="207"/>
      <c r="Y320" s="207"/>
      <c r="Z320" s="207"/>
      <c r="AA320" s="207"/>
      <c r="AB320" s="207"/>
      <c r="AC320" s="207"/>
      <c r="AD320" s="207"/>
      <c r="AE320" s="207"/>
      <c r="AF320" s="207"/>
      <c r="AG320" s="207"/>
      <c r="AH320" s="207"/>
      <c r="AI320" s="207"/>
      <c r="AJ320" s="207"/>
      <c r="AK320" s="207"/>
      <c r="AL320" s="207"/>
      <c r="AM320" s="207"/>
      <c r="AN320" s="207"/>
      <c r="AO320" s="207"/>
      <c r="AP320" s="207"/>
      <c r="AQ320" s="207"/>
      <c r="AR320" s="207"/>
      <c r="AS320" s="207"/>
      <c r="AT320" s="207"/>
      <c r="AU320" s="207"/>
      <c r="AV320" s="207"/>
    </row>
    <row r="321" spans="1:48" x14ac:dyDescent="0.25">
      <c r="A321" s="208" t="s">
        <v>84</v>
      </c>
      <c r="B321" s="208" t="s">
        <v>151</v>
      </c>
      <c r="C321" s="207">
        <v>60</v>
      </c>
      <c r="D321" s="209">
        <f>'Plate Price'!$I$4</f>
        <v>1.58</v>
      </c>
      <c r="E321" s="210" t="s">
        <v>463</v>
      </c>
      <c r="F321" s="208"/>
      <c r="G321" s="1"/>
      <c r="H321" s="546"/>
      <c r="I321" s="546"/>
      <c r="J321" s="546"/>
      <c r="L321" s="207"/>
      <c r="M321" s="207"/>
      <c r="N321" s="207"/>
      <c r="O321" s="207"/>
      <c r="P321" s="207"/>
      <c r="Q321" s="207"/>
      <c r="R321" s="207"/>
      <c r="S321" s="208"/>
      <c r="T321" s="207"/>
      <c r="U321" s="207"/>
      <c r="V321" s="207"/>
      <c r="W321" s="207"/>
      <c r="X321" s="207"/>
      <c r="Y321" s="207"/>
      <c r="Z321" s="207"/>
      <c r="AA321" s="207"/>
      <c r="AB321" s="207"/>
      <c r="AC321" s="207"/>
      <c r="AD321" s="207"/>
      <c r="AE321" s="207"/>
      <c r="AF321" s="207"/>
      <c r="AG321" s="207"/>
      <c r="AH321" s="207"/>
      <c r="AI321" s="207"/>
      <c r="AJ321" s="207"/>
      <c r="AK321" s="207"/>
      <c r="AL321" s="207"/>
      <c r="AM321" s="207"/>
      <c r="AN321" s="207"/>
      <c r="AO321" s="207"/>
      <c r="AP321" s="207"/>
      <c r="AQ321" s="207"/>
      <c r="AR321" s="207"/>
      <c r="AS321" s="207"/>
      <c r="AT321" s="207"/>
      <c r="AU321" s="207"/>
      <c r="AV321" s="207"/>
    </row>
    <row r="322" spans="1:48" x14ac:dyDescent="0.25">
      <c r="A322" s="208" t="s">
        <v>84</v>
      </c>
      <c r="B322" s="208" t="s">
        <v>154</v>
      </c>
      <c r="C322" s="207">
        <v>60</v>
      </c>
      <c r="D322" s="209">
        <f>'Plate Price'!$I$5</f>
        <v>1.58</v>
      </c>
      <c r="E322" s="210" t="s">
        <v>464</v>
      </c>
      <c r="F322" s="208"/>
      <c r="G322" s="1"/>
      <c r="H322" s="546"/>
      <c r="I322" s="546"/>
      <c r="J322" s="546"/>
      <c r="L322" s="207"/>
      <c r="M322" s="207"/>
      <c r="N322" s="207"/>
      <c r="O322" s="207"/>
      <c r="P322" s="207"/>
      <c r="Q322" s="207"/>
      <c r="R322" s="207"/>
      <c r="S322" s="208"/>
      <c r="T322" s="207"/>
      <c r="U322" s="207"/>
      <c r="V322" s="207"/>
      <c r="W322" s="207"/>
      <c r="X322" s="207"/>
      <c r="Y322" s="207"/>
      <c r="Z322" s="207"/>
      <c r="AA322" s="207"/>
      <c r="AB322" s="207"/>
      <c r="AC322" s="207"/>
      <c r="AD322" s="207"/>
      <c r="AE322" s="207"/>
      <c r="AF322" s="207"/>
      <c r="AG322" s="207"/>
      <c r="AH322" s="207"/>
      <c r="AI322" s="207"/>
      <c r="AJ322" s="207"/>
      <c r="AK322" s="207"/>
      <c r="AL322" s="207"/>
      <c r="AM322" s="207"/>
      <c r="AN322" s="207"/>
      <c r="AO322" s="207"/>
      <c r="AP322" s="207"/>
      <c r="AQ322" s="207"/>
      <c r="AR322" s="207"/>
      <c r="AS322" s="207"/>
      <c r="AT322" s="207"/>
      <c r="AU322" s="207"/>
      <c r="AV322" s="207"/>
    </row>
    <row r="323" spans="1:48" x14ac:dyDescent="0.25">
      <c r="A323" s="208" t="s">
        <v>84</v>
      </c>
      <c r="B323" s="208" t="s">
        <v>155</v>
      </c>
      <c r="C323" s="207">
        <v>60</v>
      </c>
      <c r="D323" s="209">
        <f>'Plate Price'!$I$6</f>
        <v>1.65</v>
      </c>
      <c r="E323" s="210" t="s">
        <v>467</v>
      </c>
      <c r="F323" s="208"/>
      <c r="G323" s="1"/>
      <c r="H323" s="546"/>
      <c r="I323" s="546"/>
      <c r="J323" s="546"/>
      <c r="L323" s="207"/>
      <c r="M323" s="207"/>
      <c r="N323" s="207"/>
      <c r="O323" s="207"/>
      <c r="P323" s="207"/>
      <c r="Q323" s="207"/>
      <c r="R323" s="207"/>
      <c r="S323" s="208"/>
      <c r="T323" s="207"/>
      <c r="U323" s="207"/>
      <c r="V323" s="207"/>
      <c r="W323" s="207"/>
      <c r="X323" s="207"/>
      <c r="Y323" s="207"/>
      <c r="Z323" s="207"/>
      <c r="AA323" s="207"/>
      <c r="AB323" s="207"/>
      <c r="AC323" s="207"/>
      <c r="AD323" s="207"/>
      <c r="AE323" s="207"/>
      <c r="AF323" s="207"/>
      <c r="AG323" s="207"/>
      <c r="AH323" s="207"/>
      <c r="AI323" s="207"/>
      <c r="AJ323" s="207"/>
      <c r="AK323" s="207"/>
      <c r="AL323" s="207"/>
      <c r="AM323" s="207"/>
      <c r="AN323" s="207"/>
      <c r="AO323" s="207"/>
      <c r="AP323" s="207"/>
      <c r="AQ323" s="207"/>
      <c r="AR323" s="207"/>
      <c r="AS323" s="207"/>
      <c r="AT323" s="207"/>
      <c r="AU323" s="207"/>
      <c r="AV323" s="207"/>
    </row>
    <row r="324" spans="1:48" x14ac:dyDescent="0.25">
      <c r="A324" s="208" t="s">
        <v>84</v>
      </c>
      <c r="B324" s="208" t="s">
        <v>156</v>
      </c>
      <c r="C324" s="207">
        <v>60</v>
      </c>
      <c r="D324" s="209">
        <f>'Plate Price'!$I$7</f>
        <v>1.74</v>
      </c>
      <c r="E324" s="210" t="s">
        <v>468</v>
      </c>
      <c r="F324" s="208"/>
      <c r="G324" s="1"/>
      <c r="H324" s="546"/>
      <c r="I324" s="546"/>
      <c r="J324" s="546"/>
      <c r="L324" s="207"/>
      <c r="M324" s="207"/>
      <c r="N324" s="207"/>
      <c r="O324" s="207"/>
      <c r="P324" s="207"/>
      <c r="Q324" s="207"/>
      <c r="R324" s="207"/>
      <c r="S324" s="208"/>
      <c r="T324" s="207"/>
      <c r="U324" s="207"/>
      <c r="V324" s="207"/>
      <c r="W324" s="207"/>
      <c r="X324" s="207"/>
      <c r="Y324" s="207"/>
      <c r="Z324" s="207"/>
      <c r="AA324" s="207"/>
      <c r="AB324" s="207"/>
      <c r="AC324" s="207"/>
      <c r="AD324" s="207"/>
      <c r="AE324" s="207"/>
      <c r="AF324" s="207"/>
      <c r="AG324" s="207"/>
      <c r="AH324" s="207"/>
      <c r="AI324" s="207"/>
      <c r="AJ324" s="207"/>
      <c r="AK324" s="207"/>
      <c r="AL324" s="207"/>
      <c r="AM324" s="207"/>
      <c r="AN324" s="207"/>
      <c r="AO324" s="207"/>
      <c r="AP324" s="207"/>
      <c r="AQ324" s="207"/>
      <c r="AR324" s="207"/>
      <c r="AS324" s="207"/>
      <c r="AT324" s="207"/>
      <c r="AU324" s="207"/>
      <c r="AV324" s="207"/>
    </row>
    <row r="325" spans="1:48" x14ac:dyDescent="0.25">
      <c r="A325" s="208" t="s">
        <v>84</v>
      </c>
      <c r="B325" s="208" t="s">
        <v>157</v>
      </c>
      <c r="C325" s="207">
        <v>60</v>
      </c>
      <c r="D325" s="209">
        <f>'Plate Price'!$I$8</f>
        <v>1.98</v>
      </c>
      <c r="E325" s="210" t="s">
        <v>469</v>
      </c>
      <c r="F325" s="208"/>
      <c r="G325" s="1"/>
      <c r="H325" s="546"/>
      <c r="I325" s="546"/>
      <c r="J325" s="546"/>
      <c r="L325" s="207"/>
      <c r="M325" s="207"/>
      <c r="N325" s="207"/>
      <c r="O325" s="207"/>
      <c r="P325" s="207"/>
      <c r="Q325" s="207"/>
      <c r="R325" s="207"/>
      <c r="S325" s="208"/>
      <c r="T325" s="207"/>
      <c r="U325" s="207"/>
      <c r="V325" s="207"/>
      <c r="W325" s="207"/>
      <c r="X325" s="207"/>
      <c r="Y325" s="207"/>
      <c r="Z325" s="207"/>
      <c r="AA325" s="207"/>
      <c r="AB325" s="207"/>
      <c r="AC325" s="207"/>
      <c r="AD325" s="207"/>
      <c r="AE325" s="207"/>
      <c r="AF325" s="207"/>
      <c r="AG325" s="207"/>
      <c r="AH325" s="207"/>
      <c r="AI325" s="207"/>
      <c r="AJ325" s="207"/>
      <c r="AK325" s="207"/>
      <c r="AL325" s="207"/>
      <c r="AM325" s="207"/>
      <c r="AN325" s="207"/>
      <c r="AO325" s="207"/>
      <c r="AP325" s="207"/>
      <c r="AQ325" s="207"/>
      <c r="AR325" s="207"/>
      <c r="AS325" s="207"/>
      <c r="AT325" s="207"/>
      <c r="AU325" s="207"/>
      <c r="AV325" s="207"/>
    </row>
    <row r="326" spans="1:48" x14ac:dyDescent="0.25">
      <c r="A326" s="208" t="s">
        <v>84</v>
      </c>
      <c r="B326" s="208" t="s">
        <v>211</v>
      </c>
      <c r="C326" s="207">
        <v>60</v>
      </c>
      <c r="D326" s="209">
        <f>'Plate Price'!$I$9</f>
        <v>2.04</v>
      </c>
      <c r="E326" s="210" t="s">
        <v>470</v>
      </c>
      <c r="F326" s="208"/>
      <c r="G326" s="1"/>
      <c r="S326" s="1"/>
      <c r="AU326" s="207"/>
      <c r="AV326" s="207"/>
    </row>
    <row r="327" spans="1:48" x14ac:dyDescent="0.25">
      <c r="A327" s="208" t="s">
        <v>84</v>
      </c>
      <c r="B327" s="208" t="s">
        <v>212</v>
      </c>
      <c r="C327" s="207">
        <v>60</v>
      </c>
      <c r="D327" s="209">
        <f>'Plate Price'!$I$10</f>
        <v>2.09</v>
      </c>
      <c r="E327" s="210" t="s">
        <v>471</v>
      </c>
      <c r="F327" s="208"/>
      <c r="G327" s="1"/>
      <c r="S327" s="1"/>
    </row>
    <row r="328" spans="1:48" x14ac:dyDescent="0.25">
      <c r="A328" s="208" t="s">
        <v>84</v>
      </c>
      <c r="B328" s="208" t="s">
        <v>231</v>
      </c>
      <c r="C328" s="207">
        <v>60</v>
      </c>
      <c r="D328" s="209">
        <f>'Plate Price'!$I$11</f>
        <v>2.09</v>
      </c>
      <c r="E328" s="210" t="s">
        <v>465</v>
      </c>
      <c r="F328" s="208"/>
      <c r="G328" s="1"/>
    </row>
    <row r="329" spans="1:48" x14ac:dyDescent="0.25">
      <c r="A329" s="208" t="s">
        <v>84</v>
      </c>
      <c r="B329" s="208" t="s">
        <v>151</v>
      </c>
      <c r="C329" s="207">
        <v>72</v>
      </c>
      <c r="D329" s="209">
        <f>'Plate Price'!$I$13</f>
        <v>0</v>
      </c>
      <c r="E329" s="207"/>
      <c r="F329" s="207"/>
    </row>
    <row r="330" spans="1:48" x14ac:dyDescent="0.25">
      <c r="A330" s="208" t="s">
        <v>84</v>
      </c>
      <c r="B330" s="208" t="s">
        <v>154</v>
      </c>
      <c r="C330" s="207">
        <v>72</v>
      </c>
      <c r="D330" s="209">
        <f>'Plate Price'!$I$14</f>
        <v>1.89</v>
      </c>
      <c r="E330" s="207"/>
      <c r="F330" s="207"/>
    </row>
    <row r="331" spans="1:48" x14ac:dyDescent="0.25">
      <c r="A331" s="208" t="s">
        <v>84</v>
      </c>
      <c r="B331" s="208" t="s">
        <v>155</v>
      </c>
      <c r="C331" s="207">
        <v>72</v>
      </c>
      <c r="D331" s="209">
        <f>'Plate Price'!$I$15</f>
        <v>0</v>
      </c>
      <c r="E331" s="207"/>
      <c r="F331" s="207"/>
    </row>
    <row r="332" spans="1:48" x14ac:dyDescent="0.25">
      <c r="A332" s="208" t="s">
        <v>84</v>
      </c>
      <c r="B332" s="208" t="s">
        <v>156</v>
      </c>
      <c r="C332" s="207">
        <v>72</v>
      </c>
      <c r="D332" s="209">
        <f>'Plate Price'!$I$16</f>
        <v>0</v>
      </c>
      <c r="E332" s="207"/>
      <c r="F332" s="207"/>
    </row>
    <row r="333" spans="1:48" x14ac:dyDescent="0.25">
      <c r="A333" s="208" t="s">
        <v>84</v>
      </c>
      <c r="B333" s="208" t="s">
        <v>157</v>
      </c>
      <c r="C333" s="207">
        <v>72</v>
      </c>
      <c r="D333" s="209">
        <f>'Plate Price'!$I$17</f>
        <v>0</v>
      </c>
      <c r="E333" s="207"/>
      <c r="F333" s="207"/>
    </row>
    <row r="334" spans="1:48" x14ac:dyDescent="0.25">
      <c r="A334" s="208" t="s">
        <v>80</v>
      </c>
      <c r="B334" s="208" t="s">
        <v>151</v>
      </c>
      <c r="C334" s="207">
        <v>60</v>
      </c>
      <c r="D334" s="209">
        <f>'Plate Price'!$O$4</f>
        <v>2.4500000000000002</v>
      </c>
      <c r="E334" s="207"/>
      <c r="F334" s="207"/>
    </row>
    <row r="335" spans="1:48" x14ac:dyDescent="0.25">
      <c r="A335" s="208" t="s">
        <v>80</v>
      </c>
      <c r="B335" s="208" t="s">
        <v>154</v>
      </c>
      <c r="C335" s="207">
        <v>60</v>
      </c>
      <c r="D335" s="209">
        <f>'Plate Price'!$O$5</f>
        <v>2.4500000000000002</v>
      </c>
      <c r="E335" s="207"/>
      <c r="F335" s="207"/>
    </row>
    <row r="336" spans="1:48" x14ac:dyDescent="0.25">
      <c r="A336" s="208" t="s">
        <v>80</v>
      </c>
      <c r="B336" s="208" t="s">
        <v>155</v>
      </c>
      <c r="C336" s="207">
        <v>60</v>
      </c>
      <c r="D336" s="209">
        <f>'Plate Price'!$O$6</f>
        <v>2.69</v>
      </c>
      <c r="E336" s="207"/>
      <c r="F336" s="207"/>
    </row>
    <row r="337" spans="1:6" x14ac:dyDescent="0.25">
      <c r="A337" s="208" t="s">
        <v>80</v>
      </c>
      <c r="B337" s="208" t="s">
        <v>156</v>
      </c>
      <c r="C337" s="207">
        <v>60</v>
      </c>
      <c r="D337" s="209">
        <f>'Plate Price'!$O$7</f>
        <v>2.4900000000000002</v>
      </c>
      <c r="E337" s="207"/>
      <c r="F337" s="207"/>
    </row>
    <row r="338" spans="1:6" x14ac:dyDescent="0.25">
      <c r="A338" s="208" t="s">
        <v>80</v>
      </c>
      <c r="B338" s="208" t="s">
        <v>157</v>
      </c>
      <c r="C338" s="207">
        <v>60</v>
      </c>
      <c r="D338" s="209">
        <f>'Plate Price'!$O$8</f>
        <v>2.71</v>
      </c>
      <c r="E338" s="207"/>
      <c r="F338" s="207"/>
    </row>
    <row r="339" spans="1:6" x14ac:dyDescent="0.25">
      <c r="A339" s="208" t="s">
        <v>80</v>
      </c>
      <c r="B339" s="208" t="s">
        <v>151</v>
      </c>
      <c r="C339" s="207">
        <v>72</v>
      </c>
      <c r="D339" s="209">
        <f>'Plate Price'!$O$13</f>
        <v>0</v>
      </c>
      <c r="E339" s="207"/>
      <c r="F339" s="207"/>
    </row>
    <row r="340" spans="1:6" x14ac:dyDescent="0.25">
      <c r="A340" s="208" t="s">
        <v>80</v>
      </c>
      <c r="B340" s="208" t="s">
        <v>154</v>
      </c>
      <c r="C340" s="207">
        <v>72</v>
      </c>
      <c r="D340" s="209">
        <f>'Plate Price'!$O$14</f>
        <v>0</v>
      </c>
      <c r="E340" s="207"/>
      <c r="F340" s="207"/>
    </row>
    <row r="341" spans="1:6" x14ac:dyDescent="0.25">
      <c r="A341" s="208" t="s">
        <v>80</v>
      </c>
      <c r="B341" s="208" t="s">
        <v>155</v>
      </c>
      <c r="C341" s="207">
        <v>72</v>
      </c>
      <c r="D341" s="209">
        <f>'Plate Price'!$O$15</f>
        <v>0</v>
      </c>
      <c r="E341" s="207"/>
      <c r="F341" s="207"/>
    </row>
    <row r="342" spans="1:6" x14ac:dyDescent="0.25">
      <c r="A342" s="208" t="s">
        <v>80</v>
      </c>
      <c r="B342" s="208" t="s">
        <v>156</v>
      </c>
      <c r="C342" s="207">
        <v>72</v>
      </c>
      <c r="D342" s="209">
        <f>'Plate Price'!$O$16</f>
        <v>0</v>
      </c>
      <c r="E342" s="207"/>
      <c r="F342" s="207"/>
    </row>
    <row r="343" spans="1:6" x14ac:dyDescent="0.25">
      <c r="A343" s="208" t="s">
        <v>80</v>
      </c>
      <c r="B343" s="208" t="s">
        <v>157</v>
      </c>
      <c r="C343" s="207">
        <v>72</v>
      </c>
      <c r="D343" s="209">
        <f>'Plate Price'!$O$17</f>
        <v>0</v>
      </c>
      <c r="E343" s="207"/>
      <c r="F343" s="207"/>
    </row>
    <row r="344" spans="1:6" x14ac:dyDescent="0.25">
      <c r="A344" s="212" t="s">
        <v>80</v>
      </c>
      <c r="B344" s="212" t="s">
        <v>154</v>
      </c>
      <c r="C344" s="211">
        <v>72</v>
      </c>
      <c r="D344" s="213">
        <f>'Plate Price'!$O$14</f>
        <v>0</v>
      </c>
      <c r="E344" s="211"/>
      <c r="F344" s="207"/>
    </row>
    <row r="345" spans="1:6" x14ac:dyDescent="0.25">
      <c r="A345" s="212" t="s">
        <v>80</v>
      </c>
      <c r="B345" s="212" t="s">
        <v>155</v>
      </c>
      <c r="C345" s="211">
        <v>72</v>
      </c>
      <c r="D345" s="213">
        <f>'Plate Price'!$O$15</f>
        <v>0</v>
      </c>
      <c r="E345" s="211"/>
      <c r="F345" s="207"/>
    </row>
    <row r="346" spans="1:6" x14ac:dyDescent="0.25">
      <c r="A346" s="212" t="s">
        <v>80</v>
      </c>
      <c r="B346" s="212" t="s">
        <v>156</v>
      </c>
      <c r="C346" s="211">
        <v>72</v>
      </c>
      <c r="D346" s="213">
        <f>'Plate Price'!$O$16</f>
        <v>0</v>
      </c>
      <c r="E346" s="211"/>
      <c r="F346" s="207"/>
    </row>
    <row r="347" spans="1:6" x14ac:dyDescent="0.25">
      <c r="A347" s="212" t="s">
        <v>80</v>
      </c>
      <c r="B347" s="212" t="s">
        <v>157</v>
      </c>
      <c r="C347" s="211">
        <v>72</v>
      </c>
      <c r="D347" s="213">
        <f>'Plate Price'!$O$17</f>
        <v>0</v>
      </c>
      <c r="E347" s="211"/>
      <c r="F347" s="207"/>
    </row>
  </sheetData>
  <mergeCells count="236">
    <mergeCell ref="EN142:EZ142"/>
    <mergeCell ref="ER143:EZ143"/>
    <mergeCell ref="FC143:FH143"/>
    <mergeCell ref="FJ143:FP143"/>
    <mergeCell ref="A237:F237"/>
    <mergeCell ref="A241:F241"/>
    <mergeCell ref="Y198:AF198"/>
    <mergeCell ref="AC192:AF197"/>
    <mergeCell ref="AX180:BN180"/>
    <mergeCell ref="AX181:BE181"/>
    <mergeCell ref="CP184:CT188"/>
    <mergeCell ref="CB192:CE197"/>
    <mergeCell ref="BX198:CE198"/>
    <mergeCell ref="CG198:CN199"/>
    <mergeCell ref="BP184:BT188"/>
    <mergeCell ref="BB192:BE197"/>
    <mergeCell ref="AX198:BE198"/>
    <mergeCell ref="BG198:BN199"/>
    <mergeCell ref="CG193:CN193"/>
    <mergeCell ref="CP138:CT142"/>
    <mergeCell ref="CB147:CE152"/>
    <mergeCell ref="CK147:CN152"/>
    <mergeCell ref="BX180:CN180"/>
    <mergeCell ref="BX181:CE181"/>
    <mergeCell ref="A279:F279"/>
    <mergeCell ref="A280:F280"/>
    <mergeCell ref="H238:M238"/>
    <mergeCell ref="O238:T238"/>
    <mergeCell ref="O246:T246"/>
    <mergeCell ref="O255:T255"/>
    <mergeCell ref="A270:F270"/>
    <mergeCell ref="A271:F271"/>
    <mergeCell ref="A272:F272"/>
    <mergeCell ref="A273:F273"/>
    <mergeCell ref="A274:F274"/>
    <mergeCell ref="A253:F253"/>
    <mergeCell ref="H255:L259"/>
    <mergeCell ref="H273:J278"/>
    <mergeCell ref="A275:F275"/>
    <mergeCell ref="A276:F276"/>
    <mergeCell ref="A277:F277"/>
    <mergeCell ref="A278:F278"/>
    <mergeCell ref="A287:F287"/>
    <mergeCell ref="B289:C289"/>
    <mergeCell ref="B290:C290"/>
    <mergeCell ref="A281:F281"/>
    <mergeCell ref="A282:F282"/>
    <mergeCell ref="A283:F283"/>
    <mergeCell ref="A284:F284"/>
    <mergeCell ref="A285:F285"/>
    <mergeCell ref="A286:F286"/>
    <mergeCell ref="CG181:CN181"/>
    <mergeCell ref="CP93:CT97"/>
    <mergeCell ref="CB102:CE107"/>
    <mergeCell ref="CK102:CN107"/>
    <mergeCell ref="BX135:CN135"/>
    <mergeCell ref="BX136:CE136"/>
    <mergeCell ref="CG136:CN136"/>
    <mergeCell ref="CP49:CT53"/>
    <mergeCell ref="BX65:CE65"/>
    <mergeCell ref="CG65:CN65"/>
    <mergeCell ref="BX90:CN90"/>
    <mergeCell ref="BX91:CE91"/>
    <mergeCell ref="CG91:CN91"/>
    <mergeCell ref="CP3:CT7"/>
    <mergeCell ref="BX21:CE21"/>
    <mergeCell ref="CG21:CN21"/>
    <mergeCell ref="BX45:CN45"/>
    <mergeCell ref="BX46:CE46"/>
    <mergeCell ref="CG46:CN46"/>
    <mergeCell ref="BX1:CN1"/>
    <mergeCell ref="BX2:CE2"/>
    <mergeCell ref="CG2:CN2"/>
    <mergeCell ref="BP138:BT142"/>
    <mergeCell ref="BG46:BN46"/>
    <mergeCell ref="BP49:BT53"/>
    <mergeCell ref="AX65:BE65"/>
    <mergeCell ref="BG65:BN65"/>
    <mergeCell ref="AX90:BN90"/>
    <mergeCell ref="AX91:BE91"/>
    <mergeCell ref="BG91:BN91"/>
    <mergeCell ref="AX1:BN1"/>
    <mergeCell ref="AX2:BE2"/>
    <mergeCell ref="BP93:BT97"/>
    <mergeCell ref="BK102:BN107"/>
    <mergeCell ref="AX135:BN135"/>
    <mergeCell ref="AX136:BE136"/>
    <mergeCell ref="BG136:BN136"/>
    <mergeCell ref="BG2:BN2"/>
    <mergeCell ref="BP3:BT7"/>
    <mergeCell ref="AX21:BE21"/>
    <mergeCell ref="BG21:BN21"/>
    <mergeCell ref="AX45:BN45"/>
    <mergeCell ref="AX46:BE46"/>
    <mergeCell ref="AQ49:AU53"/>
    <mergeCell ref="Y1:AO1"/>
    <mergeCell ref="Y181:AF181"/>
    <mergeCell ref="AH181:AO181"/>
    <mergeCell ref="Y90:AO90"/>
    <mergeCell ref="Y91:AF91"/>
    <mergeCell ref="AH91:AO91"/>
    <mergeCell ref="Y65:AF65"/>
    <mergeCell ref="AH65:AO65"/>
    <mergeCell ref="AQ3:AU7"/>
    <mergeCell ref="Y2:AF2"/>
    <mergeCell ref="AH2:AO2"/>
    <mergeCell ref="Y21:AF21"/>
    <mergeCell ref="Y180:AO180"/>
    <mergeCell ref="BG181:BN181"/>
    <mergeCell ref="O191:T191"/>
    <mergeCell ref="A206:T210"/>
    <mergeCell ref="A65:T69"/>
    <mergeCell ref="A93:F93"/>
    <mergeCell ref="H93:M93"/>
    <mergeCell ref="O93:T93"/>
    <mergeCell ref="A112:T116"/>
    <mergeCell ref="A140:F140"/>
    <mergeCell ref="H140:M140"/>
    <mergeCell ref="O140:T140"/>
    <mergeCell ref="AQ184:AU188"/>
    <mergeCell ref="AL102:AO107"/>
    <mergeCell ref="BB147:BE152"/>
    <mergeCell ref="AQ93:AU97"/>
    <mergeCell ref="AQ138:AU142"/>
    <mergeCell ref="Y135:AO135"/>
    <mergeCell ref="Y136:AF136"/>
    <mergeCell ref="AH136:AO136"/>
    <mergeCell ref="AC147:AF152"/>
    <mergeCell ref="AL147:AO152"/>
    <mergeCell ref="AC102:AF107"/>
    <mergeCell ref="BB102:BE107"/>
    <mergeCell ref="A1:F1"/>
    <mergeCell ref="H1:M1"/>
    <mergeCell ref="O1:T1"/>
    <mergeCell ref="A18:T22"/>
    <mergeCell ref="A46:F46"/>
    <mergeCell ref="H46:M46"/>
    <mergeCell ref="O46:T46"/>
    <mergeCell ref="Y45:AO45"/>
    <mergeCell ref="Y46:AF46"/>
    <mergeCell ref="AH46:AO46"/>
    <mergeCell ref="AH21:AO21"/>
    <mergeCell ref="G311:H311"/>
    <mergeCell ref="I311:K311"/>
    <mergeCell ref="H320:J325"/>
    <mergeCell ref="CX2:DW2"/>
    <mergeCell ref="CX3:CX4"/>
    <mergeCell ref="CY3:CY4"/>
    <mergeCell ref="CZ3:CZ4"/>
    <mergeCell ref="DA3:DA4"/>
    <mergeCell ref="DB3:DG3"/>
    <mergeCell ref="DH3:DL3"/>
    <mergeCell ref="DN3:DR3"/>
    <mergeCell ref="DS3:DW3"/>
    <mergeCell ref="CX44:CX45"/>
    <mergeCell ref="CY44:CY45"/>
    <mergeCell ref="CZ44:CZ45"/>
    <mergeCell ref="DA44:DA45"/>
    <mergeCell ref="DB44:DG44"/>
    <mergeCell ref="DH44:DL44"/>
    <mergeCell ref="DN44:DR44"/>
    <mergeCell ref="DS44:DW44"/>
    <mergeCell ref="A163:T167"/>
    <mergeCell ref="A191:F191"/>
    <mergeCell ref="H191:M191"/>
    <mergeCell ref="BK147:BN152"/>
    <mergeCell ref="DI175:DP176"/>
    <mergeCell ref="EC18:EF18"/>
    <mergeCell ref="EG18:EJ18"/>
    <mergeCell ref="EK18:EM18"/>
    <mergeCell ref="EN18:EP18"/>
    <mergeCell ref="ES16:EZ17"/>
    <mergeCell ref="ES19:EY20"/>
    <mergeCell ref="FG1:GD1"/>
    <mergeCell ref="FG21:GD21"/>
    <mergeCell ref="FG44:GD44"/>
    <mergeCell ref="FG65:GD65"/>
    <mergeCell ref="FG88:GD89"/>
    <mergeCell ref="CX128:DO128"/>
    <mergeCell ref="CX129:DO129"/>
    <mergeCell ref="DB131:DE131"/>
    <mergeCell ref="DL131:DO131"/>
    <mergeCell ref="DQ131:DT131"/>
    <mergeCell ref="DV131:DY131"/>
    <mergeCell ref="CX167:DI168"/>
    <mergeCell ref="CX88:DT88"/>
    <mergeCell ref="DA90:DE90"/>
    <mergeCell ref="DH90:DK90"/>
    <mergeCell ref="DN90:DT90"/>
    <mergeCell ref="DG131:DJ131"/>
    <mergeCell ref="GU62:GV62"/>
    <mergeCell ref="GU63:GV63"/>
    <mergeCell ref="GS49:GS50"/>
    <mergeCell ref="GT49:GT50"/>
    <mergeCell ref="GU49:GV50"/>
    <mergeCell ref="GH47:GK48"/>
    <mergeCell ref="GM47:GQ48"/>
    <mergeCell ref="GU51:GV51"/>
    <mergeCell ref="GU52:GV52"/>
    <mergeCell ref="GU53:GV53"/>
    <mergeCell ref="GU54:GV54"/>
    <mergeCell ref="GU55:GV55"/>
    <mergeCell ref="GU56:GV56"/>
    <mergeCell ref="CX175:DF176"/>
    <mergeCell ref="GW49:GW50"/>
    <mergeCell ref="GU64:GV64"/>
    <mergeCell ref="GS47:GW48"/>
    <mergeCell ref="IC1:IK1"/>
    <mergeCell ref="IC15:IK15"/>
    <mergeCell ref="KZ1:LE1"/>
    <mergeCell ref="LH1:LL1"/>
    <mergeCell ref="KZ6:LK7"/>
    <mergeCell ref="KZ8:KZ9"/>
    <mergeCell ref="LA8:LA9"/>
    <mergeCell ref="LB8:LB9"/>
    <mergeCell ref="LC8:LC9"/>
    <mergeCell ref="LD8:LD9"/>
    <mergeCell ref="LG8:LG9"/>
    <mergeCell ref="LH8:LH9"/>
    <mergeCell ref="LI8:LI9"/>
    <mergeCell ref="LJ8:LJ9"/>
    <mergeCell ref="LK8:LK9"/>
    <mergeCell ref="GU57:GV57"/>
    <mergeCell ref="GU58:GV58"/>
    <mergeCell ref="GU59:GV59"/>
    <mergeCell ref="GU60:GV60"/>
    <mergeCell ref="GU61:GV61"/>
    <mergeCell ref="JB63:JB64"/>
    <mergeCell ref="JC63:JC64"/>
    <mergeCell ref="JD63:JD64"/>
    <mergeCell ref="JE63:JE64"/>
    <mergeCell ref="JF63:JF64"/>
    <mergeCell ref="JG63:JG64"/>
    <mergeCell ref="JH63:JH64"/>
    <mergeCell ref="JI63:JI64"/>
    <mergeCell ref="JB80:JG89"/>
  </mergeCells>
  <phoneticPr fontId="21" type="noConversion"/>
  <conditionalFormatting sqref="AE4:AE19 AN4:AN19">
    <cfRule type="expression" dxfId="45" priority="33">
      <formula>AE4&lt;TODAY()-30</formula>
    </cfRule>
  </conditionalFormatting>
  <conditionalFormatting sqref="AE23:AE38">
    <cfRule type="expression" dxfId="44" priority="32">
      <formula>AE23&lt;TODAY()-30</formula>
    </cfRule>
  </conditionalFormatting>
  <conditionalFormatting sqref="AE48:AE63 AN48:AN63">
    <cfRule type="expression" dxfId="43" priority="30">
      <formula>AE48&lt;TODAY()-30</formula>
    </cfRule>
  </conditionalFormatting>
  <conditionalFormatting sqref="AE67:AE82">
    <cfRule type="expression" dxfId="42" priority="29">
      <formula>AE67&lt;TODAY()-30</formula>
    </cfRule>
  </conditionalFormatting>
  <conditionalFormatting sqref="AE92:AE101 AN92:AN101">
    <cfRule type="expression" dxfId="41" priority="27">
      <formula>AE92&lt;TODAY()-30</formula>
    </cfRule>
  </conditionalFormatting>
  <conditionalFormatting sqref="AE137:AE146 AN137:AN146">
    <cfRule type="expression" dxfId="40" priority="26">
      <formula>AE137&lt;TODAY()-30</formula>
    </cfRule>
  </conditionalFormatting>
  <conditionalFormatting sqref="AE182:AE191">
    <cfRule type="expression" dxfId="39" priority="25">
      <formula>AE182&lt;TODAY()-30</formula>
    </cfRule>
  </conditionalFormatting>
  <conditionalFormatting sqref="AN23:AN38">
    <cfRule type="expression" dxfId="38" priority="31">
      <formula>AN23&lt;TODAY()-30</formula>
    </cfRule>
  </conditionalFormatting>
  <conditionalFormatting sqref="AN67:AN82">
    <cfRule type="expression" dxfId="37" priority="28">
      <formula>AN67&lt;TODAY()-30</formula>
    </cfRule>
  </conditionalFormatting>
  <conditionalFormatting sqref="AN182:AN196">
    <cfRule type="expression" dxfId="36" priority="24">
      <formula>AN182&lt;TODAY()-30</formula>
    </cfRule>
  </conditionalFormatting>
  <conditionalFormatting sqref="BD4:BD19 BM4:BM19">
    <cfRule type="expression" dxfId="35" priority="22">
      <formula>BD4&lt;TODAY()-30</formula>
    </cfRule>
  </conditionalFormatting>
  <conditionalFormatting sqref="BD23:BD38">
    <cfRule type="expression" dxfId="34" priority="21">
      <formula>BD23&lt;TODAY()-30</formula>
    </cfRule>
  </conditionalFormatting>
  <conditionalFormatting sqref="BD48:BD63 BM48:BM63">
    <cfRule type="expression" dxfId="33" priority="19">
      <formula>BD48&lt;TODAY()-30</formula>
    </cfRule>
  </conditionalFormatting>
  <conditionalFormatting sqref="BD67:BD82">
    <cfRule type="expression" dxfId="32" priority="18">
      <formula>BD67&lt;TODAY()-30</formula>
    </cfRule>
  </conditionalFormatting>
  <conditionalFormatting sqref="BD92:BD101 BM92:BM101">
    <cfRule type="expression" dxfId="31" priority="16">
      <formula>BD92&lt;TODAY()-30</formula>
    </cfRule>
  </conditionalFormatting>
  <conditionalFormatting sqref="BD137:BD146 BM137:BM146">
    <cfRule type="expression" dxfId="30" priority="23">
      <formula>BD137&lt;TODAY()-30</formula>
    </cfRule>
  </conditionalFormatting>
  <conditionalFormatting sqref="BD182:BD191">
    <cfRule type="expression" dxfId="29" priority="15">
      <formula>BD182&lt;TODAY()-30</formula>
    </cfRule>
  </conditionalFormatting>
  <conditionalFormatting sqref="BM23:BM38">
    <cfRule type="expression" dxfId="28" priority="20">
      <formula>BM23&lt;TODAY()-30</formula>
    </cfRule>
  </conditionalFormatting>
  <conditionalFormatting sqref="BM67:BM82">
    <cfRule type="expression" dxfId="27" priority="17">
      <formula>BM67&lt;TODAY()-30</formula>
    </cfRule>
  </conditionalFormatting>
  <conditionalFormatting sqref="BM182:BM191">
    <cfRule type="expression" dxfId="26" priority="14">
      <formula>BM182&lt;TODAY()-30</formula>
    </cfRule>
  </conditionalFormatting>
  <conditionalFormatting sqref="BM201:BM213">
    <cfRule type="expression" dxfId="25" priority="2">
      <formula>BM201&lt;TODAY()-30</formula>
    </cfRule>
  </conditionalFormatting>
  <conditionalFormatting sqref="CD4:CD19 CM4:CM19">
    <cfRule type="expression" dxfId="24" priority="12">
      <formula>CD4&lt;TODAY()-30</formula>
    </cfRule>
  </conditionalFormatting>
  <conditionalFormatting sqref="CD23:CD38">
    <cfRule type="expression" dxfId="23" priority="11">
      <formula>CD23&lt;TODAY()-30</formula>
    </cfRule>
  </conditionalFormatting>
  <conditionalFormatting sqref="CD48:CD63 CM48:CM63">
    <cfRule type="expression" dxfId="22" priority="9">
      <formula>CD48&lt;TODAY()-30</formula>
    </cfRule>
  </conditionalFormatting>
  <conditionalFormatting sqref="CD67:CD82">
    <cfRule type="expression" dxfId="21" priority="8">
      <formula>CD67&lt;TODAY()-30</formula>
    </cfRule>
  </conditionalFormatting>
  <conditionalFormatting sqref="CD92:CD101 CM92:CM101">
    <cfRule type="expression" dxfId="20" priority="10">
      <formula>CD92&lt;TODAY()-30</formula>
    </cfRule>
  </conditionalFormatting>
  <conditionalFormatting sqref="CD137:CD146 CM137:CM146">
    <cfRule type="expression" dxfId="19" priority="6">
      <formula>CD137&lt;TODAY()-30</formula>
    </cfRule>
  </conditionalFormatting>
  <conditionalFormatting sqref="CD182:CD191">
    <cfRule type="expression" dxfId="18" priority="5">
      <formula>CD182&lt;TODAY()-30</formula>
    </cfRule>
  </conditionalFormatting>
  <conditionalFormatting sqref="CD199:CD216">
    <cfRule type="expression" dxfId="17" priority="3">
      <formula>CD199&lt;TODAY()-30</formula>
    </cfRule>
  </conditionalFormatting>
  <conditionalFormatting sqref="CM23:CM38">
    <cfRule type="expression" dxfId="16" priority="1">
      <formula>CM23&lt;TODAY()-30</formula>
    </cfRule>
  </conditionalFormatting>
  <conditionalFormatting sqref="CM67:CM82">
    <cfRule type="expression" dxfId="15" priority="7">
      <formula>CM67&lt;TODAY()-30</formula>
    </cfRule>
  </conditionalFormatting>
  <conditionalFormatting sqref="CM182:CM187">
    <cfRule type="expression" dxfId="14" priority="4">
      <formula>CM182&lt;TODAY()-30</formula>
    </cfRule>
  </conditionalFormatting>
  <conditionalFormatting sqref="CM200:CM213">
    <cfRule type="expression" dxfId="13" priority="13">
      <formula>CM200&lt;TODAY()-30</formula>
    </cfRule>
  </conditionalFormatting>
  <dataValidations count="9">
    <dataValidation type="list" allowBlank="1" showInputMessage="1" showErrorMessage="1" sqref="H308" xr:uid="{B5F6BA74-6A39-4B9B-B3BE-AB6BD1F217A5}">
      <formula1>$E$313:$E$316</formula1>
    </dataValidation>
    <dataValidation type="list" allowBlank="1" showInputMessage="1" showErrorMessage="1" sqref="I308" xr:uid="{7676F71E-4255-4C66-92CC-9FB015C6BE79}">
      <formula1>$E$320:$E$329</formula1>
    </dataValidation>
    <dataValidation type="list" allowBlank="1" showInputMessage="1" showErrorMessage="1" sqref="DL178:DL185 DA170:DC173 DB178:DB182 FJ91:FN104 FJ23:FN36 FJ46:FN59 FJ67:FN80 FJ3:FN16 LA3 LA10:LA20" xr:uid="{4E177A42-998C-496F-B47A-D0B8402C1DC8}">
      <formula1>"Yes, No"</formula1>
    </dataValidation>
    <dataValidation type="list" allowBlank="1" showInputMessage="1" showErrorMessage="1" sqref="DA178:DA182" xr:uid="{563ED15A-D87A-4C41-A725-57F2088483DE}">
      <formula1>"Side Mount, Undercut"</formula1>
    </dataValidation>
    <dataValidation type="list" allowBlank="1" showInputMessage="1" showErrorMessage="1" sqref="EC4:EC17" xr:uid="{AFDBF9C0-751A-4343-909F-E01F7BC9E672}">
      <formula1>#REF!</formula1>
    </dataValidation>
    <dataValidation type="list" allowBlank="1" showInputMessage="1" showErrorMessage="1" sqref="ET22:ET35" xr:uid="{C44D6E07-7E3D-46D0-A563-B12DB38C90AB}">
      <formula1>"0, 1, 2"</formula1>
    </dataValidation>
    <dataValidation type="list" allowBlank="1" showInputMessage="1" showErrorMessage="1" sqref="FI3:FI16 FI91:FI104 FI46:FI59 FI23:FI36 FI67:FI80" xr:uid="{D5D63468-C92A-4651-A968-FB628303A555}">
      <formula1>$GD$3:$GD$10</formula1>
    </dataValidation>
    <dataValidation type="list" allowBlank="1" showInputMessage="1" showErrorMessage="1" sqref="GN50:GN63 GT51:GT64" xr:uid="{96947611-9B63-41FD-B1D7-4850FF22571F}">
      <formula1>$GL$66:$GL$68</formula1>
    </dataValidation>
    <dataValidation type="list" allowBlank="1" showInputMessage="1" showErrorMessage="1" sqref="LI3" xr:uid="{5EF1EF93-3755-4936-858B-6DB164BC7A03}">
      <formula1>"Round, Straight"</formula1>
    </dataValidation>
  </dataValidations>
  <hyperlinks>
    <hyperlink ref="A18:T22" location="ESTIMATE!A1" display="HOME" xr:uid="{6DAFAEB6-89D3-466B-88BD-38AF609615F7}"/>
    <hyperlink ref="A65:T69" location="ESTIMATE!A1" display="HOME" xr:uid="{FB4ACC41-6D65-4D56-B37B-145A2E10DFF0}"/>
    <hyperlink ref="A112:T116" location="ESTIMATE!A1" display="HOME" xr:uid="{AE6CF497-E563-424E-A992-34A61D3D9121}"/>
    <hyperlink ref="A163:T167" location="ESTIMATE!A1" display="HOME" xr:uid="{E8123DF2-A8B6-42AF-80E0-836F4BA0318C}"/>
    <hyperlink ref="A206:T210" location="ESTIMATE!A1" display="HOME" xr:uid="{D92E0A41-6B1C-4EEE-AF41-E3531B4277ED}"/>
    <hyperlink ref="AQ3:AU7" location="ESTIMATE!A1" display="HOME" xr:uid="{DB21C79D-BB18-44AF-9482-612138FC4815}"/>
    <hyperlink ref="AQ49:AU53" location="ESTIMATE!A1" display="HOME" xr:uid="{D2445C87-32CB-4870-B241-C254D5F643DA}"/>
    <hyperlink ref="AQ93:AU97" location="ESTIMATE!A1" display="HOME" xr:uid="{01FBCB98-797B-4BA6-BA62-B5912245F40D}"/>
    <hyperlink ref="AQ138:AU142" location="ESTIMATE!A1" display="HOME" xr:uid="{C4C3455F-C3CE-4B49-A93B-54A60ABBD84F}"/>
    <hyperlink ref="AQ184:AU188" location="ESTIMATE!A1" display="HOME" xr:uid="{CA1D0DC7-5C70-460C-AFCC-0EEDE4FE8571}"/>
    <hyperlink ref="BP3:BT7" location="ESTIMATE!A1" display="HOME" xr:uid="{EB3EA08F-4528-4CD8-BE5D-8C149E7EC2DB}"/>
    <hyperlink ref="BP49:BT53" location="ESTIMATE!A1" display="HOME" xr:uid="{3EA34BD7-12E7-4E88-A4B1-37442F763550}"/>
    <hyperlink ref="BP93:BT97" location="ESTIMATE!A1" display="HOME" xr:uid="{4728C735-889A-451B-BA37-B9169971A96A}"/>
    <hyperlink ref="BP138:BT142" location="ESTIMATE!A1" display="HOME" xr:uid="{822131F1-0FEB-42A9-8D26-FAF2A7F5DAA6}"/>
    <hyperlink ref="BP184:BT188" location="ESTIMATE!A1" display="HOME" xr:uid="{A0E629D7-B0F4-4165-8EBD-24E1D11697A8}"/>
    <hyperlink ref="CP3:CT7" location="ESTIMATE!A1" display="HOME" xr:uid="{1F73E859-EB38-468A-8B01-E1FEE4091EAB}"/>
    <hyperlink ref="CP49:CT53" location="ESTIMATE!A1" display="HOME" xr:uid="{4437F50B-A267-48A3-A368-9D3D0E132E10}"/>
    <hyperlink ref="CP93:CT97" location="ESTIMATE!A1" display="HOME" xr:uid="{02A9CC53-3F3E-484F-93AE-98C78F027058}"/>
    <hyperlink ref="CP138:CT142" location="ESTIMATE!A1" display="HOME" xr:uid="{451EE09E-79FB-47F5-AC87-4B1FA84E673F}"/>
    <hyperlink ref="CP184:CT188" location="ESTIMATE!A1" display="HOME" xr:uid="{E8470F35-7BDB-409E-95EC-0EFFBE3D5743}"/>
    <hyperlink ref="B290" location="Notes!BD1:CJ2" display="Notes!BD1:CJ2" xr:uid="{BAC5A0DC-B966-4BC3-8F32-5F04AA6B6227}"/>
    <hyperlink ref="B289" location="Notes!AC1:BB42" display="Notes!AC1:BB42" xr:uid="{BA304E5C-7EAF-4EF2-B3A0-28CB3DF93E71}"/>
    <hyperlink ref="H255:L259" location="ESTIMATE!A1" display="HOME" xr:uid="{667F3EF2-C4D3-4C78-8149-E07983320FB6}"/>
  </hyperlinks>
  <pageMargins left="0.7" right="0.7" top="0.75" bottom="0.75" header="0.3" footer="0.3"/>
  <pageSetup orientation="landscape" r:id="rId1"/>
  <tableParts count="6">
    <tablePart r:id="rId2"/>
    <tablePart r:id="rId3"/>
    <tablePart r:id="rId4"/>
    <tablePart r:id="rId5"/>
    <tablePart r:id="rId6"/>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570C2-8A28-454C-A27E-7DDED368A520}">
  <sheetPr>
    <tabColor theme="0"/>
  </sheetPr>
  <dimension ref="A1:AC21"/>
  <sheetViews>
    <sheetView workbookViewId="0">
      <selection activeCell="M10" sqref="M10"/>
    </sheetView>
  </sheetViews>
  <sheetFormatPr defaultRowHeight="15" x14ac:dyDescent="0.25"/>
  <cols>
    <col min="6" max="7" width="9.140625" customWidth="1"/>
    <col min="9" max="9" width="10.42578125" hidden="1" customWidth="1"/>
    <col min="10" max="10" width="9.140625" hidden="1" customWidth="1"/>
    <col min="12" max="12" width="9.140625" hidden="1" customWidth="1"/>
    <col min="14" max="14" width="9.140625" hidden="1" customWidth="1"/>
    <col min="15" max="15" width="11.140625" customWidth="1"/>
    <col min="16" max="16" width="11.140625" hidden="1" customWidth="1"/>
    <col min="17" max="17" width="12.42578125" customWidth="1"/>
    <col min="18" max="18" width="12.42578125" hidden="1" customWidth="1"/>
    <col min="19" max="19" width="12.5703125" customWidth="1"/>
    <col min="24" max="24" width="0" hidden="1" customWidth="1"/>
    <col min="26" max="26" width="0" hidden="1" customWidth="1"/>
    <col min="28" max="28" width="0" hidden="1" customWidth="1"/>
    <col min="29" max="29" width="10.5703125" customWidth="1"/>
  </cols>
  <sheetData>
    <row r="1" spans="1:29" ht="15.75" thickBot="1" x14ac:dyDescent="0.3">
      <c r="A1" t="s">
        <v>1186</v>
      </c>
    </row>
    <row r="2" spans="1:29" x14ac:dyDescent="0.25">
      <c r="A2" s="275" t="s">
        <v>1159</v>
      </c>
      <c r="B2" s="179" t="s">
        <v>1187</v>
      </c>
      <c r="C2" s="179" t="s">
        <v>1188</v>
      </c>
      <c r="D2" s="179" t="s">
        <v>1189</v>
      </c>
      <c r="E2" s="608" t="s">
        <v>1190</v>
      </c>
      <c r="F2" s="608"/>
      <c r="G2" s="608"/>
      <c r="H2" s="608"/>
      <c r="I2" s="608"/>
      <c r="J2" s="608"/>
      <c r="K2" s="608"/>
      <c r="L2" s="608"/>
      <c r="M2" s="608"/>
      <c r="N2" s="608"/>
      <c r="O2" s="608"/>
      <c r="P2" s="608"/>
      <c r="Q2" s="608"/>
      <c r="R2" s="276"/>
      <c r="S2" s="180"/>
      <c r="U2" s="607" t="s">
        <v>426</v>
      </c>
      <c r="V2" s="608"/>
      <c r="W2" s="608"/>
      <c r="X2" s="608"/>
      <c r="Y2" s="608"/>
      <c r="Z2" s="608"/>
      <c r="AA2" s="608"/>
      <c r="AB2" s="608"/>
      <c r="AC2" s="609"/>
    </row>
    <row r="3" spans="1:29" ht="45" x14ac:dyDescent="0.25">
      <c r="A3" s="412">
        <f>ESTIMATE!I2</f>
        <v>0</v>
      </c>
      <c r="B3" s="44" t="str">
        <f>IF(A3&lt;73,"YES","NO")</f>
        <v>YES</v>
      </c>
      <c r="C3" s="44" t="str">
        <f>IF(OR(B3="YES",D3="YES"),"NO","YES")</f>
        <v>NO</v>
      </c>
      <c r="D3" s="44" t="str">
        <f>IF(A3&gt;131,"YES","NO")</f>
        <v>NO</v>
      </c>
      <c r="E3" s="44"/>
      <c r="F3" s="44" t="s">
        <v>1191</v>
      </c>
      <c r="G3" s="44" t="s">
        <v>1192</v>
      </c>
      <c r="H3" s="330" t="s">
        <v>1193</v>
      </c>
      <c r="I3" s="330" t="s">
        <v>1209</v>
      </c>
      <c r="J3" s="330" t="s">
        <v>1194</v>
      </c>
      <c r="K3" s="330" t="s">
        <v>1195</v>
      </c>
      <c r="L3" s="330" t="s">
        <v>1213</v>
      </c>
      <c r="M3" s="330" t="s">
        <v>1212</v>
      </c>
      <c r="N3" s="330" t="s">
        <v>1214</v>
      </c>
      <c r="O3" s="330" t="s">
        <v>1196</v>
      </c>
      <c r="P3" s="330"/>
      <c r="Q3" s="330" t="s">
        <v>1197</v>
      </c>
      <c r="R3" s="330"/>
      <c r="S3" s="413" t="s">
        <v>1198</v>
      </c>
      <c r="U3" s="409" t="s">
        <v>1205</v>
      </c>
      <c r="V3" s="330" t="s">
        <v>1206</v>
      </c>
      <c r="W3" s="330" t="s">
        <v>1215</v>
      </c>
      <c r="X3" s="330"/>
      <c r="Y3" s="330" t="s">
        <v>1061</v>
      </c>
      <c r="Z3" s="330"/>
      <c r="AA3" s="330" t="s">
        <v>1207</v>
      </c>
      <c r="AB3" s="330"/>
      <c r="AC3" s="413" t="s">
        <v>1208</v>
      </c>
    </row>
    <row r="4" spans="1:29" ht="15.75" thickBot="1" x14ac:dyDescent="0.3">
      <c r="A4" s="412"/>
      <c r="B4" s="44"/>
      <c r="C4" s="44"/>
      <c r="D4" s="44"/>
      <c r="E4" s="44" t="s">
        <v>1187</v>
      </c>
      <c r="F4" s="44">
        <f>IF($B$3="YES",2,0)</f>
        <v>2</v>
      </c>
      <c r="G4" s="44">
        <f>IF($B$3="YES",2,0)</f>
        <v>2</v>
      </c>
      <c r="H4" s="44"/>
      <c r="I4" s="44">
        <f>IF(H4="YES",2,0)</f>
        <v>0</v>
      </c>
      <c r="J4" s="44">
        <f>IF($B$3="YES",3,0)</f>
        <v>3</v>
      </c>
      <c r="K4" s="44"/>
      <c r="L4" s="44">
        <f>IF(K4="YES",1,0)</f>
        <v>0</v>
      </c>
      <c r="M4" s="44"/>
      <c r="N4" s="44">
        <f>IF(M4="YES",8,0)</f>
        <v>0</v>
      </c>
      <c r="O4" s="44"/>
      <c r="P4" s="44">
        <f>IF(O4="YES",4,0)</f>
        <v>0</v>
      </c>
      <c r="Q4" s="44"/>
      <c r="R4" s="44">
        <f>IF(Q4="YES",2,0)</f>
        <v>0</v>
      </c>
      <c r="S4" s="414">
        <f>SUM(R4+P4+N4+L4+J4+I4+G4+F4)</f>
        <v>7</v>
      </c>
      <c r="U4" s="410"/>
      <c r="V4" s="411" t="str" cm="1">
        <f t="array" ref="V4">_xlfn.IFS(U4="", "",U4&lt;100, 8,AND(U4&gt;100,U4&lt;200.1),12,U4&gt;200, 0.465 * (U4^0.649))</f>
        <v/>
      </c>
      <c r="W4" s="182" t="s">
        <v>1211</v>
      </c>
      <c r="X4" s="411">
        <f>IF(W4="YES",V4*0.2,0)</f>
        <v>0</v>
      </c>
      <c r="Y4" s="182" t="s">
        <v>1211</v>
      </c>
      <c r="Z4" s="411">
        <f>IF(Y4="YES",V4*0.1,0)</f>
        <v>0</v>
      </c>
      <c r="AA4" s="182" t="s">
        <v>1211</v>
      </c>
      <c r="AB4" s="411">
        <f>IF(AA4="YES",V4*0.1,0)</f>
        <v>0</v>
      </c>
      <c r="AC4" s="416" t="str">
        <f>IFERROR(SUM(AB4+Z4+X4+V4),"")</f>
        <v/>
      </c>
    </row>
    <row r="5" spans="1:29" x14ac:dyDescent="0.25">
      <c r="A5" s="412"/>
      <c r="B5" s="44"/>
      <c r="C5" s="44"/>
      <c r="D5" s="44"/>
      <c r="E5" s="44" t="s">
        <v>1188</v>
      </c>
      <c r="F5" s="44">
        <f>IF($C$3="YES",2,0)</f>
        <v>0</v>
      </c>
      <c r="G5" s="44">
        <f>IF(C$3="YES",2,0)</f>
        <v>0</v>
      </c>
      <c r="H5" s="44"/>
      <c r="I5" s="44">
        <f t="shared" ref="I5" si="0">IF(H5="YES",2,0)</f>
        <v>0</v>
      </c>
      <c r="J5" s="44">
        <f>IF($C$3="YES",4,0)</f>
        <v>0</v>
      </c>
      <c r="K5" s="44"/>
      <c r="L5" s="44">
        <f>IF(K5="YES",1,0)</f>
        <v>0</v>
      </c>
      <c r="M5" s="44"/>
      <c r="N5" s="44">
        <f>IF(M5="YES",8,0)</f>
        <v>0</v>
      </c>
      <c r="O5" s="44"/>
      <c r="P5" s="44">
        <f>IF(O5="YES",4,0)</f>
        <v>0</v>
      </c>
      <c r="Q5" s="44"/>
      <c r="R5" s="44">
        <f t="shared" ref="R5" si="1">IF(Q5="YES",2,0)</f>
        <v>0</v>
      </c>
      <c r="S5" s="414">
        <f>SUM(R5+P5+N5+L5+J5+I5+G5+F5)</f>
        <v>0</v>
      </c>
    </row>
    <row r="6" spans="1:29" ht="15.75" thickBot="1" x14ac:dyDescent="0.3">
      <c r="A6" s="181"/>
      <c r="B6" s="182"/>
      <c r="C6" s="182"/>
      <c r="D6" s="182"/>
      <c r="E6" s="182" t="s">
        <v>1189</v>
      </c>
      <c r="F6" s="182">
        <f>IF($D$3="YES",2,0)</f>
        <v>0</v>
      </c>
      <c r="G6" s="182">
        <f>IF($D$3="YES",2,0)</f>
        <v>0</v>
      </c>
      <c r="H6" s="182"/>
      <c r="I6" s="182">
        <f>IF(H6="YES",4,0)</f>
        <v>0</v>
      </c>
      <c r="J6" s="182">
        <f>IF($D$3="YES",6,0)</f>
        <v>0</v>
      </c>
      <c r="K6" s="182"/>
      <c r="L6" s="182">
        <f>IF(K6="YES",2,0)</f>
        <v>0</v>
      </c>
      <c r="M6" s="182"/>
      <c r="N6" s="182">
        <f>IF(M6="YES",8,0)</f>
        <v>0</v>
      </c>
      <c r="O6" s="182"/>
      <c r="P6" s="182">
        <f>IF(O6="YES",4,0)</f>
        <v>0</v>
      </c>
      <c r="Q6" s="182"/>
      <c r="R6" s="182">
        <f>IF(Q6="YES",2,0)</f>
        <v>0</v>
      </c>
      <c r="S6" s="415">
        <f t="shared" ref="S6" si="2">SUM(R6+P6+N6+L6+J6+I6+G6+F6)</f>
        <v>0</v>
      </c>
    </row>
    <row r="8" spans="1:29" ht="15.75" thickBot="1" x14ac:dyDescent="0.3"/>
    <row r="9" spans="1:29" x14ac:dyDescent="0.25">
      <c r="A9" s="607" t="s">
        <v>1199</v>
      </c>
      <c r="B9" s="608"/>
      <c r="C9" s="608"/>
      <c r="D9" s="608"/>
      <c r="E9" s="608"/>
      <c r="F9" s="608"/>
      <c r="G9" s="608"/>
      <c r="H9" s="609"/>
    </row>
    <row r="10" spans="1:29" ht="105" x14ac:dyDescent="0.25">
      <c r="A10" s="409"/>
      <c r="B10" s="330" t="s">
        <v>1218</v>
      </c>
      <c r="C10" s="330" t="s">
        <v>1199</v>
      </c>
      <c r="D10" s="330" t="s">
        <v>1202</v>
      </c>
      <c r="E10" s="330" t="s">
        <v>1217</v>
      </c>
      <c r="F10" s="330" t="s">
        <v>1203</v>
      </c>
      <c r="G10" s="330" t="s">
        <v>1216</v>
      </c>
      <c r="H10" s="413" t="s">
        <v>1204</v>
      </c>
    </row>
    <row r="11" spans="1:29" x14ac:dyDescent="0.25">
      <c r="A11" s="412" t="s">
        <v>1187</v>
      </c>
      <c r="B11" s="44"/>
      <c r="C11" s="44" t="str" cm="1">
        <f t="array" ref="C11">IFERROR(_xlfn.IFS(B11="HYDRO",8,B11="PNUEMATIC",5),"")</f>
        <v/>
      </c>
      <c r="D11" s="44"/>
      <c r="E11" s="44">
        <f>IF(D11="YES",4,0)</f>
        <v>0</v>
      </c>
      <c r="F11" s="44"/>
      <c r="G11" s="44">
        <f>IF(F11="YES",8,0)</f>
        <v>0</v>
      </c>
      <c r="H11" s="414" t="str">
        <f>IFERROR(SUM(G11+E11+C11),"")</f>
        <v/>
      </c>
    </row>
    <row r="12" spans="1:29" x14ac:dyDescent="0.25">
      <c r="A12" s="412" t="s">
        <v>1200</v>
      </c>
      <c r="B12" s="44"/>
      <c r="C12" s="44" t="str" cm="1">
        <f t="array" ref="C12">IFERROR(_xlfn.IFS(B12="HYDRO",14,B12="PNUEMATIC",9),"")</f>
        <v/>
      </c>
      <c r="D12" s="44"/>
      <c r="E12" s="44">
        <f t="shared" ref="E12:E13" si="3">IF(D12="YES",4,0)</f>
        <v>0</v>
      </c>
      <c r="F12" s="44"/>
      <c r="G12" s="44">
        <f t="shared" ref="G12:G13" si="4">IF(F12="YES",8,0)</f>
        <v>0</v>
      </c>
      <c r="H12" s="414" t="str">
        <f t="shared" ref="H12:H13" si="5">IFERROR(SUM(G12+E12+C12),"")</f>
        <v/>
      </c>
    </row>
    <row r="13" spans="1:29" ht="15.75" thickBot="1" x14ac:dyDescent="0.3">
      <c r="A13" s="181" t="s">
        <v>1189</v>
      </c>
      <c r="B13" s="182"/>
      <c r="C13" s="182" t="str" cm="1">
        <f t="array" ref="C13">IFERROR(_xlfn.IFS(B13="HYDRO",20,B13="PNUEMATIC",13),"")</f>
        <v/>
      </c>
      <c r="D13" s="182"/>
      <c r="E13" s="182">
        <f t="shared" si="3"/>
        <v>0</v>
      </c>
      <c r="F13" s="182"/>
      <c r="G13" s="182">
        <f t="shared" si="4"/>
        <v>0</v>
      </c>
      <c r="H13" s="415" t="str">
        <f t="shared" si="5"/>
        <v/>
      </c>
    </row>
    <row r="16" spans="1:29" ht="15.75" hidden="1" customHeight="1" thickBot="1" x14ac:dyDescent="0.25">
      <c r="I16" t="s">
        <v>1210</v>
      </c>
    </row>
    <row r="17" spans="9:9" ht="15.75" hidden="1" customHeight="1" thickBot="1" x14ac:dyDescent="0.25">
      <c r="I17" t="s">
        <v>1211</v>
      </c>
    </row>
    <row r="18" spans="9:9" ht="15.75" hidden="1" thickBot="1" x14ac:dyDescent="0.3"/>
    <row r="19" spans="9:9" ht="15.75" hidden="1" thickBot="1" x14ac:dyDescent="0.3"/>
    <row r="20" spans="9:9" ht="15.75" hidden="1" thickBot="1" x14ac:dyDescent="0.3">
      <c r="I20" t="s">
        <v>1219</v>
      </c>
    </row>
    <row r="21" spans="9:9" ht="15.75" hidden="1" thickBot="1" x14ac:dyDescent="0.3">
      <c r="I21" t="s">
        <v>1201</v>
      </c>
    </row>
  </sheetData>
  <mergeCells count="3">
    <mergeCell ref="U2:AC2"/>
    <mergeCell ref="E2:Q2"/>
    <mergeCell ref="A9:H9"/>
  </mergeCells>
  <dataValidations count="2">
    <dataValidation type="list" allowBlank="1" showInputMessage="1" showErrorMessage="1" sqref="H4:H6 K4:K6 M4:M6 O4:O6 Q4:Q6 D11:D13 F11:F13 W4 Y4 AA4" xr:uid="{E07FA37B-198D-41FD-BA55-B90CAB72CA33}">
      <formula1>$I$15:$I$17</formula1>
    </dataValidation>
    <dataValidation type="list" allowBlank="1" showInputMessage="1" showErrorMessage="1" sqref="B11:B13" xr:uid="{53179199-C6BF-4CCB-BC96-D543DE2C3FBB}">
      <formula1>$I$19:$I$21</formula1>
    </dataValidation>
  </dataValidation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pageSetUpPr fitToPage="1"/>
  </sheetPr>
  <dimension ref="A1:U94"/>
  <sheetViews>
    <sheetView showGridLines="0" showWhiteSpace="0" zoomScale="85" zoomScaleNormal="85" workbookViewId="0">
      <selection activeCell="D33" sqref="D33"/>
    </sheetView>
  </sheetViews>
  <sheetFormatPr defaultRowHeight="15" x14ac:dyDescent="0.25"/>
  <cols>
    <col min="1" max="1" width="18.7109375" style="1" bestFit="1" customWidth="1"/>
    <col min="2" max="2" width="5.140625" style="1" bestFit="1" customWidth="1"/>
    <col min="3" max="3" width="38" customWidth="1"/>
    <col min="4" max="4" width="15.28515625" bestFit="1" customWidth="1"/>
    <col min="5" max="5" width="8.5703125" bestFit="1" customWidth="1"/>
    <col min="6" max="6" width="11.42578125" customWidth="1"/>
    <col min="8" max="8" width="18.7109375" bestFit="1" customWidth="1"/>
    <col min="9" max="9" width="5.140625" bestFit="1" customWidth="1"/>
    <col min="10" max="10" width="37.7109375" bestFit="1" customWidth="1"/>
    <col min="11" max="11" width="15" bestFit="1" customWidth="1"/>
    <col min="13" max="13" width="16.42578125" customWidth="1"/>
    <col min="15" max="15" width="18.7109375" bestFit="1" customWidth="1"/>
    <col min="16" max="16" width="5.140625" bestFit="1" customWidth="1"/>
    <col min="17" max="17" width="37.7109375" bestFit="1" customWidth="1"/>
    <col min="18" max="18" width="17.85546875" customWidth="1"/>
    <col min="20" max="20" width="16.140625" customWidth="1"/>
  </cols>
  <sheetData>
    <row r="1" spans="1:21" ht="19.899999999999999" customHeight="1" x14ac:dyDescent="0.3">
      <c r="A1" s="610" t="s">
        <v>123</v>
      </c>
      <c r="B1" s="610"/>
      <c r="C1" s="610"/>
      <c r="D1" s="610"/>
      <c r="E1" s="610"/>
      <c r="F1" s="610"/>
      <c r="G1" s="75"/>
      <c r="H1" s="610" t="s">
        <v>123</v>
      </c>
      <c r="I1" s="610"/>
      <c r="J1" s="610"/>
      <c r="K1" s="610"/>
      <c r="L1" s="610"/>
      <c r="M1" s="610"/>
      <c r="N1" s="75"/>
      <c r="O1" s="610" t="s">
        <v>123</v>
      </c>
      <c r="P1" s="610"/>
      <c r="Q1" s="610"/>
      <c r="R1" s="610"/>
      <c r="S1" s="610"/>
      <c r="T1" s="610"/>
      <c r="U1" s="75"/>
    </row>
    <row r="2" spans="1:21" ht="24.95" customHeight="1" x14ac:dyDescent="0.35">
      <c r="A2" s="567" t="s">
        <v>249</v>
      </c>
      <c r="B2" s="567"/>
      <c r="C2" s="567"/>
      <c r="D2" s="567"/>
      <c r="E2" s="567"/>
      <c r="F2" s="567"/>
      <c r="G2" s="75"/>
      <c r="H2" s="567" t="s">
        <v>249</v>
      </c>
      <c r="I2" s="567"/>
      <c r="J2" s="567"/>
      <c r="K2" s="567"/>
      <c r="L2" s="567"/>
      <c r="M2" s="567"/>
      <c r="N2" s="75"/>
      <c r="O2" s="567" t="s">
        <v>249</v>
      </c>
      <c r="P2" s="567"/>
      <c r="Q2" s="567"/>
      <c r="R2" s="567"/>
      <c r="S2" s="567"/>
      <c r="T2" s="567"/>
      <c r="U2" s="75"/>
    </row>
    <row r="3" spans="1:21" x14ac:dyDescent="0.25">
      <c r="A3" s="189" t="s">
        <v>0</v>
      </c>
      <c r="B3" s="12" t="s">
        <v>1</v>
      </c>
      <c r="C3" s="143" t="s">
        <v>2</v>
      </c>
      <c r="D3" s="12" t="s">
        <v>24</v>
      </c>
      <c r="E3" s="24" t="s">
        <v>7</v>
      </c>
      <c r="F3" s="190" t="s">
        <v>9</v>
      </c>
      <c r="G3" s="75"/>
      <c r="H3" s="189" t="s">
        <v>0</v>
      </c>
      <c r="I3" s="12" t="s">
        <v>1</v>
      </c>
      <c r="J3" s="143" t="s">
        <v>2</v>
      </c>
      <c r="K3" s="12" t="s">
        <v>24</v>
      </c>
      <c r="L3" s="24" t="s">
        <v>7</v>
      </c>
      <c r="M3" s="190" t="s">
        <v>9</v>
      </c>
      <c r="N3" s="75"/>
      <c r="O3" s="189" t="s">
        <v>0</v>
      </c>
      <c r="P3" s="12" t="s">
        <v>1</v>
      </c>
      <c r="Q3" s="143" t="s">
        <v>2</v>
      </c>
      <c r="R3" s="12" t="s">
        <v>24</v>
      </c>
      <c r="S3" s="24" t="s">
        <v>7</v>
      </c>
      <c r="T3" s="190" t="s">
        <v>9</v>
      </c>
      <c r="U3" s="75"/>
    </row>
    <row r="4" spans="1:21" x14ac:dyDescent="0.25">
      <c r="A4" s="189"/>
      <c r="B4" s="12"/>
      <c r="C4" s="143"/>
      <c r="D4" s="12"/>
      <c r="E4" s="24"/>
      <c r="F4" s="190"/>
      <c r="G4" s="75"/>
      <c r="H4" s="189"/>
      <c r="I4" s="12"/>
      <c r="J4" s="143"/>
      <c r="K4" s="12"/>
      <c r="L4" s="24"/>
      <c r="M4" s="190"/>
      <c r="N4" s="75"/>
      <c r="O4" s="189"/>
      <c r="P4" s="12"/>
      <c r="Q4" s="143"/>
      <c r="R4" s="12"/>
      <c r="S4" s="24"/>
      <c r="T4" s="190"/>
      <c r="U4" s="75"/>
    </row>
    <row r="5" spans="1:21" x14ac:dyDescent="0.25">
      <c r="A5" s="189" t="s">
        <v>87</v>
      </c>
      <c r="B5" s="12">
        <v>1</v>
      </c>
      <c r="C5" s="86" t="s">
        <v>90</v>
      </c>
      <c r="D5" s="12" t="s">
        <v>91</v>
      </c>
      <c r="E5" s="24"/>
      <c r="F5" s="190"/>
      <c r="G5" s="75"/>
      <c r="H5" s="189" t="s">
        <v>87</v>
      </c>
      <c r="I5" s="12">
        <v>1</v>
      </c>
      <c r="J5" s="86" t="s">
        <v>90</v>
      </c>
      <c r="K5" s="12" t="s">
        <v>84</v>
      </c>
      <c r="L5" s="24"/>
      <c r="M5" s="190"/>
      <c r="N5" s="75"/>
      <c r="O5" s="189" t="s">
        <v>87</v>
      </c>
      <c r="P5" s="12">
        <v>1</v>
      </c>
      <c r="Q5" s="86" t="s">
        <v>90</v>
      </c>
      <c r="R5" s="12" t="s">
        <v>80</v>
      </c>
      <c r="S5" s="24"/>
      <c r="T5" s="190"/>
      <c r="U5" s="75"/>
    </row>
    <row r="6" spans="1:21" x14ac:dyDescent="0.25">
      <c r="A6" s="189" t="s">
        <v>81</v>
      </c>
      <c r="B6" s="12">
        <v>1</v>
      </c>
      <c r="C6" s="86" t="s">
        <v>228</v>
      </c>
      <c r="D6" s="12" t="s">
        <v>91</v>
      </c>
      <c r="E6" s="24"/>
      <c r="F6" s="190"/>
      <c r="G6" s="75"/>
      <c r="H6" s="189" t="s">
        <v>81</v>
      </c>
      <c r="I6" s="12">
        <v>1</v>
      </c>
      <c r="J6" s="86" t="s">
        <v>228</v>
      </c>
      <c r="K6" s="12" t="s">
        <v>84</v>
      </c>
      <c r="L6" s="24"/>
      <c r="M6" s="190"/>
      <c r="N6" s="75"/>
      <c r="O6" s="189" t="s">
        <v>81</v>
      </c>
      <c r="P6" s="12">
        <v>1</v>
      </c>
      <c r="Q6" s="86" t="s">
        <v>228</v>
      </c>
      <c r="R6" s="12" t="s">
        <v>80</v>
      </c>
      <c r="S6" s="24"/>
      <c r="T6" s="190"/>
      <c r="U6" s="75"/>
    </row>
    <row r="7" spans="1:21" x14ac:dyDescent="0.25">
      <c r="A7" s="189" t="s">
        <v>82</v>
      </c>
      <c r="B7" s="12">
        <v>1</v>
      </c>
      <c r="C7" s="86" t="s">
        <v>90</v>
      </c>
      <c r="D7" s="12" t="s">
        <v>91</v>
      </c>
      <c r="E7" s="24"/>
      <c r="F7" s="190"/>
      <c r="G7" s="75"/>
      <c r="H7" s="189" t="s">
        <v>82</v>
      </c>
      <c r="I7" s="12">
        <v>1</v>
      </c>
      <c r="J7" s="86" t="s">
        <v>90</v>
      </c>
      <c r="K7" s="12" t="s">
        <v>84</v>
      </c>
      <c r="L7" s="24"/>
      <c r="M7" s="190"/>
      <c r="N7" s="75"/>
      <c r="O7" s="189" t="s">
        <v>82</v>
      </c>
      <c r="P7" s="12">
        <v>1</v>
      </c>
      <c r="Q7" s="86" t="s">
        <v>90</v>
      </c>
      <c r="R7" s="12" t="s">
        <v>80</v>
      </c>
      <c r="S7" s="24"/>
      <c r="T7" s="190"/>
      <c r="U7" s="75"/>
    </row>
    <row r="8" spans="1:21" x14ac:dyDescent="0.25">
      <c r="A8" s="189"/>
      <c r="B8" s="12">
        <v>1</v>
      </c>
      <c r="C8" s="86" t="s">
        <v>90</v>
      </c>
      <c r="D8" s="12" t="s">
        <v>91</v>
      </c>
      <c r="E8" s="24"/>
      <c r="F8" s="190"/>
      <c r="G8" s="75"/>
      <c r="H8" s="189"/>
      <c r="I8" s="12">
        <v>1</v>
      </c>
      <c r="J8" s="86" t="s">
        <v>90</v>
      </c>
      <c r="K8" s="12" t="s">
        <v>84</v>
      </c>
      <c r="L8" s="24"/>
      <c r="M8" s="190"/>
      <c r="N8" s="75"/>
      <c r="O8" s="189"/>
      <c r="P8" s="12">
        <v>1</v>
      </c>
      <c r="Q8" s="86" t="s">
        <v>90</v>
      </c>
      <c r="R8" s="12" t="s">
        <v>80</v>
      </c>
      <c r="S8" s="24"/>
      <c r="T8" s="190"/>
      <c r="U8" s="75"/>
    </row>
    <row r="9" spans="1:21" x14ac:dyDescent="0.25">
      <c r="A9" s="189" t="s">
        <v>83</v>
      </c>
      <c r="B9" s="12">
        <v>1</v>
      </c>
      <c r="C9" s="86" t="s">
        <v>90</v>
      </c>
      <c r="D9" s="12" t="s">
        <v>91</v>
      </c>
      <c r="E9" s="24"/>
      <c r="F9" s="190"/>
      <c r="G9" s="75"/>
      <c r="H9" s="189" t="s">
        <v>83</v>
      </c>
      <c r="I9" s="12">
        <v>1</v>
      </c>
      <c r="J9" s="86" t="s">
        <v>90</v>
      </c>
      <c r="K9" s="12" t="s">
        <v>84</v>
      </c>
      <c r="L9" s="24"/>
      <c r="M9" s="190"/>
      <c r="N9" s="75"/>
      <c r="O9" s="189" t="s">
        <v>83</v>
      </c>
      <c r="P9" s="12">
        <v>1</v>
      </c>
      <c r="Q9" s="86" t="s">
        <v>90</v>
      </c>
      <c r="R9" s="12" t="s">
        <v>80</v>
      </c>
      <c r="S9" s="24"/>
      <c r="T9" s="190"/>
      <c r="U9" s="75"/>
    </row>
    <row r="10" spans="1:21" x14ac:dyDescent="0.25">
      <c r="A10" s="189" t="s">
        <v>367</v>
      </c>
      <c r="B10" s="12">
        <v>2</v>
      </c>
      <c r="C10" s="86" t="s">
        <v>90</v>
      </c>
      <c r="D10" s="12" t="s">
        <v>91</v>
      </c>
      <c r="E10" s="24"/>
      <c r="F10" s="191"/>
      <c r="G10" s="75"/>
      <c r="H10" s="189" t="s">
        <v>367</v>
      </c>
      <c r="I10" s="12">
        <v>2</v>
      </c>
      <c r="J10" s="86" t="s">
        <v>90</v>
      </c>
      <c r="K10" s="12" t="s">
        <v>84</v>
      </c>
      <c r="L10" s="24"/>
      <c r="M10" s="191"/>
      <c r="N10" s="75"/>
      <c r="O10" s="189" t="s">
        <v>367</v>
      </c>
      <c r="P10" s="12">
        <v>2</v>
      </c>
      <c r="Q10" s="86" t="s">
        <v>90</v>
      </c>
      <c r="R10" s="12" t="s">
        <v>84</v>
      </c>
      <c r="S10" s="24"/>
      <c r="T10" s="191"/>
      <c r="U10" s="75"/>
    </row>
    <row r="11" spans="1:21" x14ac:dyDescent="0.25">
      <c r="A11" s="189" t="s">
        <v>114</v>
      </c>
      <c r="B11" s="12">
        <v>1</v>
      </c>
      <c r="C11" s="143" t="s">
        <v>242</v>
      </c>
      <c r="D11" s="12" t="s">
        <v>91</v>
      </c>
      <c r="E11" s="24">
        <v>25</v>
      </c>
      <c r="F11" s="191">
        <v>1</v>
      </c>
      <c r="G11" s="75"/>
      <c r="H11" s="189" t="s">
        <v>114</v>
      </c>
      <c r="I11" s="12">
        <v>1</v>
      </c>
      <c r="J11" s="143" t="s">
        <v>242</v>
      </c>
      <c r="K11" s="12" t="s">
        <v>84</v>
      </c>
      <c r="L11" s="24">
        <v>30</v>
      </c>
      <c r="M11" s="191">
        <v>1</v>
      </c>
      <c r="N11" s="75"/>
      <c r="O11" s="189" t="s">
        <v>114</v>
      </c>
      <c r="P11" s="12">
        <v>1</v>
      </c>
      <c r="Q11" s="143" t="s">
        <v>242</v>
      </c>
      <c r="R11" s="12" t="s">
        <v>84</v>
      </c>
      <c r="S11" s="24">
        <v>30</v>
      </c>
      <c r="T11" s="191">
        <v>1</v>
      </c>
      <c r="U11" s="75"/>
    </row>
    <row r="12" spans="1:21" x14ac:dyDescent="0.25">
      <c r="A12" s="189" t="s">
        <v>85</v>
      </c>
      <c r="B12" s="12">
        <v>1</v>
      </c>
      <c r="C12" s="86" t="s">
        <v>253</v>
      </c>
      <c r="D12" s="12" t="s">
        <v>91</v>
      </c>
      <c r="E12" s="24"/>
      <c r="F12" s="192">
        <f>B12*1</f>
        <v>1</v>
      </c>
      <c r="G12" s="75"/>
      <c r="H12" s="189" t="s">
        <v>85</v>
      </c>
      <c r="I12" s="12">
        <v>1</v>
      </c>
      <c r="J12" s="86" t="s">
        <v>253</v>
      </c>
      <c r="K12" s="12" t="s">
        <v>84</v>
      </c>
      <c r="L12" s="24"/>
      <c r="M12" s="192">
        <f>I12*1</f>
        <v>1</v>
      </c>
      <c r="N12" s="75"/>
      <c r="O12" s="189" t="s">
        <v>85</v>
      </c>
      <c r="P12" s="12">
        <v>1</v>
      </c>
      <c r="Q12" s="86" t="s">
        <v>253</v>
      </c>
      <c r="R12" s="12" t="s">
        <v>84</v>
      </c>
      <c r="S12" s="24"/>
      <c r="T12" s="192">
        <f>P12*1</f>
        <v>1</v>
      </c>
      <c r="U12" s="75"/>
    </row>
    <row r="13" spans="1:21" x14ac:dyDescent="0.25">
      <c r="A13" s="189" t="s">
        <v>86</v>
      </c>
      <c r="B13" s="12">
        <v>1</v>
      </c>
      <c r="C13" s="86" t="s">
        <v>362</v>
      </c>
      <c r="D13" s="12" t="s">
        <v>91</v>
      </c>
      <c r="E13" s="24"/>
      <c r="F13" s="192">
        <f>B13*4</f>
        <v>4</v>
      </c>
      <c r="G13" s="75"/>
      <c r="H13" s="189" t="s">
        <v>86</v>
      </c>
      <c r="I13" s="12">
        <v>1</v>
      </c>
      <c r="J13" s="86" t="s">
        <v>362</v>
      </c>
      <c r="K13" s="12" t="s">
        <v>84</v>
      </c>
      <c r="L13" s="24"/>
      <c r="M13" s="192">
        <f>I13*4</f>
        <v>4</v>
      </c>
      <c r="N13" s="75"/>
      <c r="O13" s="189" t="s">
        <v>86</v>
      </c>
      <c r="P13" s="12">
        <v>1</v>
      </c>
      <c r="Q13" s="86" t="s">
        <v>362</v>
      </c>
      <c r="R13" s="12" t="s">
        <v>84</v>
      </c>
      <c r="S13" s="24"/>
      <c r="T13" s="192">
        <f>P13*4</f>
        <v>4</v>
      </c>
      <c r="U13" s="75"/>
    </row>
    <row r="14" spans="1:21" x14ac:dyDescent="0.25">
      <c r="A14" s="189"/>
      <c r="B14" s="12"/>
      <c r="C14" s="86" t="s">
        <v>363</v>
      </c>
      <c r="D14" s="12" t="s">
        <v>91</v>
      </c>
      <c r="E14" s="24"/>
      <c r="F14" s="192"/>
      <c r="G14" s="75"/>
      <c r="H14" s="189"/>
      <c r="I14" s="12"/>
      <c r="J14" s="86" t="s">
        <v>363</v>
      </c>
      <c r="K14" s="12" t="s">
        <v>84</v>
      </c>
      <c r="L14" s="24"/>
      <c r="M14" s="192"/>
      <c r="N14" s="75"/>
      <c r="O14" s="189"/>
      <c r="P14" s="12"/>
      <c r="Q14" s="86" t="s">
        <v>363</v>
      </c>
      <c r="R14" s="12" t="s">
        <v>84</v>
      </c>
      <c r="S14" s="24"/>
      <c r="T14" s="192"/>
      <c r="U14" s="75"/>
    </row>
    <row r="15" spans="1:21" x14ac:dyDescent="0.25">
      <c r="A15" s="189"/>
      <c r="B15" s="12"/>
      <c r="C15" s="86"/>
      <c r="D15" s="12"/>
      <c r="E15" s="24"/>
      <c r="F15" s="192"/>
      <c r="G15" s="75"/>
      <c r="H15" s="189"/>
      <c r="I15" s="12"/>
      <c r="J15" s="86"/>
      <c r="K15" s="12"/>
      <c r="L15" s="24"/>
      <c r="M15" s="192"/>
      <c r="N15" s="75"/>
      <c r="O15" s="189"/>
      <c r="P15" s="12"/>
      <c r="Q15" s="86"/>
      <c r="R15" s="12"/>
      <c r="S15" s="24"/>
      <c r="T15" s="192"/>
      <c r="U15" s="75"/>
    </row>
    <row r="16" spans="1:21" x14ac:dyDescent="0.25">
      <c r="A16" s="189" t="s">
        <v>368</v>
      </c>
      <c r="B16" s="12">
        <v>4</v>
      </c>
      <c r="C16" s="86" t="s">
        <v>256</v>
      </c>
      <c r="D16" s="12" t="s">
        <v>91</v>
      </c>
      <c r="E16" s="24"/>
      <c r="F16" s="192"/>
      <c r="G16" s="75"/>
      <c r="H16" s="189" t="s">
        <v>368</v>
      </c>
      <c r="I16" s="12">
        <v>4</v>
      </c>
      <c r="J16" s="86" t="s">
        <v>256</v>
      </c>
      <c r="K16" s="12" t="s">
        <v>84</v>
      </c>
      <c r="L16" s="24"/>
      <c r="M16" s="192"/>
      <c r="N16" s="75"/>
      <c r="O16" s="189" t="s">
        <v>368</v>
      </c>
      <c r="P16" s="12">
        <v>4</v>
      </c>
      <c r="Q16" s="86" t="s">
        <v>256</v>
      </c>
      <c r="R16" s="12" t="s">
        <v>80</v>
      </c>
      <c r="S16" s="24"/>
      <c r="T16" s="192"/>
      <c r="U16" s="75"/>
    </row>
    <row r="17" spans="1:21" x14ac:dyDescent="0.25">
      <c r="A17" s="189" t="s">
        <v>369</v>
      </c>
      <c r="B17" s="12">
        <v>16</v>
      </c>
      <c r="C17" s="86" t="s">
        <v>370</v>
      </c>
      <c r="D17" s="12" t="s">
        <v>91</v>
      </c>
      <c r="E17" s="24"/>
      <c r="F17" s="192"/>
      <c r="G17" s="75"/>
      <c r="H17" s="189" t="s">
        <v>369</v>
      </c>
      <c r="I17" s="12">
        <v>16</v>
      </c>
      <c r="J17" s="86" t="s">
        <v>370</v>
      </c>
      <c r="K17" s="12" t="s">
        <v>84</v>
      </c>
      <c r="L17" s="24"/>
      <c r="M17" s="192"/>
      <c r="N17" s="75"/>
      <c r="O17" s="189" t="s">
        <v>369</v>
      </c>
      <c r="P17" s="12">
        <v>16</v>
      </c>
      <c r="Q17" s="86" t="s">
        <v>370</v>
      </c>
      <c r="R17" s="12" t="s">
        <v>80</v>
      </c>
      <c r="S17" s="24"/>
      <c r="T17" s="192"/>
      <c r="U17" s="75"/>
    </row>
    <row r="18" spans="1:21" x14ac:dyDescent="0.25">
      <c r="A18" s="189"/>
      <c r="B18" s="12"/>
      <c r="C18" s="143"/>
      <c r="D18" s="12"/>
      <c r="E18" s="24"/>
      <c r="F18" s="192"/>
      <c r="G18" s="75"/>
      <c r="H18" s="189"/>
      <c r="I18" s="12"/>
      <c r="J18" s="143"/>
      <c r="K18" s="12"/>
      <c r="L18" s="24"/>
      <c r="M18" s="192"/>
      <c r="N18" s="75"/>
      <c r="O18" s="189"/>
      <c r="P18" s="12"/>
      <c r="Q18" s="143"/>
      <c r="R18" s="12"/>
      <c r="S18" s="24"/>
      <c r="T18" s="192"/>
      <c r="U18" s="75"/>
    </row>
    <row r="19" spans="1:21" ht="19.899999999999999" customHeight="1" x14ac:dyDescent="0.35">
      <c r="A19" s="567" t="s">
        <v>250</v>
      </c>
      <c r="B19" s="567"/>
      <c r="C19" s="567"/>
      <c r="D19" s="567"/>
      <c r="E19" s="567"/>
      <c r="F19" s="567"/>
      <c r="G19" s="75"/>
      <c r="H19" s="567" t="s">
        <v>250</v>
      </c>
      <c r="I19" s="567"/>
      <c r="J19" s="567"/>
      <c r="K19" s="567"/>
      <c r="L19" s="567"/>
      <c r="M19" s="567"/>
      <c r="N19" s="75"/>
      <c r="O19" s="567" t="s">
        <v>250</v>
      </c>
      <c r="P19" s="567"/>
      <c r="Q19" s="567"/>
      <c r="R19" s="567"/>
      <c r="S19" s="567"/>
      <c r="T19" s="567"/>
      <c r="U19" s="75"/>
    </row>
    <row r="20" spans="1:21" x14ac:dyDescent="0.25">
      <c r="A20" s="189"/>
      <c r="B20" s="12"/>
      <c r="C20" s="143"/>
      <c r="D20" s="12"/>
      <c r="E20" s="24"/>
      <c r="F20" s="190"/>
      <c r="G20" s="75"/>
      <c r="H20" s="189"/>
      <c r="I20" s="12"/>
      <c r="J20" s="143"/>
      <c r="K20" s="12"/>
      <c r="L20" s="24"/>
      <c r="M20" s="190"/>
      <c r="N20" s="75"/>
      <c r="O20" s="189"/>
      <c r="P20" s="12"/>
      <c r="Q20" s="143"/>
      <c r="R20" s="12"/>
      <c r="S20" s="24"/>
      <c r="T20" s="190"/>
      <c r="U20" s="75"/>
    </row>
    <row r="21" spans="1:21" x14ac:dyDescent="0.25">
      <c r="A21" s="189" t="s">
        <v>251</v>
      </c>
      <c r="B21" s="12">
        <v>1</v>
      </c>
      <c r="C21" s="86" t="s">
        <v>364</v>
      </c>
      <c r="D21" s="12" t="s">
        <v>277</v>
      </c>
      <c r="E21" s="24"/>
      <c r="F21" s="190"/>
      <c r="G21" s="75"/>
      <c r="H21" s="189" t="s">
        <v>251</v>
      </c>
      <c r="I21" s="12">
        <v>1</v>
      </c>
      <c r="J21" s="86" t="s">
        <v>364</v>
      </c>
      <c r="K21" s="12" t="s">
        <v>84</v>
      </c>
      <c r="L21" s="24"/>
      <c r="M21" s="190"/>
      <c r="N21" s="75"/>
      <c r="O21" s="189" t="s">
        <v>251</v>
      </c>
      <c r="P21" s="12">
        <v>1</v>
      </c>
      <c r="Q21" s="86" t="s">
        <v>364</v>
      </c>
      <c r="R21" s="12" t="s">
        <v>80</v>
      </c>
      <c r="S21" s="24"/>
      <c r="T21" s="190"/>
      <c r="U21" s="75"/>
    </row>
    <row r="22" spans="1:21" x14ac:dyDescent="0.25">
      <c r="A22" s="189" t="s">
        <v>82</v>
      </c>
      <c r="B22" s="12">
        <v>1</v>
      </c>
      <c r="C22" s="86" t="s">
        <v>254</v>
      </c>
      <c r="D22" s="12" t="s">
        <v>277</v>
      </c>
      <c r="E22" s="24"/>
      <c r="F22" s="190"/>
      <c r="G22" s="75"/>
      <c r="H22" s="189" t="s">
        <v>82</v>
      </c>
      <c r="I22" s="12">
        <v>1</v>
      </c>
      <c r="J22" s="86" t="s">
        <v>254</v>
      </c>
      <c r="K22" s="12" t="s">
        <v>84</v>
      </c>
      <c r="L22" s="24"/>
      <c r="M22" s="190"/>
      <c r="N22" s="75"/>
      <c r="O22" s="189" t="s">
        <v>82</v>
      </c>
      <c r="P22" s="12">
        <v>1</v>
      </c>
      <c r="Q22" s="86" t="s">
        <v>254</v>
      </c>
      <c r="R22" s="12" t="s">
        <v>80</v>
      </c>
      <c r="S22" s="24"/>
      <c r="T22" s="190"/>
      <c r="U22" s="75"/>
    </row>
    <row r="23" spans="1:21" x14ac:dyDescent="0.25">
      <c r="A23" s="189"/>
      <c r="B23" s="12">
        <v>1</v>
      </c>
      <c r="C23" s="86" t="s">
        <v>255</v>
      </c>
      <c r="D23" s="12" t="s">
        <v>277</v>
      </c>
      <c r="E23" s="24"/>
      <c r="F23" s="190"/>
      <c r="G23" s="75"/>
      <c r="H23" s="189"/>
      <c r="I23" s="12">
        <v>1</v>
      </c>
      <c r="J23" s="86" t="s">
        <v>255</v>
      </c>
      <c r="K23" s="12" t="s">
        <v>84</v>
      </c>
      <c r="L23" s="24"/>
      <c r="M23" s="190"/>
      <c r="N23" s="75"/>
      <c r="O23" s="189"/>
      <c r="P23" s="12">
        <v>1</v>
      </c>
      <c r="Q23" s="86" t="s">
        <v>255</v>
      </c>
      <c r="R23" s="12" t="s">
        <v>80</v>
      </c>
      <c r="S23" s="24"/>
      <c r="T23" s="190"/>
      <c r="U23" s="75"/>
    </row>
    <row r="24" spans="1:21" x14ac:dyDescent="0.25">
      <c r="A24" s="189"/>
      <c r="B24" s="12">
        <v>1</v>
      </c>
      <c r="C24" s="86" t="s">
        <v>256</v>
      </c>
      <c r="D24" s="12" t="s">
        <v>277</v>
      </c>
      <c r="E24" s="24"/>
      <c r="F24" s="190"/>
      <c r="G24" s="75"/>
      <c r="H24" s="189"/>
      <c r="I24" s="12">
        <v>1</v>
      </c>
      <c r="J24" s="86" t="s">
        <v>256</v>
      </c>
      <c r="K24" s="12" t="s">
        <v>84</v>
      </c>
      <c r="L24" s="24"/>
      <c r="M24" s="190"/>
      <c r="N24" s="75"/>
      <c r="O24" s="189"/>
      <c r="P24" s="12">
        <v>1</v>
      </c>
      <c r="Q24" s="86" t="s">
        <v>256</v>
      </c>
      <c r="R24" s="12" t="s">
        <v>80</v>
      </c>
      <c r="S24" s="24"/>
      <c r="T24" s="190"/>
      <c r="U24" s="75"/>
    </row>
    <row r="25" spans="1:21" x14ac:dyDescent="0.25">
      <c r="A25" s="189"/>
      <c r="B25" s="12">
        <v>1</v>
      </c>
      <c r="C25" s="86" t="s">
        <v>90</v>
      </c>
      <c r="D25" s="12" t="s">
        <v>277</v>
      </c>
      <c r="E25" s="24"/>
      <c r="F25" s="190"/>
      <c r="G25" s="75"/>
      <c r="H25" s="189"/>
      <c r="I25" s="12">
        <v>1</v>
      </c>
      <c r="J25" s="86" t="s">
        <v>90</v>
      </c>
      <c r="K25" s="12" t="s">
        <v>84</v>
      </c>
      <c r="L25" s="24"/>
      <c r="M25" s="190"/>
      <c r="N25" s="75"/>
      <c r="O25" s="189"/>
      <c r="P25" s="12">
        <v>1</v>
      </c>
      <c r="Q25" s="86" t="s">
        <v>90</v>
      </c>
      <c r="R25" s="12" t="s">
        <v>80</v>
      </c>
      <c r="S25" s="24"/>
      <c r="T25" s="190"/>
      <c r="U25" s="75"/>
    </row>
    <row r="26" spans="1:21" x14ac:dyDescent="0.25">
      <c r="A26" s="189" t="s">
        <v>252</v>
      </c>
      <c r="B26" s="12">
        <v>1</v>
      </c>
      <c r="C26" s="86" t="s">
        <v>365</v>
      </c>
      <c r="D26" s="12" t="s">
        <v>277</v>
      </c>
      <c r="E26" s="24"/>
      <c r="F26" s="190"/>
      <c r="G26" s="75"/>
      <c r="H26" s="189" t="s">
        <v>252</v>
      </c>
      <c r="I26" s="12">
        <v>1</v>
      </c>
      <c r="J26" s="86" t="s">
        <v>365</v>
      </c>
      <c r="K26" s="12" t="s">
        <v>84</v>
      </c>
      <c r="L26" s="24"/>
      <c r="M26" s="190"/>
      <c r="N26" s="75"/>
      <c r="O26" s="189" t="s">
        <v>252</v>
      </c>
      <c r="P26" s="12">
        <v>1</v>
      </c>
      <c r="Q26" s="86" t="s">
        <v>365</v>
      </c>
      <c r="R26" s="12" t="s">
        <v>80</v>
      </c>
      <c r="S26" s="24"/>
      <c r="T26" s="190"/>
      <c r="U26" s="75"/>
    </row>
    <row r="27" spans="1:21" x14ac:dyDescent="0.25">
      <c r="A27" s="189" t="s">
        <v>367</v>
      </c>
      <c r="B27" s="12">
        <v>2</v>
      </c>
      <c r="C27" s="86" t="s">
        <v>90</v>
      </c>
      <c r="D27" s="12" t="s">
        <v>91</v>
      </c>
      <c r="E27" s="24"/>
      <c r="F27" s="191"/>
      <c r="G27" s="75"/>
      <c r="H27" s="189" t="s">
        <v>367</v>
      </c>
      <c r="I27" s="12">
        <v>2</v>
      </c>
      <c r="J27" s="86" t="s">
        <v>90</v>
      </c>
      <c r="K27" s="12" t="s">
        <v>84</v>
      </c>
      <c r="L27" s="24"/>
      <c r="M27" s="191"/>
      <c r="N27" s="75"/>
      <c r="O27" s="189" t="s">
        <v>367</v>
      </c>
      <c r="P27" s="12">
        <v>2</v>
      </c>
      <c r="Q27" s="86" t="s">
        <v>90</v>
      </c>
      <c r="R27" s="12" t="s">
        <v>84</v>
      </c>
      <c r="S27" s="24"/>
      <c r="T27" s="191"/>
      <c r="U27" s="75"/>
    </row>
    <row r="28" spans="1:21" x14ac:dyDescent="0.25">
      <c r="A28" s="189" t="s">
        <v>114</v>
      </c>
      <c r="B28" s="12">
        <v>1</v>
      </c>
      <c r="C28" s="86" t="s">
        <v>242</v>
      </c>
      <c r="D28" s="12" t="s">
        <v>91</v>
      </c>
      <c r="E28" s="24">
        <v>25</v>
      </c>
      <c r="F28" s="191">
        <v>1</v>
      </c>
      <c r="G28" s="75"/>
      <c r="H28" s="189" t="s">
        <v>114</v>
      </c>
      <c r="I28" s="12">
        <v>1</v>
      </c>
      <c r="J28" s="86" t="s">
        <v>242</v>
      </c>
      <c r="K28" s="12" t="s">
        <v>84</v>
      </c>
      <c r="L28" s="24">
        <v>30</v>
      </c>
      <c r="M28" s="191">
        <v>1</v>
      </c>
      <c r="N28" s="75"/>
      <c r="O28" s="189" t="s">
        <v>114</v>
      </c>
      <c r="P28" s="12">
        <v>1</v>
      </c>
      <c r="Q28" s="86" t="s">
        <v>242</v>
      </c>
      <c r="R28" s="12" t="s">
        <v>84</v>
      </c>
      <c r="S28" s="24">
        <v>30</v>
      </c>
      <c r="T28" s="191">
        <v>1</v>
      </c>
      <c r="U28" s="75"/>
    </row>
    <row r="29" spans="1:21" x14ac:dyDescent="0.25">
      <c r="A29" s="189" t="s">
        <v>85</v>
      </c>
      <c r="B29" s="12">
        <v>1</v>
      </c>
      <c r="C29" s="86" t="s">
        <v>253</v>
      </c>
      <c r="D29" s="12" t="s">
        <v>91</v>
      </c>
      <c r="E29" s="24"/>
      <c r="F29" s="192">
        <f>B29*1</f>
        <v>1</v>
      </c>
      <c r="G29" s="75"/>
      <c r="H29" s="189" t="s">
        <v>85</v>
      </c>
      <c r="I29" s="12">
        <v>1</v>
      </c>
      <c r="J29" s="86" t="s">
        <v>253</v>
      </c>
      <c r="K29" s="12" t="s">
        <v>84</v>
      </c>
      <c r="L29" s="24"/>
      <c r="M29" s="192">
        <f>I29*1</f>
        <v>1</v>
      </c>
      <c r="N29" s="75"/>
      <c r="O29" s="189" t="s">
        <v>85</v>
      </c>
      <c r="P29" s="12">
        <v>1</v>
      </c>
      <c r="Q29" s="86" t="s">
        <v>253</v>
      </c>
      <c r="R29" s="12" t="s">
        <v>84</v>
      </c>
      <c r="S29" s="24"/>
      <c r="T29" s="192">
        <f>P29*1</f>
        <v>1</v>
      </c>
      <c r="U29" s="75"/>
    </row>
    <row r="30" spans="1:21" x14ac:dyDescent="0.25">
      <c r="A30" s="189" t="s">
        <v>321</v>
      </c>
      <c r="B30" s="12">
        <v>4</v>
      </c>
      <c r="C30" s="86" t="s">
        <v>322</v>
      </c>
      <c r="D30" s="12" t="s">
        <v>91</v>
      </c>
      <c r="E30" s="24"/>
      <c r="F30" s="192"/>
      <c r="G30" s="75"/>
      <c r="H30" s="189" t="s">
        <v>321</v>
      </c>
      <c r="I30" s="12">
        <v>4</v>
      </c>
      <c r="J30" s="86" t="s">
        <v>322</v>
      </c>
      <c r="K30" s="12" t="s">
        <v>84</v>
      </c>
      <c r="L30" s="24"/>
      <c r="M30" s="192"/>
      <c r="N30" s="75"/>
      <c r="O30" s="189" t="s">
        <v>321</v>
      </c>
      <c r="P30" s="12">
        <v>4</v>
      </c>
      <c r="Q30" s="86" t="s">
        <v>322</v>
      </c>
      <c r="R30" s="12" t="s">
        <v>84</v>
      </c>
      <c r="S30" s="24"/>
      <c r="T30" s="192"/>
      <c r="U30" s="75"/>
    </row>
    <row r="31" spans="1:21" x14ac:dyDescent="0.25">
      <c r="A31" s="189" t="s">
        <v>323</v>
      </c>
      <c r="B31" s="12">
        <v>4</v>
      </c>
      <c r="C31" s="86" t="s">
        <v>324</v>
      </c>
      <c r="D31" s="12" t="s">
        <v>91</v>
      </c>
      <c r="E31" s="24"/>
      <c r="F31" s="192"/>
      <c r="G31" s="75"/>
      <c r="H31" s="189" t="s">
        <v>323</v>
      </c>
      <c r="I31" s="12">
        <v>4</v>
      </c>
      <c r="J31" s="86" t="s">
        <v>324</v>
      </c>
      <c r="K31" s="12" t="s">
        <v>84</v>
      </c>
      <c r="L31" s="24"/>
      <c r="M31" s="192"/>
      <c r="N31" s="75"/>
      <c r="O31" s="189" t="s">
        <v>323</v>
      </c>
      <c r="P31" s="12">
        <v>4</v>
      </c>
      <c r="Q31" s="86" t="s">
        <v>324</v>
      </c>
      <c r="R31" s="12" t="s">
        <v>84</v>
      </c>
      <c r="S31" s="24"/>
      <c r="T31" s="192"/>
      <c r="U31" s="75"/>
    </row>
    <row r="32" spans="1:21" x14ac:dyDescent="0.25">
      <c r="A32" s="189" t="s">
        <v>325</v>
      </c>
      <c r="B32" s="12">
        <v>4</v>
      </c>
      <c r="C32" s="86" t="s">
        <v>326</v>
      </c>
      <c r="D32" s="12" t="s">
        <v>91</v>
      </c>
      <c r="E32" s="24"/>
      <c r="F32" s="192"/>
      <c r="G32" s="75"/>
      <c r="H32" s="189" t="s">
        <v>325</v>
      </c>
      <c r="I32" s="12">
        <v>4</v>
      </c>
      <c r="J32" s="86" t="s">
        <v>326</v>
      </c>
      <c r="K32" s="12" t="s">
        <v>84</v>
      </c>
      <c r="L32" s="24"/>
      <c r="M32" s="192"/>
      <c r="N32" s="75"/>
      <c r="O32" s="189" t="s">
        <v>325</v>
      </c>
      <c r="P32" s="12">
        <v>4</v>
      </c>
      <c r="Q32" s="86" t="s">
        <v>326</v>
      </c>
      <c r="R32" s="12" t="s">
        <v>84</v>
      </c>
      <c r="S32" s="24"/>
      <c r="T32" s="192"/>
      <c r="U32" s="75"/>
    </row>
    <row r="33" spans="1:21" x14ac:dyDescent="0.25">
      <c r="A33" s="189" t="s">
        <v>327</v>
      </c>
      <c r="B33" s="12">
        <v>4</v>
      </c>
      <c r="C33" s="86" t="s">
        <v>328</v>
      </c>
      <c r="D33" s="12" t="s">
        <v>91</v>
      </c>
      <c r="E33" s="24"/>
      <c r="F33" s="192"/>
      <c r="G33" s="75"/>
      <c r="H33" s="189" t="s">
        <v>327</v>
      </c>
      <c r="I33" s="12">
        <v>4</v>
      </c>
      <c r="J33" s="86" t="s">
        <v>328</v>
      </c>
      <c r="K33" s="12" t="s">
        <v>84</v>
      </c>
      <c r="L33" s="24"/>
      <c r="M33" s="192"/>
      <c r="N33" s="75"/>
      <c r="O33" s="189" t="s">
        <v>327</v>
      </c>
      <c r="P33" s="12">
        <v>4</v>
      </c>
      <c r="Q33" s="86" t="s">
        <v>328</v>
      </c>
      <c r="R33" s="12" t="s">
        <v>84</v>
      </c>
      <c r="S33" s="24"/>
      <c r="T33" s="192"/>
      <c r="U33" s="75"/>
    </row>
    <row r="34" spans="1:21" x14ac:dyDescent="0.25">
      <c r="A34" s="189"/>
      <c r="B34" s="12"/>
      <c r="C34" s="86"/>
      <c r="D34" s="12"/>
      <c r="E34" s="24"/>
      <c r="F34" s="192"/>
      <c r="G34" s="75"/>
      <c r="H34" s="189"/>
      <c r="I34" s="12"/>
      <c r="J34" s="86"/>
      <c r="K34" s="12"/>
      <c r="L34" s="24"/>
      <c r="M34" s="192"/>
      <c r="N34" s="75"/>
      <c r="O34" s="189"/>
      <c r="P34" s="12"/>
      <c r="Q34" s="86"/>
      <c r="R34" s="12"/>
      <c r="S34" s="24"/>
      <c r="T34" s="192"/>
      <c r="U34" s="75"/>
    </row>
    <row r="35" spans="1:21" x14ac:dyDescent="0.25">
      <c r="A35" s="189" t="s">
        <v>368</v>
      </c>
      <c r="B35" s="12">
        <v>4</v>
      </c>
      <c r="C35" s="86" t="s">
        <v>256</v>
      </c>
      <c r="D35" s="12" t="s">
        <v>277</v>
      </c>
      <c r="E35" s="24"/>
      <c r="F35" s="192"/>
      <c r="G35" s="75"/>
      <c r="H35" s="189" t="s">
        <v>368</v>
      </c>
      <c r="I35" s="12">
        <v>4</v>
      </c>
      <c r="J35" s="86" t="s">
        <v>256</v>
      </c>
      <c r="K35" s="12" t="s">
        <v>84</v>
      </c>
      <c r="L35" s="24"/>
      <c r="M35" s="192"/>
      <c r="N35" s="75"/>
      <c r="O35" s="189" t="s">
        <v>368</v>
      </c>
      <c r="P35" s="12">
        <v>4</v>
      </c>
      <c r="Q35" s="86" t="s">
        <v>256</v>
      </c>
      <c r="R35" s="12" t="s">
        <v>80</v>
      </c>
      <c r="S35" s="24"/>
      <c r="T35" s="192"/>
      <c r="U35" s="75"/>
    </row>
    <row r="36" spans="1:21" x14ac:dyDescent="0.25">
      <c r="A36" s="189" t="s">
        <v>369</v>
      </c>
      <c r="B36" s="12">
        <v>16</v>
      </c>
      <c r="C36" s="86" t="s">
        <v>370</v>
      </c>
      <c r="D36" s="12" t="s">
        <v>277</v>
      </c>
      <c r="E36" s="24"/>
      <c r="F36" s="192"/>
      <c r="G36" s="75"/>
      <c r="H36" s="189" t="s">
        <v>369</v>
      </c>
      <c r="I36" s="12">
        <v>16</v>
      </c>
      <c r="J36" s="86" t="s">
        <v>370</v>
      </c>
      <c r="K36" s="12" t="s">
        <v>84</v>
      </c>
      <c r="L36" s="24"/>
      <c r="M36" s="192"/>
      <c r="N36" s="75"/>
      <c r="O36" s="189" t="s">
        <v>369</v>
      </c>
      <c r="P36" s="12">
        <v>16</v>
      </c>
      <c r="Q36" s="86" t="s">
        <v>370</v>
      </c>
      <c r="R36" s="12" t="s">
        <v>80</v>
      </c>
      <c r="S36" s="24"/>
      <c r="T36" s="192"/>
      <c r="U36" s="75"/>
    </row>
    <row r="37" spans="1:21" x14ac:dyDescent="0.25">
      <c r="A37" s="189"/>
      <c r="B37" s="12"/>
      <c r="C37" s="143"/>
      <c r="D37" s="12"/>
      <c r="E37" s="24"/>
      <c r="F37" s="192"/>
      <c r="G37" s="75"/>
      <c r="H37" s="189"/>
      <c r="I37" s="12"/>
      <c r="J37" s="86"/>
      <c r="K37" s="12"/>
      <c r="L37" s="24"/>
      <c r="M37" s="192"/>
      <c r="N37" s="75"/>
      <c r="O37" s="189"/>
      <c r="P37" s="12"/>
      <c r="Q37" s="143"/>
      <c r="R37" s="12"/>
      <c r="S37" s="24"/>
      <c r="T37" s="192"/>
      <c r="U37" s="75"/>
    </row>
    <row r="38" spans="1:21" ht="19.899999999999999" customHeight="1" x14ac:dyDescent="0.35">
      <c r="A38" s="567" t="s">
        <v>383</v>
      </c>
      <c r="B38" s="567"/>
      <c r="C38" s="567"/>
      <c r="D38" s="567"/>
      <c r="E38" s="567"/>
      <c r="F38" s="567"/>
      <c r="G38" s="75"/>
      <c r="H38" s="567" t="s">
        <v>383</v>
      </c>
      <c r="I38" s="567"/>
      <c r="J38" s="567"/>
      <c r="K38" s="567"/>
      <c r="L38" s="567"/>
      <c r="M38" s="567"/>
      <c r="N38" s="75"/>
      <c r="O38" s="567" t="s">
        <v>383</v>
      </c>
      <c r="P38" s="567"/>
      <c r="Q38" s="567"/>
      <c r="R38" s="567"/>
      <c r="S38" s="567"/>
      <c r="T38" s="567"/>
      <c r="U38" s="75"/>
    </row>
    <row r="39" spans="1:21" x14ac:dyDescent="0.25">
      <c r="A39" s="189"/>
      <c r="B39" s="12"/>
      <c r="C39" s="143"/>
      <c r="D39" s="12"/>
      <c r="E39" s="24"/>
      <c r="F39" s="190"/>
      <c r="G39" s="75"/>
      <c r="H39" s="189"/>
      <c r="I39" s="12"/>
      <c r="J39" s="143"/>
      <c r="K39" s="12"/>
      <c r="L39" s="24"/>
      <c r="M39" s="190"/>
      <c r="N39" s="75"/>
      <c r="O39" s="189"/>
      <c r="P39" s="12"/>
      <c r="Q39" s="143"/>
      <c r="R39" s="12"/>
      <c r="S39" s="24"/>
      <c r="T39" s="190"/>
      <c r="U39" s="75"/>
    </row>
    <row r="40" spans="1:21" x14ac:dyDescent="0.25">
      <c r="A40" s="189" t="s">
        <v>379</v>
      </c>
      <c r="B40" s="12">
        <v>1</v>
      </c>
      <c r="C40" s="86" t="s">
        <v>90</v>
      </c>
      <c r="D40" s="12" t="s">
        <v>91</v>
      </c>
      <c r="E40" s="24"/>
      <c r="F40" s="190"/>
      <c r="G40" s="75"/>
      <c r="H40" s="189" t="s">
        <v>379</v>
      </c>
      <c r="I40" s="12">
        <v>1</v>
      </c>
      <c r="J40" s="86" t="s">
        <v>90</v>
      </c>
      <c r="K40" s="12" t="s">
        <v>84</v>
      </c>
      <c r="L40" s="24"/>
      <c r="M40" s="190"/>
      <c r="N40" s="75"/>
      <c r="O40" s="189" t="s">
        <v>379</v>
      </c>
      <c r="P40" s="12">
        <v>1</v>
      </c>
      <c r="Q40" s="86" t="s">
        <v>90</v>
      </c>
      <c r="R40" s="12" t="s">
        <v>80</v>
      </c>
      <c r="S40" s="24"/>
      <c r="T40" s="190"/>
      <c r="U40" s="75"/>
    </row>
    <row r="41" spans="1:21" x14ac:dyDescent="0.25">
      <c r="A41" s="189" t="s">
        <v>381</v>
      </c>
      <c r="B41" s="12">
        <v>2</v>
      </c>
      <c r="C41" s="86" t="s">
        <v>382</v>
      </c>
      <c r="D41" s="12" t="s">
        <v>91</v>
      </c>
      <c r="E41" s="24"/>
      <c r="F41" s="190"/>
      <c r="G41" s="75"/>
      <c r="H41" s="189" t="s">
        <v>381</v>
      </c>
      <c r="I41" s="12">
        <v>2</v>
      </c>
      <c r="J41" s="86" t="s">
        <v>382</v>
      </c>
      <c r="K41" s="12" t="s">
        <v>84</v>
      </c>
      <c r="L41" s="24"/>
      <c r="M41" s="190"/>
      <c r="N41" s="75"/>
      <c r="O41" s="189" t="s">
        <v>381</v>
      </c>
      <c r="P41" s="12">
        <v>2</v>
      </c>
      <c r="Q41" s="86" t="s">
        <v>382</v>
      </c>
      <c r="R41" s="12" t="s">
        <v>80</v>
      </c>
      <c r="S41" s="24"/>
      <c r="T41" s="190"/>
      <c r="U41" s="75"/>
    </row>
    <row r="42" spans="1:21" x14ac:dyDescent="0.25">
      <c r="A42" s="189" t="s">
        <v>81</v>
      </c>
      <c r="B42" s="12">
        <v>1</v>
      </c>
      <c r="C42" s="86" t="s">
        <v>228</v>
      </c>
      <c r="D42" s="12" t="s">
        <v>91</v>
      </c>
      <c r="E42" s="24"/>
      <c r="F42" s="190"/>
      <c r="G42" s="75"/>
      <c r="H42" s="189" t="s">
        <v>81</v>
      </c>
      <c r="I42" s="12">
        <v>1</v>
      </c>
      <c r="J42" s="86" t="s">
        <v>228</v>
      </c>
      <c r="K42" s="12" t="s">
        <v>84</v>
      </c>
      <c r="L42" s="24"/>
      <c r="M42" s="190"/>
      <c r="N42" s="75"/>
      <c r="O42" s="189" t="s">
        <v>81</v>
      </c>
      <c r="P42" s="12">
        <v>1</v>
      </c>
      <c r="Q42" s="86" t="s">
        <v>228</v>
      </c>
      <c r="R42" s="12" t="s">
        <v>80</v>
      </c>
      <c r="S42" s="24"/>
      <c r="T42" s="190"/>
      <c r="U42" s="75"/>
    </row>
    <row r="43" spans="1:21" x14ac:dyDescent="0.25">
      <c r="A43" s="189" t="s">
        <v>82</v>
      </c>
      <c r="B43" s="12">
        <v>1</v>
      </c>
      <c r="C43" s="86" t="s">
        <v>90</v>
      </c>
      <c r="D43" s="12" t="s">
        <v>91</v>
      </c>
      <c r="E43" s="24"/>
      <c r="F43" s="190"/>
      <c r="G43" s="75"/>
      <c r="H43" s="189" t="s">
        <v>82</v>
      </c>
      <c r="I43" s="12">
        <v>1</v>
      </c>
      <c r="J43" s="86" t="s">
        <v>90</v>
      </c>
      <c r="K43" s="12" t="s">
        <v>84</v>
      </c>
      <c r="L43" s="24"/>
      <c r="M43" s="190"/>
      <c r="N43" s="75"/>
      <c r="O43" s="189" t="s">
        <v>82</v>
      </c>
      <c r="P43" s="12">
        <v>1</v>
      </c>
      <c r="Q43" s="86" t="s">
        <v>90</v>
      </c>
      <c r="R43" s="12" t="s">
        <v>80</v>
      </c>
      <c r="S43" s="24"/>
      <c r="T43" s="190"/>
      <c r="U43" s="75"/>
    </row>
    <row r="44" spans="1:21" x14ac:dyDescent="0.25">
      <c r="A44" s="189"/>
      <c r="B44" s="12">
        <v>1</v>
      </c>
      <c r="C44" s="86" t="s">
        <v>90</v>
      </c>
      <c r="D44" s="12" t="s">
        <v>91</v>
      </c>
      <c r="E44" s="24"/>
      <c r="F44" s="190"/>
      <c r="G44" s="75"/>
      <c r="H44" s="189"/>
      <c r="I44" s="12">
        <v>1</v>
      </c>
      <c r="J44" s="86" t="s">
        <v>90</v>
      </c>
      <c r="K44" s="12" t="s">
        <v>84</v>
      </c>
      <c r="L44" s="24"/>
      <c r="M44" s="190"/>
      <c r="N44" s="75"/>
      <c r="O44" s="189"/>
      <c r="P44" s="12">
        <v>1</v>
      </c>
      <c r="Q44" s="86" t="s">
        <v>90</v>
      </c>
      <c r="R44" s="12" t="s">
        <v>80</v>
      </c>
      <c r="S44" s="24"/>
      <c r="T44" s="190"/>
      <c r="U44" s="75"/>
    </row>
    <row r="45" spans="1:21" x14ac:dyDescent="0.25">
      <c r="A45" s="189" t="s">
        <v>380</v>
      </c>
      <c r="B45" s="12">
        <v>1</v>
      </c>
      <c r="C45" s="86" t="s">
        <v>90</v>
      </c>
      <c r="D45" s="12" t="s">
        <v>91</v>
      </c>
      <c r="E45" s="24"/>
      <c r="F45" s="190"/>
      <c r="G45" s="75"/>
      <c r="H45" s="189" t="s">
        <v>380</v>
      </c>
      <c r="I45" s="12">
        <v>1</v>
      </c>
      <c r="J45" s="86" t="s">
        <v>90</v>
      </c>
      <c r="K45" s="12" t="s">
        <v>84</v>
      </c>
      <c r="L45" s="24"/>
      <c r="M45" s="190"/>
      <c r="N45" s="75"/>
      <c r="O45" s="189" t="s">
        <v>380</v>
      </c>
      <c r="P45" s="12">
        <v>1</v>
      </c>
      <c r="Q45" s="86" t="s">
        <v>90</v>
      </c>
      <c r="R45" s="12" t="s">
        <v>80</v>
      </c>
      <c r="S45" s="24"/>
      <c r="T45" s="190"/>
      <c r="U45" s="75"/>
    </row>
    <row r="46" spans="1:21" x14ac:dyDescent="0.25">
      <c r="A46" s="189" t="s">
        <v>367</v>
      </c>
      <c r="B46" s="12">
        <v>2</v>
      </c>
      <c r="C46" s="86" t="s">
        <v>90</v>
      </c>
      <c r="D46" s="12" t="s">
        <v>91</v>
      </c>
      <c r="E46" s="24"/>
      <c r="F46" s="191"/>
      <c r="G46" s="75"/>
      <c r="H46" s="189" t="s">
        <v>367</v>
      </c>
      <c r="I46" s="12">
        <v>2</v>
      </c>
      <c r="J46" s="86" t="s">
        <v>90</v>
      </c>
      <c r="K46" s="12" t="s">
        <v>84</v>
      </c>
      <c r="L46" s="24"/>
      <c r="M46" s="191"/>
      <c r="N46" s="75"/>
      <c r="O46" s="189" t="s">
        <v>367</v>
      </c>
      <c r="P46" s="12">
        <v>2</v>
      </c>
      <c r="Q46" s="86" t="s">
        <v>90</v>
      </c>
      <c r="R46" s="12" t="s">
        <v>84</v>
      </c>
      <c r="S46" s="24"/>
      <c r="T46" s="191"/>
      <c r="U46" s="75"/>
    </row>
    <row r="47" spans="1:21" x14ac:dyDescent="0.25">
      <c r="A47" s="189" t="s">
        <v>114</v>
      </c>
      <c r="B47" s="12">
        <v>1</v>
      </c>
      <c r="C47" s="86" t="s">
        <v>242</v>
      </c>
      <c r="D47" s="12" t="s">
        <v>91</v>
      </c>
      <c r="E47" s="24">
        <v>25</v>
      </c>
      <c r="F47" s="191">
        <v>1</v>
      </c>
      <c r="G47" s="75"/>
      <c r="H47" s="189" t="s">
        <v>114</v>
      </c>
      <c r="I47" s="12">
        <v>1</v>
      </c>
      <c r="J47" s="86" t="s">
        <v>242</v>
      </c>
      <c r="K47" s="12" t="s">
        <v>84</v>
      </c>
      <c r="L47" s="24">
        <v>30</v>
      </c>
      <c r="M47" s="191">
        <v>1</v>
      </c>
      <c r="N47" s="75"/>
      <c r="O47" s="189" t="s">
        <v>114</v>
      </c>
      <c r="P47" s="12">
        <v>1</v>
      </c>
      <c r="Q47" s="86" t="s">
        <v>242</v>
      </c>
      <c r="R47" s="12" t="s">
        <v>84</v>
      </c>
      <c r="S47" s="24">
        <v>30</v>
      </c>
      <c r="T47" s="191">
        <v>1</v>
      </c>
      <c r="U47" s="75"/>
    </row>
    <row r="48" spans="1:21" x14ac:dyDescent="0.25">
      <c r="A48" s="189" t="s">
        <v>85</v>
      </c>
      <c r="B48" s="12">
        <v>1</v>
      </c>
      <c r="C48" s="86" t="s">
        <v>253</v>
      </c>
      <c r="D48" s="12" t="s">
        <v>91</v>
      </c>
      <c r="E48" s="24"/>
      <c r="F48" s="192">
        <f>B48*1</f>
        <v>1</v>
      </c>
      <c r="G48" s="75"/>
      <c r="H48" s="189" t="s">
        <v>85</v>
      </c>
      <c r="I48" s="12">
        <v>1</v>
      </c>
      <c r="J48" s="86" t="s">
        <v>253</v>
      </c>
      <c r="K48" s="12" t="s">
        <v>84</v>
      </c>
      <c r="L48" s="24"/>
      <c r="M48" s="192">
        <f>I48*1</f>
        <v>1</v>
      </c>
      <c r="N48" s="75"/>
      <c r="O48" s="189" t="s">
        <v>85</v>
      </c>
      <c r="P48" s="12">
        <v>1</v>
      </c>
      <c r="Q48" s="86" t="s">
        <v>253</v>
      </c>
      <c r="R48" s="12" t="s">
        <v>84</v>
      </c>
      <c r="S48" s="24"/>
      <c r="T48" s="192">
        <f>P48*1</f>
        <v>1</v>
      </c>
      <c r="U48" s="75"/>
    </row>
    <row r="49" spans="1:21" x14ac:dyDescent="0.25">
      <c r="A49" s="189" t="s">
        <v>321</v>
      </c>
      <c r="B49" s="12">
        <v>4</v>
      </c>
      <c r="C49" s="86" t="s">
        <v>322</v>
      </c>
      <c r="D49" s="12" t="s">
        <v>91</v>
      </c>
      <c r="E49" s="24"/>
      <c r="F49" s="192"/>
      <c r="G49" s="75"/>
      <c r="H49" s="189" t="s">
        <v>321</v>
      </c>
      <c r="I49" s="12">
        <v>4</v>
      </c>
      <c r="J49" s="86" t="s">
        <v>322</v>
      </c>
      <c r="K49" s="12" t="s">
        <v>84</v>
      </c>
      <c r="L49" s="24"/>
      <c r="M49" s="192"/>
      <c r="N49" s="75"/>
      <c r="O49" s="189" t="s">
        <v>321</v>
      </c>
      <c r="P49" s="12">
        <v>4</v>
      </c>
      <c r="Q49" s="86" t="s">
        <v>322</v>
      </c>
      <c r="R49" s="12" t="s">
        <v>84</v>
      </c>
      <c r="S49" s="24"/>
      <c r="T49" s="192"/>
      <c r="U49" s="75"/>
    </row>
    <row r="50" spans="1:21" x14ac:dyDescent="0.25">
      <c r="A50" s="189" t="s">
        <v>323</v>
      </c>
      <c r="B50" s="12">
        <v>4</v>
      </c>
      <c r="C50" s="86" t="s">
        <v>324</v>
      </c>
      <c r="D50" s="12" t="s">
        <v>91</v>
      </c>
      <c r="E50" s="24"/>
      <c r="F50" s="192"/>
      <c r="G50" s="75"/>
      <c r="H50" s="189" t="s">
        <v>323</v>
      </c>
      <c r="I50" s="12">
        <v>4</v>
      </c>
      <c r="J50" s="86" t="s">
        <v>324</v>
      </c>
      <c r="K50" s="12" t="s">
        <v>84</v>
      </c>
      <c r="L50" s="24"/>
      <c r="M50" s="192"/>
      <c r="N50" s="75"/>
      <c r="O50" s="189" t="s">
        <v>323</v>
      </c>
      <c r="P50" s="12">
        <v>4</v>
      </c>
      <c r="Q50" s="86" t="s">
        <v>324</v>
      </c>
      <c r="R50" s="12" t="s">
        <v>84</v>
      </c>
      <c r="S50" s="24"/>
      <c r="T50" s="192"/>
      <c r="U50" s="75"/>
    </row>
    <row r="51" spans="1:21" x14ac:dyDescent="0.25">
      <c r="A51" s="189" t="s">
        <v>325</v>
      </c>
      <c r="B51" s="12">
        <v>4</v>
      </c>
      <c r="C51" s="86" t="s">
        <v>326</v>
      </c>
      <c r="D51" s="12" t="s">
        <v>91</v>
      </c>
      <c r="E51" s="24"/>
      <c r="F51" s="192"/>
      <c r="G51" s="75"/>
      <c r="H51" s="189" t="s">
        <v>325</v>
      </c>
      <c r="I51" s="12">
        <v>4</v>
      </c>
      <c r="J51" s="86" t="s">
        <v>326</v>
      </c>
      <c r="K51" s="12" t="s">
        <v>84</v>
      </c>
      <c r="L51" s="24"/>
      <c r="M51" s="192"/>
      <c r="N51" s="75"/>
      <c r="O51" s="189" t="s">
        <v>325</v>
      </c>
      <c r="P51" s="12">
        <v>4</v>
      </c>
      <c r="Q51" s="86" t="s">
        <v>326</v>
      </c>
      <c r="R51" s="12" t="s">
        <v>84</v>
      </c>
      <c r="S51" s="24"/>
      <c r="T51" s="192"/>
      <c r="U51" s="75"/>
    </row>
    <row r="52" spans="1:21" x14ac:dyDescent="0.25">
      <c r="A52" s="189" t="s">
        <v>327</v>
      </c>
      <c r="B52" s="12">
        <v>4</v>
      </c>
      <c r="C52" s="86" t="s">
        <v>328</v>
      </c>
      <c r="D52" s="12" t="s">
        <v>91</v>
      </c>
      <c r="E52" s="24"/>
      <c r="F52" s="192"/>
      <c r="G52" s="75"/>
      <c r="H52" s="189" t="s">
        <v>327</v>
      </c>
      <c r="I52" s="12">
        <v>4</v>
      </c>
      <c r="J52" s="86" t="s">
        <v>328</v>
      </c>
      <c r="K52" s="12" t="s">
        <v>84</v>
      </c>
      <c r="L52" s="24"/>
      <c r="M52" s="192"/>
      <c r="N52" s="75"/>
      <c r="O52" s="189" t="s">
        <v>327</v>
      </c>
      <c r="P52" s="12">
        <v>4</v>
      </c>
      <c r="Q52" s="86" t="s">
        <v>328</v>
      </c>
      <c r="R52" s="12" t="s">
        <v>84</v>
      </c>
      <c r="S52" s="24"/>
      <c r="T52" s="192"/>
      <c r="U52" s="75"/>
    </row>
    <row r="53" spans="1:21" x14ac:dyDescent="0.25">
      <c r="A53" s="189"/>
      <c r="B53" s="12"/>
      <c r="C53" s="86"/>
      <c r="D53" s="12"/>
      <c r="E53" s="24"/>
      <c r="F53" s="192"/>
      <c r="G53" s="75"/>
      <c r="H53" s="189"/>
      <c r="I53" s="12"/>
      <c r="J53" s="86"/>
      <c r="K53" s="12"/>
      <c r="L53" s="24"/>
      <c r="M53" s="192"/>
      <c r="N53" s="75"/>
      <c r="O53" s="189"/>
      <c r="P53" s="12"/>
      <c r="Q53" s="86"/>
      <c r="R53" s="12"/>
      <c r="S53" s="24"/>
      <c r="T53" s="192"/>
      <c r="U53" s="75"/>
    </row>
    <row r="54" spans="1:21" x14ac:dyDescent="0.25">
      <c r="A54" s="189" t="s">
        <v>368</v>
      </c>
      <c r="B54" s="12">
        <v>4</v>
      </c>
      <c r="C54" s="86" t="s">
        <v>256</v>
      </c>
      <c r="D54" s="12" t="s">
        <v>91</v>
      </c>
      <c r="E54" s="24"/>
      <c r="F54" s="192"/>
      <c r="G54" s="75"/>
      <c r="H54" s="189" t="s">
        <v>368</v>
      </c>
      <c r="I54" s="12">
        <v>4</v>
      </c>
      <c r="J54" s="86" t="s">
        <v>256</v>
      </c>
      <c r="K54" s="12" t="s">
        <v>84</v>
      </c>
      <c r="L54" s="24"/>
      <c r="M54" s="192"/>
      <c r="N54" s="75"/>
      <c r="O54" s="189" t="s">
        <v>368</v>
      </c>
      <c r="P54" s="12">
        <v>4</v>
      </c>
      <c r="Q54" s="86" t="s">
        <v>256</v>
      </c>
      <c r="R54" s="12" t="s">
        <v>80</v>
      </c>
      <c r="S54" s="24"/>
      <c r="T54" s="192"/>
      <c r="U54" s="75"/>
    </row>
    <row r="55" spans="1:21" x14ac:dyDescent="0.25">
      <c r="A55" s="189" t="s">
        <v>369</v>
      </c>
      <c r="B55" s="12">
        <v>16</v>
      </c>
      <c r="C55" s="86" t="s">
        <v>370</v>
      </c>
      <c r="D55" s="12" t="s">
        <v>91</v>
      </c>
      <c r="E55" s="24"/>
      <c r="F55" s="192"/>
      <c r="G55" s="75"/>
      <c r="H55" s="189" t="s">
        <v>369</v>
      </c>
      <c r="I55" s="12">
        <v>16</v>
      </c>
      <c r="J55" s="86" t="s">
        <v>370</v>
      </c>
      <c r="K55" s="12" t="s">
        <v>84</v>
      </c>
      <c r="L55" s="24"/>
      <c r="M55" s="192"/>
      <c r="N55" s="75"/>
      <c r="O55" s="189" t="s">
        <v>369</v>
      </c>
      <c r="P55" s="12">
        <v>16</v>
      </c>
      <c r="Q55" s="86" t="s">
        <v>370</v>
      </c>
      <c r="R55" s="12" t="s">
        <v>80</v>
      </c>
      <c r="S55" s="24"/>
      <c r="T55" s="192"/>
      <c r="U55" s="75"/>
    </row>
    <row r="56" spans="1:21" x14ac:dyDescent="0.25">
      <c r="A56" s="189"/>
      <c r="B56" s="12"/>
      <c r="C56" s="143"/>
      <c r="D56" s="12"/>
      <c r="E56" s="24"/>
      <c r="F56" s="192"/>
      <c r="G56" s="75"/>
      <c r="H56" s="189"/>
      <c r="I56" s="12"/>
      <c r="J56" s="143"/>
      <c r="K56" s="12"/>
      <c r="L56" s="24"/>
      <c r="M56" s="192"/>
      <c r="N56" s="75"/>
      <c r="O56" s="189"/>
      <c r="P56" s="12"/>
      <c r="Q56" s="143"/>
      <c r="R56" s="12"/>
      <c r="S56" s="24"/>
      <c r="T56" s="192"/>
      <c r="U56" s="75"/>
    </row>
    <row r="57" spans="1:21" ht="25.15" customHeight="1" x14ac:dyDescent="0.35">
      <c r="A57" s="567" t="s">
        <v>414</v>
      </c>
      <c r="B57" s="567"/>
      <c r="C57" s="567"/>
      <c r="D57" s="567"/>
      <c r="E57" s="567"/>
      <c r="F57" s="567"/>
      <c r="G57" s="75"/>
      <c r="H57" s="567" t="s">
        <v>414</v>
      </c>
      <c r="I57" s="567"/>
      <c r="J57" s="567"/>
      <c r="K57" s="567"/>
      <c r="L57" s="567"/>
      <c r="M57" s="567"/>
      <c r="N57" s="75"/>
      <c r="O57" s="567" t="s">
        <v>414</v>
      </c>
      <c r="P57" s="567"/>
      <c r="Q57" s="567"/>
      <c r="R57" s="567"/>
      <c r="S57" s="567"/>
      <c r="T57" s="567"/>
      <c r="U57" s="75"/>
    </row>
    <row r="58" spans="1:21" x14ac:dyDescent="0.25">
      <c r="A58" s="189"/>
      <c r="B58" s="12"/>
      <c r="C58" s="143"/>
      <c r="D58" s="12"/>
      <c r="E58" s="24"/>
      <c r="F58" s="190"/>
      <c r="G58" s="75"/>
      <c r="H58" s="189"/>
      <c r="I58" s="12"/>
      <c r="J58" s="143"/>
      <c r="K58" s="12"/>
      <c r="L58" s="24"/>
      <c r="M58" s="190"/>
      <c r="N58" s="75"/>
      <c r="O58" s="189"/>
      <c r="P58" s="12"/>
      <c r="Q58" s="143"/>
      <c r="R58" s="12"/>
      <c r="S58" s="24"/>
      <c r="T58" s="190"/>
      <c r="U58" s="75"/>
    </row>
    <row r="59" spans="1:21" x14ac:dyDescent="0.25">
      <c r="A59" s="189" t="s">
        <v>415</v>
      </c>
      <c r="B59" s="12">
        <v>1</v>
      </c>
      <c r="C59" s="86" t="s">
        <v>364</v>
      </c>
      <c r="D59" s="12" t="s">
        <v>277</v>
      </c>
      <c r="E59" s="24"/>
      <c r="F59" s="190"/>
      <c r="G59" s="75"/>
      <c r="H59" s="189" t="s">
        <v>415</v>
      </c>
      <c r="I59" s="12">
        <v>1</v>
      </c>
      <c r="J59" s="86" t="s">
        <v>364</v>
      </c>
      <c r="K59" s="12" t="s">
        <v>84</v>
      </c>
      <c r="L59" s="24"/>
      <c r="M59" s="190"/>
      <c r="N59" s="75"/>
      <c r="O59" s="189" t="s">
        <v>415</v>
      </c>
      <c r="P59" s="12">
        <v>1</v>
      </c>
      <c r="Q59" s="86" t="s">
        <v>364</v>
      </c>
      <c r="R59" s="12" t="s">
        <v>80</v>
      </c>
      <c r="S59" s="24"/>
      <c r="T59" s="190"/>
      <c r="U59" s="75"/>
    </row>
    <row r="60" spans="1:21" x14ac:dyDescent="0.25">
      <c r="A60" s="189" t="s">
        <v>82</v>
      </c>
      <c r="B60" s="12">
        <v>1</v>
      </c>
      <c r="C60" s="86" t="s">
        <v>254</v>
      </c>
      <c r="D60" s="12" t="s">
        <v>277</v>
      </c>
      <c r="E60" s="24"/>
      <c r="F60" s="190"/>
      <c r="G60" s="75"/>
      <c r="H60" s="189" t="s">
        <v>82</v>
      </c>
      <c r="I60" s="12">
        <v>1</v>
      </c>
      <c r="J60" s="86" t="s">
        <v>254</v>
      </c>
      <c r="K60" s="12" t="s">
        <v>84</v>
      </c>
      <c r="L60" s="24"/>
      <c r="M60" s="190"/>
      <c r="N60" s="75"/>
      <c r="O60" s="189" t="s">
        <v>82</v>
      </c>
      <c r="P60" s="12">
        <v>1</v>
      </c>
      <c r="Q60" s="86" t="s">
        <v>254</v>
      </c>
      <c r="R60" s="12" t="s">
        <v>80</v>
      </c>
      <c r="S60" s="24"/>
      <c r="T60" s="190"/>
      <c r="U60" s="75"/>
    </row>
    <row r="61" spans="1:21" x14ac:dyDescent="0.25">
      <c r="A61" s="189"/>
      <c r="B61" s="12">
        <v>1</v>
      </c>
      <c r="C61" s="86" t="s">
        <v>90</v>
      </c>
      <c r="D61" s="12" t="s">
        <v>277</v>
      </c>
      <c r="E61" s="24"/>
      <c r="F61" s="190"/>
      <c r="G61" s="75"/>
      <c r="H61" s="189"/>
      <c r="I61" s="12">
        <v>1</v>
      </c>
      <c r="J61" s="86" t="s">
        <v>90</v>
      </c>
      <c r="K61" s="12" t="s">
        <v>84</v>
      </c>
      <c r="L61" s="24"/>
      <c r="M61" s="190"/>
      <c r="N61" s="75"/>
      <c r="O61" s="189"/>
      <c r="P61" s="12">
        <v>1</v>
      </c>
      <c r="Q61" s="86" t="s">
        <v>90</v>
      </c>
      <c r="R61" s="12" t="s">
        <v>80</v>
      </c>
      <c r="S61" s="24"/>
      <c r="T61" s="190"/>
      <c r="U61" s="75"/>
    </row>
    <row r="62" spans="1:21" x14ac:dyDescent="0.25">
      <c r="A62" s="189" t="s">
        <v>367</v>
      </c>
      <c r="B62" s="12">
        <v>2</v>
      </c>
      <c r="C62" s="86" t="s">
        <v>90</v>
      </c>
      <c r="D62" s="12" t="s">
        <v>91</v>
      </c>
      <c r="E62" s="24"/>
      <c r="F62" s="190"/>
      <c r="G62" s="75"/>
      <c r="H62" s="189" t="s">
        <v>367</v>
      </c>
      <c r="I62" s="12">
        <v>2</v>
      </c>
      <c r="J62" s="86" t="s">
        <v>90</v>
      </c>
      <c r="K62" s="12" t="s">
        <v>84</v>
      </c>
      <c r="L62" s="24"/>
      <c r="M62" s="190"/>
      <c r="N62" s="75"/>
      <c r="O62" s="189" t="s">
        <v>367</v>
      </c>
      <c r="P62" s="12">
        <v>2</v>
      </c>
      <c r="Q62" s="86" t="s">
        <v>90</v>
      </c>
      <c r="R62" s="12" t="s">
        <v>84</v>
      </c>
      <c r="S62" s="24"/>
      <c r="T62" s="190"/>
      <c r="U62" s="75"/>
    </row>
    <row r="63" spans="1:21" x14ac:dyDescent="0.25">
      <c r="A63" s="189" t="s">
        <v>114</v>
      </c>
      <c r="B63" s="12">
        <v>1</v>
      </c>
      <c r="C63" s="86" t="s">
        <v>242</v>
      </c>
      <c r="D63" s="12" t="s">
        <v>91</v>
      </c>
      <c r="E63" s="24">
        <v>25</v>
      </c>
      <c r="F63" s="190">
        <v>1</v>
      </c>
      <c r="G63" s="75"/>
      <c r="H63" s="189" t="s">
        <v>114</v>
      </c>
      <c r="I63" s="12">
        <v>1</v>
      </c>
      <c r="J63" s="86" t="s">
        <v>242</v>
      </c>
      <c r="K63" s="12" t="s">
        <v>84</v>
      </c>
      <c r="L63" s="24">
        <v>30</v>
      </c>
      <c r="M63" s="190">
        <v>1</v>
      </c>
      <c r="N63" s="75"/>
      <c r="O63" s="189" t="s">
        <v>114</v>
      </c>
      <c r="P63" s="12">
        <v>1</v>
      </c>
      <c r="Q63" s="86" t="s">
        <v>242</v>
      </c>
      <c r="R63" s="12" t="s">
        <v>84</v>
      </c>
      <c r="S63" s="24">
        <v>30</v>
      </c>
      <c r="T63" s="190">
        <v>1</v>
      </c>
      <c r="U63" s="75"/>
    </row>
    <row r="64" spans="1:21" x14ac:dyDescent="0.25">
      <c r="A64" s="189" t="s">
        <v>85</v>
      </c>
      <c r="B64" s="12">
        <v>1</v>
      </c>
      <c r="C64" s="86" t="s">
        <v>253</v>
      </c>
      <c r="D64" s="12" t="s">
        <v>91</v>
      </c>
      <c r="E64" s="24"/>
      <c r="F64" s="190">
        <f>B64*1</f>
        <v>1</v>
      </c>
      <c r="G64" s="75"/>
      <c r="H64" s="189" t="s">
        <v>85</v>
      </c>
      <c r="I64" s="12">
        <v>1</v>
      </c>
      <c r="J64" s="86" t="s">
        <v>253</v>
      </c>
      <c r="K64" s="12" t="s">
        <v>84</v>
      </c>
      <c r="L64" s="24"/>
      <c r="M64" s="190">
        <f>I64*1</f>
        <v>1</v>
      </c>
      <c r="N64" s="75"/>
      <c r="O64" s="189" t="s">
        <v>85</v>
      </c>
      <c r="P64" s="12">
        <v>1</v>
      </c>
      <c r="Q64" s="86" t="s">
        <v>253</v>
      </c>
      <c r="R64" s="12" t="s">
        <v>84</v>
      </c>
      <c r="S64" s="24"/>
      <c r="T64" s="190">
        <f>P64*1</f>
        <v>1</v>
      </c>
      <c r="U64" s="75"/>
    </row>
    <row r="65" spans="1:21" x14ac:dyDescent="0.25">
      <c r="A65" s="189" t="s">
        <v>416</v>
      </c>
      <c r="B65" s="12">
        <v>2</v>
      </c>
      <c r="C65" s="86" t="s">
        <v>417</v>
      </c>
      <c r="D65" s="12" t="s">
        <v>91</v>
      </c>
      <c r="E65" s="24"/>
      <c r="F65" s="191"/>
      <c r="G65" s="75"/>
      <c r="H65" s="189" t="s">
        <v>416</v>
      </c>
      <c r="I65" s="12">
        <v>2</v>
      </c>
      <c r="J65" s="86" t="s">
        <v>417</v>
      </c>
      <c r="K65" s="12" t="s">
        <v>84</v>
      </c>
      <c r="L65" s="24"/>
      <c r="M65" s="191"/>
      <c r="N65" s="75"/>
      <c r="O65" s="189" t="s">
        <v>416</v>
      </c>
      <c r="P65" s="12">
        <v>2</v>
      </c>
      <c r="Q65" s="86" t="s">
        <v>417</v>
      </c>
      <c r="R65" s="12" t="s">
        <v>84</v>
      </c>
      <c r="S65" s="24"/>
      <c r="T65" s="191"/>
      <c r="U65" s="75"/>
    </row>
    <row r="66" spans="1:21" x14ac:dyDescent="0.25">
      <c r="A66" s="189" t="s">
        <v>418</v>
      </c>
      <c r="B66" s="12">
        <v>6</v>
      </c>
      <c r="C66" s="86" t="s">
        <v>419</v>
      </c>
      <c r="D66" s="12" t="s">
        <v>91</v>
      </c>
      <c r="E66" s="24"/>
      <c r="F66" s="191"/>
      <c r="G66" s="75"/>
      <c r="H66" s="189" t="s">
        <v>418</v>
      </c>
      <c r="I66" s="12">
        <v>6</v>
      </c>
      <c r="J66" s="86" t="s">
        <v>419</v>
      </c>
      <c r="K66" s="12" t="s">
        <v>84</v>
      </c>
      <c r="L66" s="24"/>
      <c r="M66" s="191"/>
      <c r="N66" s="75"/>
      <c r="O66" s="189" t="s">
        <v>418</v>
      </c>
      <c r="P66" s="12">
        <v>6</v>
      </c>
      <c r="Q66" s="86" t="s">
        <v>419</v>
      </c>
      <c r="R66" s="12" t="s">
        <v>84</v>
      </c>
      <c r="S66" s="24"/>
      <c r="T66" s="191"/>
      <c r="U66" s="75"/>
    </row>
    <row r="67" spans="1:21" x14ac:dyDescent="0.25">
      <c r="A67" s="189" t="s">
        <v>420</v>
      </c>
      <c r="B67" s="12">
        <v>2</v>
      </c>
      <c r="C67" s="86" t="s">
        <v>421</v>
      </c>
      <c r="D67" s="12" t="s">
        <v>91</v>
      </c>
      <c r="E67" s="24"/>
      <c r="F67" s="192"/>
      <c r="G67" s="75"/>
      <c r="H67" s="189" t="s">
        <v>420</v>
      </c>
      <c r="I67" s="12">
        <v>2</v>
      </c>
      <c r="J67" s="86" t="s">
        <v>421</v>
      </c>
      <c r="K67" s="12" t="s">
        <v>84</v>
      </c>
      <c r="L67" s="24"/>
      <c r="M67" s="192"/>
      <c r="N67" s="75"/>
      <c r="O67" s="189" t="s">
        <v>420</v>
      </c>
      <c r="P67" s="12">
        <v>2</v>
      </c>
      <c r="Q67" s="86" t="s">
        <v>421</v>
      </c>
      <c r="R67" s="12" t="s">
        <v>84</v>
      </c>
      <c r="S67" s="24"/>
      <c r="T67" s="192"/>
      <c r="U67" s="75"/>
    </row>
    <row r="68" spans="1:21" x14ac:dyDescent="0.25">
      <c r="A68" s="189"/>
      <c r="B68" s="12"/>
      <c r="C68" s="86"/>
      <c r="D68" s="12"/>
      <c r="E68" s="24"/>
      <c r="F68" s="192"/>
      <c r="G68" s="75"/>
      <c r="H68" s="189"/>
      <c r="I68" s="12"/>
      <c r="J68" s="86"/>
      <c r="K68" s="12"/>
      <c r="L68" s="24"/>
      <c r="M68" s="192"/>
      <c r="N68" s="75"/>
      <c r="O68" s="189"/>
      <c r="P68" s="12"/>
      <c r="Q68" s="86"/>
      <c r="R68" s="12"/>
      <c r="S68" s="24"/>
      <c r="T68" s="192"/>
      <c r="U68" s="75"/>
    </row>
    <row r="69" spans="1:21" x14ac:dyDescent="0.25">
      <c r="A69" s="189" t="s">
        <v>368</v>
      </c>
      <c r="B69" s="12">
        <v>4</v>
      </c>
      <c r="C69" s="86" t="s">
        <v>256</v>
      </c>
      <c r="D69" s="12" t="s">
        <v>277</v>
      </c>
      <c r="E69" s="24"/>
      <c r="F69" s="192"/>
      <c r="G69" s="75"/>
      <c r="H69" s="189" t="s">
        <v>368</v>
      </c>
      <c r="I69" s="12">
        <v>4</v>
      </c>
      <c r="J69" s="86" t="s">
        <v>256</v>
      </c>
      <c r="K69" s="12" t="s">
        <v>84</v>
      </c>
      <c r="L69" s="24"/>
      <c r="M69" s="192"/>
      <c r="N69" s="75"/>
      <c r="O69" s="189" t="s">
        <v>368</v>
      </c>
      <c r="P69" s="12">
        <v>4</v>
      </c>
      <c r="Q69" s="86" t="s">
        <v>256</v>
      </c>
      <c r="R69" s="12" t="s">
        <v>80</v>
      </c>
      <c r="S69" s="24"/>
      <c r="T69" s="192"/>
      <c r="U69" s="75"/>
    </row>
    <row r="70" spans="1:21" x14ac:dyDescent="0.25">
      <c r="A70" s="189" t="s">
        <v>369</v>
      </c>
      <c r="B70" s="12">
        <v>16</v>
      </c>
      <c r="C70" s="86" t="s">
        <v>370</v>
      </c>
      <c r="D70" s="12" t="s">
        <v>277</v>
      </c>
      <c r="E70" s="24"/>
      <c r="F70" s="192"/>
      <c r="G70" s="75"/>
      <c r="H70" s="189" t="s">
        <v>369</v>
      </c>
      <c r="I70" s="12">
        <v>16</v>
      </c>
      <c r="J70" s="86" t="s">
        <v>370</v>
      </c>
      <c r="K70" s="12" t="s">
        <v>84</v>
      </c>
      <c r="L70" s="24"/>
      <c r="M70" s="192"/>
      <c r="N70" s="75"/>
      <c r="O70" s="189" t="s">
        <v>369</v>
      </c>
      <c r="P70" s="12">
        <v>16</v>
      </c>
      <c r="Q70" s="86" t="s">
        <v>370</v>
      </c>
      <c r="R70" s="12" t="s">
        <v>80</v>
      </c>
      <c r="S70" s="24"/>
      <c r="T70" s="192"/>
      <c r="U70" s="75"/>
    </row>
    <row r="71" spans="1:21" x14ac:dyDescent="0.25">
      <c r="A71" s="189"/>
      <c r="B71" s="12"/>
      <c r="C71" s="143"/>
      <c r="D71" s="12"/>
      <c r="E71" s="24"/>
      <c r="F71" s="192"/>
      <c r="G71" s="75"/>
      <c r="H71" s="189"/>
      <c r="I71" s="12"/>
      <c r="J71" s="143"/>
      <c r="K71" s="12"/>
      <c r="L71" s="24"/>
      <c r="M71" s="192"/>
      <c r="N71" s="75"/>
      <c r="O71" s="189"/>
      <c r="P71" s="12"/>
      <c r="Q71" s="143"/>
      <c r="R71" s="12"/>
      <c r="S71" s="24"/>
      <c r="T71" s="192"/>
      <c r="U71" s="75"/>
    </row>
    <row r="72" spans="1:21" ht="25.15" customHeight="1" x14ac:dyDescent="0.35">
      <c r="A72" s="567" t="s">
        <v>561</v>
      </c>
      <c r="B72" s="567"/>
      <c r="C72" s="567"/>
      <c r="D72" s="567"/>
      <c r="E72" s="567"/>
      <c r="F72" s="567"/>
      <c r="G72" s="75"/>
      <c r="H72" s="567" t="s">
        <v>561</v>
      </c>
      <c r="I72" s="567"/>
      <c r="J72" s="567"/>
      <c r="K72" s="567"/>
      <c r="L72" s="567"/>
      <c r="M72" s="567"/>
      <c r="N72" s="75"/>
      <c r="O72" s="567" t="s">
        <v>561</v>
      </c>
      <c r="P72" s="567"/>
      <c r="Q72" s="567"/>
      <c r="R72" s="567"/>
      <c r="S72" s="567"/>
      <c r="T72" s="567"/>
      <c r="U72" s="75"/>
    </row>
    <row r="73" spans="1:21" x14ac:dyDescent="0.25">
      <c r="A73" s="189" t="s">
        <v>87</v>
      </c>
      <c r="B73" s="12">
        <v>1</v>
      </c>
      <c r="C73" s="86" t="s">
        <v>90</v>
      </c>
      <c r="D73" s="12" t="s">
        <v>277</v>
      </c>
      <c r="E73" s="24"/>
      <c r="F73" s="190"/>
      <c r="G73" s="75"/>
      <c r="H73" s="189" t="s">
        <v>87</v>
      </c>
      <c r="I73" s="12">
        <v>1</v>
      </c>
      <c r="J73" s="86" t="s">
        <v>90</v>
      </c>
      <c r="K73" s="12" t="s">
        <v>84</v>
      </c>
      <c r="L73" s="24"/>
      <c r="M73" s="190"/>
      <c r="N73" s="75"/>
      <c r="O73" s="189" t="s">
        <v>87</v>
      </c>
      <c r="P73" s="12">
        <v>1</v>
      </c>
      <c r="Q73" s="86" t="s">
        <v>90</v>
      </c>
      <c r="R73" s="12" t="s">
        <v>80</v>
      </c>
      <c r="S73" s="24"/>
      <c r="T73" s="190"/>
      <c r="U73" s="75"/>
    </row>
    <row r="74" spans="1:21" x14ac:dyDescent="0.25">
      <c r="A74" s="189"/>
      <c r="B74" s="12">
        <v>1</v>
      </c>
      <c r="C74" s="86" t="s">
        <v>90</v>
      </c>
      <c r="D74" s="12" t="s">
        <v>277</v>
      </c>
      <c r="E74" s="24"/>
      <c r="F74" s="190"/>
      <c r="G74" s="75"/>
      <c r="H74" s="189"/>
      <c r="I74" s="12">
        <v>1</v>
      </c>
      <c r="J74" s="86" t="s">
        <v>90</v>
      </c>
      <c r="K74" s="12" t="s">
        <v>84</v>
      </c>
      <c r="L74" s="24"/>
      <c r="M74" s="190"/>
      <c r="N74" s="75"/>
      <c r="O74" s="189"/>
      <c r="P74" s="12">
        <v>1</v>
      </c>
      <c r="Q74" s="86" t="s">
        <v>90</v>
      </c>
      <c r="R74" s="12" t="s">
        <v>80</v>
      </c>
      <c r="S74" s="24"/>
      <c r="T74" s="190"/>
      <c r="U74" s="75"/>
    </row>
    <row r="75" spans="1:21" x14ac:dyDescent="0.25">
      <c r="A75" s="189"/>
      <c r="B75" s="12">
        <v>1</v>
      </c>
      <c r="C75" s="86" t="s">
        <v>90</v>
      </c>
      <c r="D75" s="12" t="s">
        <v>277</v>
      </c>
      <c r="E75" s="24"/>
      <c r="F75" s="190"/>
      <c r="G75" s="75"/>
      <c r="H75" s="189"/>
      <c r="I75" s="12">
        <v>1</v>
      </c>
      <c r="J75" s="86" t="s">
        <v>90</v>
      </c>
      <c r="K75" s="12" t="s">
        <v>84</v>
      </c>
      <c r="L75" s="24"/>
      <c r="M75" s="190"/>
      <c r="N75" s="75"/>
      <c r="O75" s="189"/>
      <c r="P75" s="12">
        <v>1</v>
      </c>
      <c r="Q75" s="86" t="s">
        <v>90</v>
      </c>
      <c r="R75" s="12" t="s">
        <v>80</v>
      </c>
      <c r="S75" s="24"/>
      <c r="T75" s="190"/>
      <c r="U75" s="75"/>
    </row>
    <row r="76" spans="1:21" x14ac:dyDescent="0.25">
      <c r="A76" s="189"/>
      <c r="B76" s="12">
        <v>1</v>
      </c>
      <c r="C76" s="86" t="s">
        <v>90</v>
      </c>
      <c r="D76" s="12" t="s">
        <v>277</v>
      </c>
      <c r="E76" s="24"/>
      <c r="F76" s="190"/>
      <c r="G76" s="75"/>
      <c r="H76" s="189"/>
      <c r="I76" s="12">
        <v>1</v>
      </c>
      <c r="J76" s="86" t="s">
        <v>90</v>
      </c>
      <c r="K76" s="12" t="s">
        <v>84</v>
      </c>
      <c r="L76" s="24"/>
      <c r="M76" s="190"/>
      <c r="N76" s="75"/>
      <c r="O76" s="189"/>
      <c r="P76" s="12">
        <v>1</v>
      </c>
      <c r="Q76" s="86" t="s">
        <v>90</v>
      </c>
      <c r="R76" s="12" t="s">
        <v>80</v>
      </c>
      <c r="S76" s="24"/>
      <c r="T76" s="190"/>
      <c r="U76" s="75"/>
    </row>
    <row r="77" spans="1:21" x14ac:dyDescent="0.25">
      <c r="A77" s="189"/>
      <c r="B77" s="12"/>
      <c r="C77" s="86" t="s">
        <v>562</v>
      </c>
      <c r="D77" s="12"/>
      <c r="E77" s="24"/>
      <c r="F77" s="190"/>
      <c r="G77" s="75"/>
      <c r="H77" s="189"/>
      <c r="I77" s="12"/>
      <c r="J77" s="86" t="s">
        <v>562</v>
      </c>
      <c r="K77" s="12"/>
      <c r="L77" s="24"/>
      <c r="M77" s="190"/>
      <c r="N77" s="75"/>
      <c r="O77" s="189"/>
      <c r="P77" s="12"/>
      <c r="Q77" s="86" t="s">
        <v>562</v>
      </c>
      <c r="R77" s="12"/>
      <c r="S77" s="24"/>
      <c r="T77" s="190"/>
      <c r="U77" s="75"/>
    </row>
    <row r="78" spans="1:21" x14ac:dyDescent="0.25">
      <c r="A78" s="189" t="s">
        <v>81</v>
      </c>
      <c r="B78" s="12">
        <v>1</v>
      </c>
      <c r="C78" s="86" t="s">
        <v>563</v>
      </c>
      <c r="D78" s="12" t="s">
        <v>91</v>
      </c>
      <c r="E78" s="24"/>
      <c r="F78" s="190"/>
      <c r="G78" s="75"/>
      <c r="H78" s="189" t="s">
        <v>81</v>
      </c>
      <c r="I78" s="12">
        <v>1</v>
      </c>
      <c r="J78" s="86" t="s">
        <v>563</v>
      </c>
      <c r="K78" s="12" t="s">
        <v>84</v>
      </c>
      <c r="L78" s="24"/>
      <c r="M78" s="190"/>
      <c r="N78" s="75"/>
      <c r="O78" s="189" t="s">
        <v>81</v>
      </c>
      <c r="P78" s="12">
        <v>1</v>
      </c>
      <c r="Q78" s="86" t="s">
        <v>563</v>
      </c>
      <c r="R78" s="12" t="s">
        <v>80</v>
      </c>
      <c r="S78" s="24"/>
      <c r="T78" s="190"/>
      <c r="U78" s="75"/>
    </row>
    <row r="79" spans="1:21" x14ac:dyDescent="0.25">
      <c r="A79" s="189"/>
      <c r="B79" s="12"/>
      <c r="C79" s="86" t="s">
        <v>564</v>
      </c>
      <c r="D79" s="12"/>
      <c r="E79" s="24"/>
      <c r="F79" s="190"/>
      <c r="G79" s="75"/>
      <c r="H79" s="189"/>
      <c r="I79" s="12"/>
      <c r="J79" s="86" t="s">
        <v>564</v>
      </c>
      <c r="K79" s="12"/>
      <c r="L79" s="24"/>
      <c r="M79" s="190"/>
      <c r="N79" s="75"/>
      <c r="O79" s="189"/>
      <c r="P79" s="12"/>
      <c r="Q79" s="86" t="s">
        <v>564</v>
      </c>
      <c r="R79" s="12"/>
      <c r="S79" s="24"/>
      <c r="T79" s="190"/>
      <c r="U79" s="75"/>
    </row>
    <row r="80" spans="1:21" x14ac:dyDescent="0.25">
      <c r="A80" s="189" t="s">
        <v>82</v>
      </c>
      <c r="B80" s="12">
        <v>1</v>
      </c>
      <c r="C80" s="86" t="s">
        <v>565</v>
      </c>
      <c r="D80" s="12" t="s">
        <v>277</v>
      </c>
      <c r="E80" s="24"/>
      <c r="F80" s="191"/>
      <c r="G80" s="75"/>
      <c r="H80" s="189" t="s">
        <v>82</v>
      </c>
      <c r="I80" s="12">
        <v>1</v>
      </c>
      <c r="J80" s="86" t="s">
        <v>565</v>
      </c>
      <c r="K80" s="12" t="s">
        <v>84</v>
      </c>
      <c r="L80" s="24"/>
      <c r="M80" s="191"/>
      <c r="N80" s="75"/>
      <c r="O80" s="189" t="s">
        <v>82</v>
      </c>
      <c r="P80" s="12">
        <v>1</v>
      </c>
      <c r="Q80" s="86" t="s">
        <v>565</v>
      </c>
      <c r="R80" s="12" t="s">
        <v>80</v>
      </c>
      <c r="S80" s="24"/>
      <c r="T80" s="191"/>
      <c r="U80" s="75"/>
    </row>
    <row r="81" spans="1:21" x14ac:dyDescent="0.25">
      <c r="A81" s="189"/>
      <c r="B81" s="12">
        <v>1</v>
      </c>
      <c r="C81" s="86" t="s">
        <v>565</v>
      </c>
      <c r="D81" s="12" t="s">
        <v>277</v>
      </c>
      <c r="E81" s="24"/>
      <c r="F81" s="191"/>
      <c r="G81" s="75"/>
      <c r="H81" s="189"/>
      <c r="I81" s="12">
        <v>1</v>
      </c>
      <c r="J81" s="86" t="s">
        <v>565</v>
      </c>
      <c r="K81" s="12" t="s">
        <v>84</v>
      </c>
      <c r="L81" s="24"/>
      <c r="M81" s="191"/>
      <c r="N81" s="75"/>
      <c r="O81" s="189"/>
      <c r="P81" s="12">
        <v>1</v>
      </c>
      <c r="Q81" s="86" t="s">
        <v>565</v>
      </c>
      <c r="R81" s="12" t="s">
        <v>80</v>
      </c>
      <c r="S81" s="24"/>
      <c r="T81" s="191"/>
      <c r="U81" s="75"/>
    </row>
    <row r="82" spans="1:21" x14ac:dyDescent="0.25">
      <c r="A82" s="189"/>
      <c r="B82" s="12">
        <v>1</v>
      </c>
      <c r="C82" s="86" t="s">
        <v>90</v>
      </c>
      <c r="D82" s="12" t="s">
        <v>277</v>
      </c>
      <c r="E82" s="24"/>
      <c r="F82" s="192"/>
      <c r="G82" s="75"/>
      <c r="H82" s="189"/>
      <c r="I82" s="12">
        <v>1</v>
      </c>
      <c r="J82" s="86" t="s">
        <v>90</v>
      </c>
      <c r="K82" s="12" t="s">
        <v>84</v>
      </c>
      <c r="L82" s="24"/>
      <c r="M82" s="192"/>
      <c r="N82" s="75"/>
      <c r="O82" s="189"/>
      <c r="P82" s="12">
        <v>1</v>
      </c>
      <c r="Q82" s="86" t="s">
        <v>90</v>
      </c>
      <c r="R82" s="12" t="s">
        <v>80</v>
      </c>
      <c r="S82" s="24"/>
      <c r="T82" s="192"/>
      <c r="U82" s="75"/>
    </row>
    <row r="83" spans="1:21" x14ac:dyDescent="0.25">
      <c r="A83" s="189"/>
      <c r="B83" s="12">
        <v>1</v>
      </c>
      <c r="C83" s="86" t="s">
        <v>90</v>
      </c>
      <c r="D83" s="12" t="s">
        <v>277</v>
      </c>
      <c r="E83" s="24"/>
      <c r="F83" s="192"/>
      <c r="G83" s="75"/>
      <c r="H83" s="189"/>
      <c r="I83" s="12">
        <v>1</v>
      </c>
      <c r="J83" s="86" t="s">
        <v>90</v>
      </c>
      <c r="K83" s="12" t="s">
        <v>84</v>
      </c>
      <c r="L83" s="24"/>
      <c r="M83" s="192"/>
      <c r="N83" s="75"/>
      <c r="O83" s="189"/>
      <c r="P83" s="12">
        <v>1</v>
      </c>
      <c r="Q83" s="86" t="s">
        <v>90</v>
      </c>
      <c r="R83" s="12" t="s">
        <v>80</v>
      </c>
      <c r="S83" s="24"/>
      <c r="T83" s="192"/>
      <c r="U83" s="75"/>
    </row>
    <row r="84" spans="1:21" x14ac:dyDescent="0.25">
      <c r="A84" s="189"/>
      <c r="B84" s="12"/>
      <c r="C84" s="86" t="s">
        <v>566</v>
      </c>
      <c r="D84" s="12"/>
      <c r="E84" s="24"/>
      <c r="F84" s="192"/>
      <c r="G84" s="75"/>
      <c r="H84" s="189"/>
      <c r="I84" s="12"/>
      <c r="J84" s="86" t="s">
        <v>566</v>
      </c>
      <c r="K84" s="12"/>
      <c r="L84" s="24"/>
      <c r="M84" s="192"/>
      <c r="N84" s="75"/>
      <c r="O84" s="189"/>
      <c r="P84" s="12"/>
      <c r="Q84" s="86" t="s">
        <v>566</v>
      </c>
      <c r="R84" s="12"/>
      <c r="S84" s="24"/>
      <c r="T84" s="192"/>
      <c r="U84" s="75"/>
    </row>
    <row r="85" spans="1:21" x14ac:dyDescent="0.25">
      <c r="A85" s="189" t="s">
        <v>83</v>
      </c>
      <c r="B85" s="12">
        <v>1</v>
      </c>
      <c r="C85" s="86" t="s">
        <v>90</v>
      </c>
      <c r="D85" s="12" t="s">
        <v>277</v>
      </c>
      <c r="E85" s="24"/>
      <c r="F85" s="192"/>
      <c r="G85" s="75"/>
      <c r="H85" s="189" t="s">
        <v>83</v>
      </c>
      <c r="I85" s="12">
        <v>1</v>
      </c>
      <c r="J85" s="86" t="s">
        <v>90</v>
      </c>
      <c r="K85" s="12" t="s">
        <v>84</v>
      </c>
      <c r="L85" s="24"/>
      <c r="M85" s="192"/>
      <c r="N85" s="75"/>
      <c r="O85" s="189" t="s">
        <v>83</v>
      </c>
      <c r="P85" s="12">
        <v>1</v>
      </c>
      <c r="Q85" s="86" t="s">
        <v>90</v>
      </c>
      <c r="R85" s="12" t="s">
        <v>80</v>
      </c>
      <c r="S85" s="24"/>
      <c r="T85" s="192"/>
      <c r="U85" s="75"/>
    </row>
    <row r="86" spans="1:21" x14ac:dyDescent="0.25">
      <c r="A86" s="189"/>
      <c r="B86" s="12">
        <v>1</v>
      </c>
      <c r="C86" s="86" t="s">
        <v>90</v>
      </c>
      <c r="D86" s="12" t="s">
        <v>277</v>
      </c>
      <c r="E86" s="24"/>
      <c r="F86" s="192"/>
      <c r="G86" s="75"/>
      <c r="H86" s="189"/>
      <c r="I86" s="12">
        <v>1</v>
      </c>
      <c r="J86" s="86" t="s">
        <v>90</v>
      </c>
      <c r="K86" s="12" t="s">
        <v>84</v>
      </c>
      <c r="L86" s="24"/>
      <c r="M86" s="192"/>
      <c r="N86" s="75"/>
      <c r="O86" s="189"/>
      <c r="P86" s="12">
        <v>1</v>
      </c>
      <c r="Q86" s="86" t="s">
        <v>90</v>
      </c>
      <c r="R86" s="12" t="s">
        <v>80</v>
      </c>
      <c r="S86" s="24"/>
      <c r="T86" s="192"/>
      <c r="U86" s="75"/>
    </row>
    <row r="87" spans="1:21" x14ac:dyDescent="0.25">
      <c r="A87" s="189"/>
      <c r="B87" s="12">
        <v>1</v>
      </c>
      <c r="C87" s="86" t="s">
        <v>90</v>
      </c>
      <c r="D87" s="12" t="s">
        <v>277</v>
      </c>
      <c r="E87" s="24"/>
      <c r="F87" s="192"/>
      <c r="G87" s="75"/>
      <c r="H87" s="189"/>
      <c r="I87" s="12">
        <v>1</v>
      </c>
      <c r="J87" s="86" t="s">
        <v>90</v>
      </c>
      <c r="K87" s="12" t="s">
        <v>84</v>
      </c>
      <c r="L87" s="24"/>
      <c r="M87" s="192"/>
      <c r="N87" s="75"/>
      <c r="O87" s="189"/>
      <c r="P87" s="12">
        <v>1</v>
      </c>
      <c r="Q87" s="86" t="s">
        <v>90</v>
      </c>
      <c r="R87" s="12" t="s">
        <v>80</v>
      </c>
      <c r="S87" s="24"/>
      <c r="T87" s="192"/>
      <c r="U87" s="75"/>
    </row>
    <row r="88" spans="1:21" x14ac:dyDescent="0.25">
      <c r="A88" s="189"/>
      <c r="B88" s="12">
        <v>1</v>
      </c>
      <c r="C88" s="86" t="s">
        <v>90</v>
      </c>
      <c r="D88" s="12" t="s">
        <v>277</v>
      </c>
      <c r="E88" s="24"/>
      <c r="F88" s="192"/>
      <c r="G88" s="75"/>
      <c r="H88" s="189"/>
      <c r="I88" s="12">
        <v>1</v>
      </c>
      <c r="J88" s="86" t="s">
        <v>90</v>
      </c>
      <c r="K88" s="12" t="s">
        <v>84</v>
      </c>
      <c r="L88" s="24"/>
      <c r="M88" s="192"/>
      <c r="N88" s="75"/>
      <c r="O88" s="189"/>
      <c r="P88" s="12">
        <v>1</v>
      </c>
      <c r="Q88" s="86" t="s">
        <v>90</v>
      </c>
      <c r="R88" s="12" t="s">
        <v>80</v>
      </c>
      <c r="S88" s="24"/>
      <c r="T88" s="192"/>
      <c r="U88" s="75"/>
    </row>
    <row r="89" spans="1:21" x14ac:dyDescent="0.25">
      <c r="A89" s="189"/>
      <c r="B89" s="12"/>
      <c r="C89" s="86" t="s">
        <v>567</v>
      </c>
      <c r="D89" s="12"/>
      <c r="E89" s="24"/>
      <c r="F89" s="192"/>
      <c r="G89" s="75"/>
      <c r="H89" s="189"/>
      <c r="I89" s="12"/>
      <c r="J89" s="86" t="s">
        <v>567</v>
      </c>
      <c r="K89" s="12"/>
      <c r="L89" s="24"/>
      <c r="M89" s="192"/>
      <c r="N89" s="75"/>
      <c r="O89" s="189"/>
      <c r="P89" s="12"/>
      <c r="Q89" s="86" t="s">
        <v>567</v>
      </c>
      <c r="R89" s="12"/>
      <c r="S89" s="24"/>
      <c r="T89" s="192"/>
      <c r="U89" s="75"/>
    </row>
    <row r="90" spans="1:21" x14ac:dyDescent="0.25">
      <c r="A90" s="189" t="s">
        <v>114</v>
      </c>
      <c r="B90" s="12">
        <v>1</v>
      </c>
      <c r="C90" s="86" t="s">
        <v>242</v>
      </c>
      <c r="D90" s="12" t="s">
        <v>91</v>
      </c>
      <c r="E90" s="24">
        <v>25</v>
      </c>
      <c r="F90" s="192">
        <v>1</v>
      </c>
      <c r="G90" s="75"/>
      <c r="H90" s="189" t="s">
        <v>114</v>
      </c>
      <c r="I90" s="12">
        <v>1</v>
      </c>
      <c r="J90" s="86" t="s">
        <v>242</v>
      </c>
      <c r="K90" s="12" t="s">
        <v>84</v>
      </c>
      <c r="L90" s="24">
        <v>30</v>
      </c>
      <c r="M90" s="192">
        <v>1</v>
      </c>
      <c r="N90" s="75"/>
      <c r="O90" s="189" t="s">
        <v>114</v>
      </c>
      <c r="P90" s="12">
        <v>1</v>
      </c>
      <c r="Q90" s="86" t="s">
        <v>242</v>
      </c>
      <c r="R90" s="12" t="s">
        <v>84</v>
      </c>
      <c r="S90" s="24">
        <v>25</v>
      </c>
      <c r="T90" s="192">
        <v>1</v>
      </c>
      <c r="U90" s="75"/>
    </row>
    <row r="91" spans="1:21" x14ac:dyDescent="0.25">
      <c r="A91" s="189" t="s">
        <v>85</v>
      </c>
      <c r="B91" s="12">
        <v>1</v>
      </c>
      <c r="C91" s="86" t="s">
        <v>253</v>
      </c>
      <c r="D91" s="12" t="s">
        <v>91</v>
      </c>
      <c r="E91" s="24"/>
      <c r="F91" s="192"/>
      <c r="G91" s="75"/>
      <c r="H91" s="189" t="s">
        <v>85</v>
      </c>
      <c r="I91" s="12">
        <v>1</v>
      </c>
      <c r="J91" s="86" t="s">
        <v>253</v>
      </c>
      <c r="K91" s="12" t="s">
        <v>84</v>
      </c>
      <c r="L91" s="24"/>
      <c r="M91" s="192">
        <f>I91*1</f>
        <v>1</v>
      </c>
      <c r="N91" s="75"/>
      <c r="O91" s="189" t="s">
        <v>85</v>
      </c>
      <c r="P91" s="12">
        <v>1</v>
      </c>
      <c r="Q91" s="86" t="s">
        <v>253</v>
      </c>
      <c r="R91" s="12" t="s">
        <v>84</v>
      </c>
      <c r="S91" s="24"/>
      <c r="T91" s="192"/>
      <c r="U91" s="75"/>
    </row>
    <row r="92" spans="1:21" x14ac:dyDescent="0.25">
      <c r="A92" s="189" t="s">
        <v>86</v>
      </c>
      <c r="B92" s="12">
        <v>1</v>
      </c>
      <c r="C92" s="86" t="s">
        <v>568</v>
      </c>
      <c r="D92" s="12" t="s">
        <v>91</v>
      </c>
      <c r="E92" s="24"/>
      <c r="F92" s="192"/>
      <c r="G92" s="75"/>
      <c r="H92" s="189" t="s">
        <v>86</v>
      </c>
      <c r="I92" s="12">
        <v>1</v>
      </c>
      <c r="J92" s="86" t="s">
        <v>568</v>
      </c>
      <c r="K92" s="12" t="s">
        <v>84</v>
      </c>
      <c r="L92" s="24"/>
      <c r="M92" s="192"/>
      <c r="N92" s="75"/>
      <c r="O92" s="189" t="s">
        <v>86</v>
      </c>
      <c r="P92" s="12">
        <v>1</v>
      </c>
      <c r="Q92" s="86" t="s">
        <v>568</v>
      </c>
      <c r="R92" s="12" t="s">
        <v>84</v>
      </c>
      <c r="S92" s="24"/>
      <c r="T92" s="192"/>
      <c r="U92" s="75"/>
    </row>
    <row r="93" spans="1:21" x14ac:dyDescent="0.25">
      <c r="A93" s="189"/>
      <c r="B93" s="12"/>
      <c r="C93" s="35" t="s">
        <v>569</v>
      </c>
      <c r="D93" s="12" t="s">
        <v>91</v>
      </c>
      <c r="E93" s="24"/>
      <c r="F93" s="192"/>
      <c r="G93" s="75"/>
      <c r="H93" s="189"/>
      <c r="I93" s="12"/>
      <c r="J93" s="35" t="s">
        <v>569</v>
      </c>
      <c r="K93" s="12" t="s">
        <v>84</v>
      </c>
      <c r="L93" s="24"/>
      <c r="M93" s="192"/>
      <c r="N93" s="75"/>
      <c r="O93" s="189"/>
      <c r="P93" s="12"/>
      <c r="Q93" s="35" t="s">
        <v>569</v>
      </c>
      <c r="R93" s="12" t="s">
        <v>84</v>
      </c>
      <c r="S93" s="24"/>
      <c r="T93" s="192"/>
      <c r="U93" s="75"/>
    </row>
    <row r="94" spans="1:21" x14ac:dyDescent="0.25">
      <c r="A94" s="193"/>
      <c r="B94" s="193"/>
      <c r="C94" s="75"/>
      <c r="D94" s="75"/>
      <c r="E94" s="75"/>
      <c r="F94" s="75"/>
      <c r="G94" s="75"/>
      <c r="H94" s="75"/>
      <c r="I94" s="75"/>
      <c r="J94" s="75"/>
      <c r="K94" s="75"/>
      <c r="L94" s="75"/>
      <c r="M94" s="75"/>
      <c r="N94" s="75"/>
      <c r="O94" s="75"/>
      <c r="P94" s="75"/>
      <c r="Q94" s="75"/>
      <c r="R94" s="75"/>
      <c r="S94" s="75"/>
      <c r="T94" s="75"/>
      <c r="U94" s="75"/>
    </row>
  </sheetData>
  <mergeCells count="18">
    <mergeCell ref="A72:F72"/>
    <mergeCell ref="H72:M72"/>
    <mergeCell ref="O72:T72"/>
    <mergeCell ref="O57:T57"/>
    <mergeCell ref="H57:M57"/>
    <mergeCell ref="A57:F57"/>
    <mergeCell ref="A1:F1"/>
    <mergeCell ref="A2:F2"/>
    <mergeCell ref="H19:M19"/>
    <mergeCell ref="H38:M38"/>
    <mergeCell ref="O1:T1"/>
    <mergeCell ref="O2:T2"/>
    <mergeCell ref="O19:T19"/>
    <mergeCell ref="O38:T38"/>
    <mergeCell ref="H1:M1"/>
    <mergeCell ref="H2:M2"/>
    <mergeCell ref="A19:F19"/>
    <mergeCell ref="A38:F38"/>
  </mergeCells>
  <printOptions horizontalCentered="1"/>
  <pageMargins left="0.25" right="0.25" top="0.75" bottom="0.75" header="0.3" footer="0.3"/>
  <pageSetup fitToHeight="0" orientation="portrait" r:id="rId1"/>
  <headerFooter>
    <oddFooter>&amp;Z&amp;F&amp;RPage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pageSetUpPr fitToPage="1"/>
  </sheetPr>
  <dimension ref="A1:AA73"/>
  <sheetViews>
    <sheetView showGridLines="0" showWhiteSpace="0" topLeftCell="A29" zoomScale="80" zoomScaleNormal="80" workbookViewId="0">
      <selection activeCell="B53" sqref="B53:I72"/>
    </sheetView>
  </sheetViews>
  <sheetFormatPr defaultRowHeight="15" x14ac:dyDescent="0.25"/>
  <cols>
    <col min="2" max="2" width="18.7109375" bestFit="1" customWidth="1"/>
    <col min="3" max="3" width="5.140625" customWidth="1"/>
    <col min="4" max="4" width="32.7109375" bestFit="1" customWidth="1"/>
    <col min="5" max="5" width="16.7109375" customWidth="1"/>
    <col min="6" max="6" width="5.85546875" style="157" bestFit="1" customWidth="1"/>
    <col min="7" max="7" width="7.7109375" bestFit="1" customWidth="1"/>
    <col min="8" max="8" width="9.42578125" bestFit="1" customWidth="1"/>
    <col min="9" max="9" width="11.28515625" bestFit="1" customWidth="1"/>
    <col min="11" max="11" width="16.42578125" bestFit="1" customWidth="1"/>
    <col min="12" max="12" width="5.140625" bestFit="1" customWidth="1"/>
    <col min="13" max="13" width="17.7109375" customWidth="1"/>
    <col min="14" max="14" width="13.42578125" bestFit="1" customWidth="1"/>
    <col min="15" max="15" width="6.7109375" style="157" bestFit="1" customWidth="1"/>
    <col min="16" max="16" width="7.7109375" bestFit="1" customWidth="1"/>
    <col min="17" max="17" width="9.42578125" bestFit="1" customWidth="1"/>
    <col min="18" max="18" width="10.42578125" bestFit="1" customWidth="1"/>
    <col min="20" max="20" width="16.42578125" bestFit="1" customWidth="1"/>
    <col min="21" max="21" width="5.140625" bestFit="1" customWidth="1"/>
    <col min="22" max="22" width="33.140625" bestFit="1" customWidth="1"/>
    <col min="23" max="23" width="11.7109375" bestFit="1" customWidth="1"/>
    <col min="24" max="24" width="7.140625" style="157" bestFit="1" customWidth="1"/>
    <col min="25" max="25" width="7.7109375" bestFit="1" customWidth="1"/>
    <col min="26" max="26" width="9.42578125" bestFit="1" customWidth="1"/>
    <col min="27" max="27" width="10.42578125" bestFit="1" customWidth="1"/>
  </cols>
  <sheetData>
    <row r="1" spans="1:27" ht="24.95" customHeight="1" x14ac:dyDescent="0.35">
      <c r="A1" s="78"/>
      <c r="B1" s="578" t="s">
        <v>244</v>
      </c>
      <c r="C1" s="578"/>
      <c r="D1" s="578"/>
      <c r="E1" s="578"/>
      <c r="F1" s="578"/>
      <c r="G1" s="578"/>
      <c r="H1" s="578"/>
      <c r="I1" s="578"/>
      <c r="J1" s="78"/>
      <c r="K1" s="578" t="s">
        <v>245</v>
      </c>
      <c r="L1" s="578"/>
      <c r="M1" s="578"/>
      <c r="N1" s="578"/>
      <c r="O1" s="578"/>
      <c r="P1" s="578"/>
      <c r="Q1" s="578"/>
      <c r="R1" s="578"/>
      <c r="S1" s="78"/>
      <c r="T1" s="578" t="s">
        <v>246</v>
      </c>
      <c r="U1" s="578"/>
      <c r="V1" s="578"/>
      <c r="W1" s="578"/>
      <c r="X1" s="578"/>
      <c r="Y1" s="578"/>
      <c r="Z1" s="578"/>
      <c r="AA1" s="578"/>
    </row>
    <row r="2" spans="1:27" ht="16.5" thickBot="1" x14ac:dyDescent="0.3">
      <c r="A2" s="75"/>
      <c r="B2" s="6" t="s">
        <v>0</v>
      </c>
      <c r="C2" s="7" t="s">
        <v>1</v>
      </c>
      <c r="D2" s="7" t="s">
        <v>2</v>
      </c>
      <c r="E2" s="7" t="s">
        <v>24</v>
      </c>
      <c r="F2" s="154" t="s">
        <v>7</v>
      </c>
      <c r="G2" s="81" t="s">
        <v>9</v>
      </c>
      <c r="H2" s="7" t="s">
        <v>133</v>
      </c>
      <c r="I2" s="46" t="s">
        <v>134</v>
      </c>
      <c r="J2" s="75"/>
      <c r="K2" s="27" t="s">
        <v>0</v>
      </c>
      <c r="L2" s="28" t="s">
        <v>1</v>
      </c>
      <c r="M2" s="28" t="s">
        <v>2</v>
      </c>
      <c r="N2" s="28" t="s">
        <v>24</v>
      </c>
      <c r="O2" s="155" t="s">
        <v>7</v>
      </c>
      <c r="P2" s="45" t="s">
        <v>9</v>
      </c>
      <c r="Q2" s="7" t="s">
        <v>133</v>
      </c>
      <c r="R2" s="46" t="s">
        <v>134</v>
      </c>
      <c r="S2" s="75"/>
      <c r="T2" s="27" t="s">
        <v>0</v>
      </c>
      <c r="U2" s="28" t="s">
        <v>1</v>
      </c>
      <c r="V2" s="28" t="s">
        <v>2</v>
      </c>
      <c r="W2" s="28" t="s">
        <v>24</v>
      </c>
      <c r="X2" s="155" t="s">
        <v>7</v>
      </c>
      <c r="Y2" s="45" t="s">
        <v>9</v>
      </c>
      <c r="Z2" s="7" t="s">
        <v>133</v>
      </c>
      <c r="AA2" s="46" t="s">
        <v>134</v>
      </c>
    </row>
    <row r="3" spans="1:27" x14ac:dyDescent="0.25">
      <c r="A3" s="75"/>
      <c r="B3" s="10" t="s">
        <v>25</v>
      </c>
      <c r="C3" s="11">
        <v>1</v>
      </c>
      <c r="D3" s="10" t="s">
        <v>33</v>
      </c>
      <c r="E3" s="11" t="s">
        <v>77</v>
      </c>
      <c r="F3" s="151">
        <f>C3*25</f>
        <v>25</v>
      </c>
      <c r="G3" s="152"/>
      <c r="H3" s="95">
        <v>44757</v>
      </c>
      <c r="I3" s="32" t="s">
        <v>449</v>
      </c>
      <c r="J3" s="75"/>
      <c r="K3" s="23" t="s">
        <v>181</v>
      </c>
      <c r="L3" s="12">
        <v>1</v>
      </c>
      <c r="M3" s="23" t="s">
        <v>184</v>
      </c>
      <c r="N3" s="12" t="s">
        <v>77</v>
      </c>
      <c r="O3" s="145">
        <f>L3*21</f>
        <v>21</v>
      </c>
      <c r="P3" s="50"/>
      <c r="Q3" s="95">
        <v>44757</v>
      </c>
      <c r="R3" s="32" t="s">
        <v>449</v>
      </c>
      <c r="S3" s="75"/>
      <c r="T3" s="10" t="s">
        <v>25</v>
      </c>
      <c r="U3" s="11">
        <v>1</v>
      </c>
      <c r="V3" s="10" t="s">
        <v>140</v>
      </c>
      <c r="W3" s="12" t="s">
        <v>77</v>
      </c>
      <c r="X3" s="145">
        <f>U3*32</f>
        <v>32</v>
      </c>
      <c r="Y3" s="50"/>
      <c r="Z3" s="95">
        <v>44791</v>
      </c>
      <c r="AA3" s="32" t="s">
        <v>554</v>
      </c>
    </row>
    <row r="4" spans="1:27" x14ac:dyDescent="0.25">
      <c r="A4" s="75"/>
      <c r="B4" s="14" t="s">
        <v>25</v>
      </c>
      <c r="C4" s="12">
        <v>1</v>
      </c>
      <c r="D4" s="14" t="s">
        <v>26</v>
      </c>
      <c r="E4" s="12" t="s">
        <v>77</v>
      </c>
      <c r="F4" s="153">
        <f>C4*19.12</f>
        <v>19.12</v>
      </c>
      <c r="G4" s="96"/>
      <c r="H4" s="95">
        <v>44757</v>
      </c>
      <c r="I4" s="32" t="s">
        <v>449</v>
      </c>
      <c r="J4" s="75"/>
      <c r="K4" s="23" t="s">
        <v>181</v>
      </c>
      <c r="L4" s="12">
        <v>1</v>
      </c>
      <c r="M4" s="23" t="s">
        <v>185</v>
      </c>
      <c r="N4" s="12" t="s">
        <v>77</v>
      </c>
      <c r="O4" s="145">
        <f>L4*30</f>
        <v>30</v>
      </c>
      <c r="P4" s="50"/>
      <c r="Q4" s="95">
        <v>44766</v>
      </c>
      <c r="R4" s="32" t="s">
        <v>207</v>
      </c>
      <c r="S4" s="75"/>
      <c r="T4" s="10" t="s">
        <v>25</v>
      </c>
      <c r="U4" s="11">
        <v>1</v>
      </c>
      <c r="V4" s="10" t="s">
        <v>142</v>
      </c>
      <c r="W4" s="12" t="s">
        <v>77</v>
      </c>
      <c r="X4" s="145">
        <f>U4*31</f>
        <v>31</v>
      </c>
      <c r="Y4" s="50"/>
      <c r="Z4" s="95">
        <v>44791</v>
      </c>
      <c r="AA4" s="32" t="s">
        <v>554</v>
      </c>
    </row>
    <row r="5" spans="1:27" x14ac:dyDescent="0.25">
      <c r="A5" s="75"/>
      <c r="B5" s="14" t="s">
        <v>25</v>
      </c>
      <c r="C5" s="12">
        <v>1</v>
      </c>
      <c r="D5" s="14" t="s">
        <v>30</v>
      </c>
      <c r="E5" s="12" t="s">
        <v>77</v>
      </c>
      <c r="F5" s="153">
        <f>C5*21</f>
        <v>21</v>
      </c>
      <c r="G5" s="96"/>
      <c r="H5" s="95">
        <v>44757</v>
      </c>
      <c r="I5" s="32" t="s">
        <v>449</v>
      </c>
      <c r="J5" s="75"/>
      <c r="K5" s="23" t="s">
        <v>181</v>
      </c>
      <c r="L5" s="12">
        <v>1</v>
      </c>
      <c r="M5" s="23" t="s">
        <v>183</v>
      </c>
      <c r="N5" s="12" t="s">
        <v>77</v>
      </c>
      <c r="O5" s="145">
        <f>L5*24</f>
        <v>24</v>
      </c>
      <c r="P5" s="50"/>
      <c r="Q5" s="95">
        <v>44766</v>
      </c>
      <c r="R5" s="32" t="s">
        <v>207</v>
      </c>
      <c r="S5" s="75"/>
      <c r="T5" s="10" t="s">
        <v>25</v>
      </c>
      <c r="U5" s="11">
        <v>1</v>
      </c>
      <c r="V5" s="10" t="s">
        <v>144</v>
      </c>
      <c r="W5" s="12" t="s">
        <v>77</v>
      </c>
      <c r="X5" s="145">
        <f>U5*22</f>
        <v>22</v>
      </c>
      <c r="Y5" s="50"/>
      <c r="Z5" s="95">
        <v>44823</v>
      </c>
      <c r="AA5" s="32" t="s">
        <v>207</v>
      </c>
    </row>
    <row r="6" spans="1:27" x14ac:dyDescent="0.25">
      <c r="A6" s="75"/>
      <c r="B6" s="14" t="s">
        <v>25</v>
      </c>
      <c r="C6" s="12">
        <v>1</v>
      </c>
      <c r="D6" s="14" t="s">
        <v>39</v>
      </c>
      <c r="E6" s="12" t="s">
        <v>77</v>
      </c>
      <c r="F6" s="153">
        <f>C6*21</f>
        <v>21</v>
      </c>
      <c r="G6" s="153"/>
      <c r="H6" s="95">
        <v>44815</v>
      </c>
      <c r="I6" s="32" t="s">
        <v>207</v>
      </c>
      <c r="J6" s="75"/>
      <c r="K6" s="23" t="s">
        <v>181</v>
      </c>
      <c r="L6" s="12">
        <v>1</v>
      </c>
      <c r="M6" s="23" t="s">
        <v>182</v>
      </c>
      <c r="N6" s="12" t="s">
        <v>77</v>
      </c>
      <c r="O6" s="149">
        <f>L6*22</f>
        <v>22</v>
      </c>
      <c r="P6" s="53"/>
      <c r="Q6" s="95">
        <v>44823</v>
      </c>
      <c r="R6" s="32" t="s">
        <v>207</v>
      </c>
      <c r="S6" s="75"/>
      <c r="T6" s="10" t="s">
        <v>25</v>
      </c>
      <c r="U6" s="11">
        <v>1</v>
      </c>
      <c r="V6" s="10" t="s">
        <v>146</v>
      </c>
      <c r="W6" s="12" t="s">
        <v>77</v>
      </c>
      <c r="X6" s="149">
        <f>U6*28</f>
        <v>28</v>
      </c>
      <c r="Y6" s="53"/>
      <c r="Z6" s="95">
        <v>44823</v>
      </c>
      <c r="AA6" s="32" t="s">
        <v>207</v>
      </c>
    </row>
    <row r="7" spans="1:27" x14ac:dyDescent="0.25">
      <c r="A7" s="75"/>
      <c r="B7" s="14" t="s">
        <v>25</v>
      </c>
      <c r="C7" s="12">
        <v>1</v>
      </c>
      <c r="D7" s="14" t="s">
        <v>42</v>
      </c>
      <c r="E7" s="12" t="s">
        <v>77</v>
      </c>
      <c r="F7" s="153">
        <f>C7*25</f>
        <v>25</v>
      </c>
      <c r="G7" s="153"/>
      <c r="H7" s="95">
        <v>44757</v>
      </c>
      <c r="I7" s="32" t="s">
        <v>449</v>
      </c>
      <c r="J7" s="75"/>
      <c r="K7" s="23" t="s">
        <v>181</v>
      </c>
      <c r="L7" s="12">
        <v>1</v>
      </c>
      <c r="M7" s="23" t="s">
        <v>186</v>
      </c>
      <c r="N7" s="12" t="s">
        <v>77</v>
      </c>
      <c r="O7" s="149">
        <f>L7*41</f>
        <v>41</v>
      </c>
      <c r="P7" s="53"/>
      <c r="Q7" s="95">
        <v>44766</v>
      </c>
      <c r="R7" s="32" t="s">
        <v>207</v>
      </c>
      <c r="S7" s="75"/>
      <c r="T7" s="10" t="s">
        <v>25</v>
      </c>
      <c r="U7" s="11">
        <v>1</v>
      </c>
      <c r="V7" s="10" t="s">
        <v>148</v>
      </c>
      <c r="W7" s="12" t="s">
        <v>77</v>
      </c>
      <c r="X7" s="149">
        <f>U7*33</f>
        <v>33</v>
      </c>
      <c r="Y7" s="53"/>
      <c r="Z7" s="95">
        <v>44823</v>
      </c>
      <c r="AA7" s="32" t="s">
        <v>207</v>
      </c>
    </row>
    <row r="8" spans="1:27" x14ac:dyDescent="0.25">
      <c r="A8" s="75"/>
      <c r="B8" s="14" t="s">
        <v>25</v>
      </c>
      <c r="C8" s="12">
        <v>1</v>
      </c>
      <c r="D8" s="14" t="s">
        <v>44</v>
      </c>
      <c r="E8" s="12" t="s">
        <v>77</v>
      </c>
      <c r="F8" s="153">
        <f>C8*53.23</f>
        <v>53.23</v>
      </c>
      <c r="G8" s="153"/>
      <c r="H8" s="95">
        <v>44669</v>
      </c>
      <c r="I8" s="32" t="s">
        <v>356</v>
      </c>
      <c r="J8" s="75"/>
      <c r="K8" s="23" t="s">
        <v>181</v>
      </c>
      <c r="L8" s="12">
        <v>1</v>
      </c>
      <c r="M8" s="23" t="s">
        <v>187</v>
      </c>
      <c r="N8" s="12" t="s">
        <v>77</v>
      </c>
      <c r="O8" s="149">
        <f>L8*49.15</f>
        <v>49.15</v>
      </c>
      <c r="P8" s="53"/>
      <c r="Q8" s="95">
        <v>44669</v>
      </c>
      <c r="R8" s="32" t="s">
        <v>356</v>
      </c>
      <c r="S8" s="75"/>
      <c r="T8" s="10" t="s">
        <v>25</v>
      </c>
      <c r="U8" s="11">
        <v>1</v>
      </c>
      <c r="V8" s="10" t="s">
        <v>159</v>
      </c>
      <c r="W8" s="12" t="s">
        <v>77</v>
      </c>
      <c r="X8" s="149">
        <f>U8*55</f>
        <v>55</v>
      </c>
      <c r="Y8" s="53"/>
      <c r="Z8" s="95">
        <v>44494</v>
      </c>
      <c r="AA8" s="32" t="s">
        <v>207</v>
      </c>
    </row>
    <row r="9" spans="1:27" x14ac:dyDescent="0.25">
      <c r="A9" s="75"/>
      <c r="B9" s="14" t="s">
        <v>25</v>
      </c>
      <c r="C9" s="12">
        <v>1</v>
      </c>
      <c r="D9" s="14" t="s">
        <v>47</v>
      </c>
      <c r="E9" s="12" t="s">
        <v>77</v>
      </c>
      <c r="F9" s="153">
        <f>C9*56</f>
        <v>56</v>
      </c>
      <c r="G9" s="153"/>
      <c r="H9" s="95">
        <v>44757</v>
      </c>
      <c r="I9" s="32" t="s">
        <v>449</v>
      </c>
      <c r="J9" s="75"/>
      <c r="K9" s="23" t="s">
        <v>181</v>
      </c>
      <c r="L9" s="12">
        <v>1</v>
      </c>
      <c r="M9" s="23" t="s">
        <v>188</v>
      </c>
      <c r="N9" s="12" t="s">
        <v>77</v>
      </c>
      <c r="O9" s="149">
        <f>L9*68</f>
        <v>68</v>
      </c>
      <c r="P9" s="53"/>
      <c r="Q9" s="95">
        <v>44791</v>
      </c>
      <c r="R9" s="32" t="s">
        <v>554</v>
      </c>
      <c r="S9" s="75"/>
      <c r="T9" s="10" t="s">
        <v>25</v>
      </c>
      <c r="U9" s="11">
        <v>1</v>
      </c>
      <c r="V9" s="10" t="s">
        <v>161</v>
      </c>
      <c r="W9" s="12" t="s">
        <v>77</v>
      </c>
      <c r="X9" s="149">
        <f>U9*48</f>
        <v>48</v>
      </c>
      <c r="Y9" s="53"/>
      <c r="Z9" s="95">
        <v>44823</v>
      </c>
      <c r="AA9" s="32" t="s">
        <v>207</v>
      </c>
    </row>
    <row r="10" spans="1:27" x14ac:dyDescent="0.25">
      <c r="A10" s="75"/>
      <c r="B10" s="14" t="s">
        <v>25</v>
      </c>
      <c r="C10" s="12">
        <v>1</v>
      </c>
      <c r="D10" s="14" t="s">
        <v>50</v>
      </c>
      <c r="E10" s="12" t="s">
        <v>77</v>
      </c>
      <c r="F10" s="153">
        <f>C10*59</f>
        <v>59</v>
      </c>
      <c r="G10" s="153"/>
      <c r="H10" s="95">
        <v>44757</v>
      </c>
      <c r="I10" s="32" t="s">
        <v>449</v>
      </c>
      <c r="J10" s="75"/>
      <c r="K10" s="23" t="s">
        <v>181</v>
      </c>
      <c r="L10" s="12">
        <v>1</v>
      </c>
      <c r="M10" s="23" t="s">
        <v>189</v>
      </c>
      <c r="N10" s="12" t="s">
        <v>77</v>
      </c>
      <c r="O10" s="111">
        <f>L10*93.24</f>
        <v>93.24</v>
      </c>
      <c r="P10" s="50"/>
      <c r="Q10" s="95">
        <v>44669</v>
      </c>
      <c r="R10" s="32" t="s">
        <v>356</v>
      </c>
      <c r="S10" s="75"/>
      <c r="T10" s="10" t="s">
        <v>25</v>
      </c>
      <c r="U10" s="11">
        <v>1</v>
      </c>
      <c r="V10" s="10" t="s">
        <v>163</v>
      </c>
      <c r="W10" s="12" t="s">
        <v>77</v>
      </c>
      <c r="X10" s="111">
        <f>U10*84</f>
        <v>84</v>
      </c>
      <c r="Y10" s="50"/>
      <c r="Z10" s="95">
        <v>44823</v>
      </c>
      <c r="AA10" s="32" t="s">
        <v>207</v>
      </c>
    </row>
    <row r="11" spans="1:27" x14ac:dyDescent="0.25">
      <c r="A11" s="75"/>
      <c r="B11" s="14" t="s">
        <v>25</v>
      </c>
      <c r="C11" s="12">
        <v>1</v>
      </c>
      <c r="D11" s="14" t="s">
        <v>52</v>
      </c>
      <c r="E11" s="12" t="s">
        <v>77</v>
      </c>
      <c r="F11" s="153">
        <f>C11*110</f>
        <v>110</v>
      </c>
      <c r="G11" s="96"/>
      <c r="H11" s="95">
        <v>44817</v>
      </c>
      <c r="I11" s="32" t="s">
        <v>207</v>
      </c>
      <c r="J11" s="75"/>
      <c r="K11" s="23" t="s">
        <v>181</v>
      </c>
      <c r="L11" s="12">
        <v>1</v>
      </c>
      <c r="M11" s="23" t="s">
        <v>190</v>
      </c>
      <c r="N11" s="12" t="s">
        <v>77</v>
      </c>
      <c r="O11" s="149">
        <f>L11*179.41</f>
        <v>179.41</v>
      </c>
      <c r="P11" s="50"/>
      <c r="Q11" s="95">
        <v>44669</v>
      </c>
      <c r="R11" s="32" t="s">
        <v>356</v>
      </c>
      <c r="S11" s="75"/>
      <c r="T11" s="10" t="s">
        <v>25</v>
      </c>
      <c r="U11" s="11">
        <v>1</v>
      </c>
      <c r="V11" s="10" t="s">
        <v>165</v>
      </c>
      <c r="W11" s="12" t="s">
        <v>77</v>
      </c>
      <c r="X11" s="149">
        <f>U11*142</f>
        <v>142</v>
      </c>
      <c r="Y11" s="50"/>
      <c r="Z11" s="95">
        <v>44494</v>
      </c>
      <c r="AA11" s="32" t="s">
        <v>207</v>
      </c>
    </row>
    <row r="12" spans="1:27" x14ac:dyDescent="0.25">
      <c r="A12" s="75"/>
      <c r="B12" s="14" t="s">
        <v>25</v>
      </c>
      <c r="C12" s="12">
        <v>1</v>
      </c>
      <c r="D12" s="14" t="s">
        <v>55</v>
      </c>
      <c r="E12" s="12" t="s">
        <v>77</v>
      </c>
      <c r="F12" s="110">
        <f>C12*163</f>
        <v>163</v>
      </c>
      <c r="G12" s="96"/>
      <c r="H12" s="95">
        <v>44817</v>
      </c>
      <c r="I12" s="32" t="s">
        <v>207</v>
      </c>
      <c r="J12" s="75"/>
      <c r="K12" s="23" t="s">
        <v>181</v>
      </c>
      <c r="L12" s="12">
        <v>1</v>
      </c>
      <c r="M12" s="23" t="s">
        <v>191</v>
      </c>
      <c r="N12" s="12" t="s">
        <v>77</v>
      </c>
      <c r="O12" s="111">
        <f>L12*270.47</f>
        <v>270.47000000000003</v>
      </c>
      <c r="P12" s="50"/>
      <c r="Q12" s="95">
        <v>44669</v>
      </c>
      <c r="R12" s="32" t="s">
        <v>356</v>
      </c>
      <c r="S12" s="75"/>
      <c r="T12" s="10" t="s">
        <v>25</v>
      </c>
      <c r="U12" s="11">
        <v>1</v>
      </c>
      <c r="V12" s="10" t="s">
        <v>167</v>
      </c>
      <c r="W12" s="12" t="s">
        <v>77</v>
      </c>
      <c r="X12" s="92">
        <f>U12*206</f>
        <v>206</v>
      </c>
      <c r="Y12" s="50"/>
      <c r="Z12" s="95">
        <v>44494</v>
      </c>
      <c r="AA12" s="32" t="s">
        <v>207</v>
      </c>
    </row>
    <row r="13" spans="1:27" x14ac:dyDescent="0.25">
      <c r="A13" s="75"/>
      <c r="B13" s="14" t="s">
        <v>25</v>
      </c>
      <c r="C13" s="12">
        <v>1</v>
      </c>
      <c r="D13" s="14" t="s">
        <v>58</v>
      </c>
      <c r="E13" s="12" t="s">
        <v>77</v>
      </c>
      <c r="F13" s="110">
        <f>C13*228.63</f>
        <v>228.63</v>
      </c>
      <c r="G13" s="96"/>
      <c r="H13" s="95">
        <v>44669</v>
      </c>
      <c r="I13" s="32" t="s">
        <v>356</v>
      </c>
      <c r="J13" s="75"/>
      <c r="K13" s="23" t="s">
        <v>181</v>
      </c>
      <c r="L13" s="12">
        <v>1</v>
      </c>
      <c r="M13" s="23" t="s">
        <v>192</v>
      </c>
      <c r="N13" s="12" t="s">
        <v>77</v>
      </c>
      <c r="O13" s="111">
        <f>L13*369.36</f>
        <v>369.36</v>
      </c>
      <c r="P13" s="50"/>
      <c r="Q13" s="95">
        <v>44669</v>
      </c>
      <c r="R13" s="32" t="s">
        <v>356</v>
      </c>
      <c r="S13" s="75"/>
      <c r="T13" s="10" t="s">
        <v>25</v>
      </c>
      <c r="U13" s="11">
        <v>1</v>
      </c>
      <c r="V13" s="10" t="s">
        <v>169</v>
      </c>
      <c r="W13" s="12" t="s">
        <v>77</v>
      </c>
      <c r="X13" s="92">
        <f>U13*254</f>
        <v>254</v>
      </c>
      <c r="Y13" s="50"/>
      <c r="Z13" s="95">
        <v>44494</v>
      </c>
      <c r="AA13" s="32" t="s">
        <v>207</v>
      </c>
    </row>
    <row r="14" spans="1:27" x14ac:dyDescent="0.25">
      <c r="A14" s="75"/>
      <c r="B14" s="14" t="s">
        <v>25</v>
      </c>
      <c r="C14" s="12">
        <v>1</v>
      </c>
      <c r="D14" s="14" t="s">
        <v>60</v>
      </c>
      <c r="E14" s="12" t="s">
        <v>77</v>
      </c>
      <c r="F14" s="153">
        <f>C14*368</f>
        <v>368</v>
      </c>
      <c r="G14" s="96"/>
      <c r="H14" s="95">
        <v>44726</v>
      </c>
      <c r="I14" s="32" t="s">
        <v>356</v>
      </c>
      <c r="J14" s="75"/>
      <c r="K14" s="23" t="s">
        <v>181</v>
      </c>
      <c r="L14" s="12">
        <v>1</v>
      </c>
      <c r="M14" s="23" t="s">
        <v>193</v>
      </c>
      <c r="N14" s="12" t="s">
        <v>77</v>
      </c>
      <c r="O14" s="149">
        <f>L14*430.85</f>
        <v>430.85</v>
      </c>
      <c r="P14" s="50"/>
      <c r="Q14" s="95">
        <v>44669</v>
      </c>
      <c r="R14" s="32" t="s">
        <v>356</v>
      </c>
      <c r="S14" s="75"/>
      <c r="T14" s="10" t="s">
        <v>25</v>
      </c>
      <c r="U14" s="11">
        <v>1</v>
      </c>
      <c r="V14" s="10" t="s">
        <v>171</v>
      </c>
      <c r="W14" s="12" t="s">
        <v>77</v>
      </c>
      <c r="X14" s="149">
        <f>U14*379</f>
        <v>379</v>
      </c>
      <c r="Y14" s="50"/>
      <c r="Z14" s="95">
        <v>44494</v>
      </c>
      <c r="AA14" s="32" t="s">
        <v>207</v>
      </c>
    </row>
    <row r="15" spans="1:27" x14ac:dyDescent="0.25">
      <c r="A15" s="75"/>
      <c r="B15" s="14" t="s">
        <v>25</v>
      </c>
      <c r="C15" s="12">
        <v>1</v>
      </c>
      <c r="D15" s="14" t="s">
        <v>63</v>
      </c>
      <c r="E15" s="12" t="s">
        <v>77</v>
      </c>
      <c r="F15" s="110">
        <f>C15*256</f>
        <v>256</v>
      </c>
      <c r="G15" s="96"/>
      <c r="H15" s="95">
        <v>44815</v>
      </c>
      <c r="I15" s="32" t="s">
        <v>207</v>
      </c>
      <c r="J15" s="75"/>
      <c r="K15" s="23" t="s">
        <v>181</v>
      </c>
      <c r="L15" s="12">
        <v>1</v>
      </c>
      <c r="M15" s="23" t="s">
        <v>194</v>
      </c>
      <c r="N15" s="12" t="s">
        <v>77</v>
      </c>
      <c r="O15" s="111">
        <f>L15*471</f>
        <v>471</v>
      </c>
      <c r="P15" s="50"/>
      <c r="Q15" s="95">
        <v>44815</v>
      </c>
      <c r="R15" s="32" t="s">
        <v>207</v>
      </c>
      <c r="S15" s="75"/>
      <c r="T15" s="10" t="s">
        <v>25</v>
      </c>
      <c r="U15" s="11">
        <v>1</v>
      </c>
      <c r="V15" s="10" t="s">
        <v>173</v>
      </c>
      <c r="W15" s="12" t="s">
        <v>77</v>
      </c>
      <c r="X15" s="92">
        <f>U15*507</f>
        <v>507</v>
      </c>
      <c r="Y15" s="50"/>
      <c r="Z15" s="95">
        <v>44494</v>
      </c>
      <c r="AA15" s="32" t="s">
        <v>207</v>
      </c>
    </row>
    <row r="16" spans="1:27" x14ac:dyDescent="0.25">
      <c r="A16" s="75"/>
      <c r="B16" s="14" t="s">
        <v>25</v>
      </c>
      <c r="C16" s="12">
        <v>1</v>
      </c>
      <c r="D16" s="14" t="s">
        <v>66</v>
      </c>
      <c r="E16" s="12" t="s">
        <v>77</v>
      </c>
      <c r="F16" s="110">
        <f>C16*359</f>
        <v>359</v>
      </c>
      <c r="G16" s="96"/>
      <c r="H16" s="95">
        <v>44817</v>
      </c>
      <c r="I16" s="32" t="s">
        <v>207</v>
      </c>
      <c r="J16" s="75"/>
      <c r="K16" s="23" t="s">
        <v>181</v>
      </c>
      <c r="L16" s="12">
        <v>1</v>
      </c>
      <c r="M16" s="23" t="s">
        <v>195</v>
      </c>
      <c r="N16" s="12" t="s">
        <v>77</v>
      </c>
      <c r="O16" s="111">
        <f>L16*610</f>
        <v>610</v>
      </c>
      <c r="P16" s="50"/>
      <c r="Q16" s="95">
        <v>44817</v>
      </c>
      <c r="R16" s="32" t="s">
        <v>207</v>
      </c>
      <c r="S16" s="75"/>
      <c r="T16" s="10" t="s">
        <v>25</v>
      </c>
      <c r="U16" s="11">
        <v>1</v>
      </c>
      <c r="V16" s="10" t="s">
        <v>175</v>
      </c>
      <c r="W16" s="12" t="s">
        <v>77</v>
      </c>
      <c r="X16" s="92">
        <f>U16*445</f>
        <v>445</v>
      </c>
      <c r="Y16" s="50"/>
      <c r="Z16" s="95">
        <v>44823</v>
      </c>
      <c r="AA16" s="32" t="s">
        <v>207</v>
      </c>
    </row>
    <row r="17" spans="1:27" x14ac:dyDescent="0.25">
      <c r="A17" s="75"/>
      <c r="B17" s="14" t="s">
        <v>25</v>
      </c>
      <c r="C17" s="12">
        <v>1</v>
      </c>
      <c r="D17" s="14" t="s">
        <v>69</v>
      </c>
      <c r="E17" s="12" t="s">
        <v>77</v>
      </c>
      <c r="F17" s="110">
        <f>C17*700</f>
        <v>700</v>
      </c>
      <c r="G17" s="96"/>
      <c r="H17" s="95">
        <v>44791</v>
      </c>
      <c r="I17" s="32" t="s">
        <v>554</v>
      </c>
      <c r="J17" s="75"/>
      <c r="K17" s="23" t="s">
        <v>181</v>
      </c>
      <c r="L17" s="12">
        <v>1</v>
      </c>
      <c r="M17" s="23" t="s">
        <v>196</v>
      </c>
      <c r="N17" s="12" t="s">
        <v>77</v>
      </c>
      <c r="O17" s="111">
        <f>L17*793</f>
        <v>793</v>
      </c>
      <c r="P17" s="50"/>
      <c r="Q17" s="95">
        <v>44823</v>
      </c>
      <c r="R17" s="32" t="s">
        <v>207</v>
      </c>
      <c r="S17" s="75"/>
      <c r="T17" s="10" t="s">
        <v>25</v>
      </c>
      <c r="U17" s="11">
        <v>1</v>
      </c>
      <c r="V17" s="10" t="s">
        <v>177</v>
      </c>
      <c r="W17" s="12" t="s">
        <v>77</v>
      </c>
      <c r="X17" s="92">
        <f>U17*596</f>
        <v>596</v>
      </c>
      <c r="Y17" s="50"/>
      <c r="Z17" s="95">
        <v>44823</v>
      </c>
      <c r="AA17" s="32" t="s">
        <v>207</v>
      </c>
    </row>
    <row r="18" spans="1:27" x14ac:dyDescent="0.25">
      <c r="A18" s="75"/>
      <c r="B18" s="14" t="s">
        <v>25</v>
      </c>
      <c r="C18" s="12">
        <v>1</v>
      </c>
      <c r="D18" s="14" t="s">
        <v>71</v>
      </c>
      <c r="E18" s="12" t="s">
        <v>77</v>
      </c>
      <c r="F18" s="96"/>
      <c r="G18" s="13"/>
      <c r="H18" s="95"/>
      <c r="I18" s="32"/>
      <c r="J18" s="75"/>
      <c r="K18" s="14" t="s">
        <v>181</v>
      </c>
      <c r="L18" s="12">
        <v>1</v>
      </c>
      <c r="M18" s="14" t="s">
        <v>197</v>
      </c>
      <c r="N18" s="12" t="s">
        <v>77</v>
      </c>
      <c r="O18" s="92">
        <f>L18*1929</f>
        <v>1929</v>
      </c>
      <c r="P18" s="26"/>
      <c r="Q18" s="95">
        <v>44823</v>
      </c>
      <c r="R18" s="32" t="s">
        <v>207</v>
      </c>
      <c r="S18" s="75"/>
      <c r="T18" s="10" t="s">
        <v>25</v>
      </c>
      <c r="U18" s="11">
        <v>1</v>
      </c>
      <c r="V18" s="10" t="s">
        <v>179</v>
      </c>
      <c r="W18" s="12" t="s">
        <v>77</v>
      </c>
      <c r="X18" s="92">
        <f>U18*643</f>
        <v>643</v>
      </c>
      <c r="Y18" s="26"/>
      <c r="Z18" s="95">
        <v>44823</v>
      </c>
      <c r="AA18" s="32" t="s">
        <v>207</v>
      </c>
    </row>
    <row r="19" spans="1:27" ht="19.899999999999999" customHeight="1" x14ac:dyDescent="0.35">
      <c r="A19" s="75"/>
      <c r="B19" s="578" t="s">
        <v>278</v>
      </c>
      <c r="C19" s="578"/>
      <c r="D19" s="578"/>
      <c r="E19" s="578"/>
      <c r="F19" s="578"/>
      <c r="G19" s="578"/>
      <c r="H19" s="578"/>
      <c r="I19" s="578"/>
      <c r="J19" s="75"/>
      <c r="K19" s="578" t="s">
        <v>247</v>
      </c>
      <c r="L19" s="578"/>
      <c r="M19" s="578"/>
      <c r="N19" s="578"/>
      <c r="O19" s="578"/>
      <c r="P19" s="578"/>
      <c r="Q19" s="578"/>
      <c r="R19" s="578"/>
      <c r="S19" s="75"/>
      <c r="T19" s="579" t="s">
        <v>279</v>
      </c>
      <c r="U19" s="580"/>
      <c r="V19" s="580"/>
      <c r="W19" s="580"/>
      <c r="X19" s="580"/>
      <c r="Y19" s="580"/>
      <c r="Z19" s="580"/>
      <c r="AA19" s="581"/>
    </row>
    <row r="20" spans="1:27" x14ac:dyDescent="0.25">
      <c r="A20" s="75"/>
      <c r="B20" s="10" t="s">
        <v>31</v>
      </c>
      <c r="C20" s="11">
        <v>1</v>
      </c>
      <c r="D20" s="10" t="s">
        <v>37</v>
      </c>
      <c r="E20" s="12" t="s">
        <v>79</v>
      </c>
      <c r="F20" s="145">
        <f>C20*6</f>
        <v>6</v>
      </c>
      <c r="G20" s="50"/>
      <c r="H20" s="95">
        <v>44494</v>
      </c>
      <c r="I20" s="32" t="s">
        <v>207</v>
      </c>
      <c r="J20" s="75"/>
      <c r="K20" s="10" t="s">
        <v>28</v>
      </c>
      <c r="L20" s="11">
        <v>1</v>
      </c>
      <c r="M20" s="10" t="s">
        <v>36</v>
      </c>
      <c r="N20" s="12" t="s">
        <v>78</v>
      </c>
      <c r="O20" s="149">
        <f>L20*31</f>
        <v>31</v>
      </c>
      <c r="P20" s="53"/>
      <c r="Q20" s="95">
        <v>44766</v>
      </c>
      <c r="R20" s="32" t="s">
        <v>207</v>
      </c>
      <c r="S20" s="75"/>
      <c r="T20" s="10" t="s">
        <v>28</v>
      </c>
      <c r="U20" s="11">
        <v>1</v>
      </c>
      <c r="V20" s="10" t="s">
        <v>141</v>
      </c>
      <c r="W20" s="12" t="s">
        <v>78</v>
      </c>
      <c r="X20" s="149">
        <f>U20*21</f>
        <v>21</v>
      </c>
      <c r="Y20" s="53"/>
      <c r="Z20" s="95">
        <v>44494</v>
      </c>
      <c r="AA20" s="32" t="s">
        <v>207</v>
      </c>
    </row>
    <row r="21" spans="1:27" x14ac:dyDescent="0.25">
      <c r="A21" s="75"/>
      <c r="B21" s="10" t="s">
        <v>31</v>
      </c>
      <c r="C21" s="11">
        <v>1</v>
      </c>
      <c r="D21" s="10" t="s">
        <v>135</v>
      </c>
      <c r="E21" s="12" t="s">
        <v>79</v>
      </c>
      <c r="F21" s="145">
        <f>C21*6</f>
        <v>6</v>
      </c>
      <c r="G21" s="50"/>
      <c r="H21" s="95">
        <v>44494</v>
      </c>
      <c r="I21" s="32" t="s">
        <v>207</v>
      </c>
      <c r="J21" s="75"/>
      <c r="K21" s="10" t="s">
        <v>28</v>
      </c>
      <c r="L21" s="11">
        <v>1</v>
      </c>
      <c r="M21" s="10" t="s">
        <v>34</v>
      </c>
      <c r="N21" s="12" t="s">
        <v>78</v>
      </c>
      <c r="O21" s="149">
        <f>L21*39</f>
        <v>39</v>
      </c>
      <c r="P21" s="53"/>
      <c r="Q21" s="95">
        <v>44766</v>
      </c>
      <c r="R21" s="32" t="s">
        <v>207</v>
      </c>
      <c r="S21" s="75"/>
      <c r="T21" s="10" t="s">
        <v>28</v>
      </c>
      <c r="U21" s="11">
        <v>1</v>
      </c>
      <c r="V21" s="10" t="s">
        <v>143</v>
      </c>
      <c r="W21" s="12" t="s">
        <v>78</v>
      </c>
      <c r="X21" s="149">
        <f>U21*24</f>
        <v>24</v>
      </c>
      <c r="Y21" s="53"/>
      <c r="Z21" s="95">
        <v>44494</v>
      </c>
      <c r="AA21" s="32" t="s">
        <v>207</v>
      </c>
    </row>
    <row r="22" spans="1:27" x14ac:dyDescent="0.25">
      <c r="A22" s="75"/>
      <c r="B22" s="10" t="s">
        <v>31</v>
      </c>
      <c r="C22" s="11">
        <v>1</v>
      </c>
      <c r="D22" s="10" t="s">
        <v>38</v>
      </c>
      <c r="E22" s="12" t="s">
        <v>79</v>
      </c>
      <c r="F22" s="149">
        <v>7</v>
      </c>
      <c r="G22" s="53"/>
      <c r="H22" s="95">
        <v>44823</v>
      </c>
      <c r="I22" s="32" t="s">
        <v>207</v>
      </c>
      <c r="J22" s="75"/>
      <c r="K22" s="10" t="s">
        <v>28</v>
      </c>
      <c r="L22" s="11">
        <v>1</v>
      </c>
      <c r="M22" s="10" t="s">
        <v>35</v>
      </c>
      <c r="N22" s="12" t="s">
        <v>78</v>
      </c>
      <c r="O22" s="149">
        <f>L22*55</f>
        <v>55</v>
      </c>
      <c r="P22" s="53"/>
      <c r="Q22" s="95">
        <v>44823</v>
      </c>
      <c r="R22" s="32" t="s">
        <v>207</v>
      </c>
      <c r="S22" s="75"/>
      <c r="T22" s="10" t="s">
        <v>28</v>
      </c>
      <c r="U22" s="11">
        <v>1</v>
      </c>
      <c r="V22" s="10" t="s">
        <v>145</v>
      </c>
      <c r="W22" s="12" t="s">
        <v>78</v>
      </c>
      <c r="X22" s="149">
        <f>U22*29</f>
        <v>29</v>
      </c>
      <c r="Y22" s="53"/>
      <c r="Z22" s="95">
        <v>44494</v>
      </c>
      <c r="AA22" s="32" t="s">
        <v>207</v>
      </c>
    </row>
    <row r="23" spans="1:27" x14ac:dyDescent="0.25">
      <c r="A23" s="75"/>
      <c r="B23" s="10" t="s">
        <v>31</v>
      </c>
      <c r="C23" s="11">
        <v>1</v>
      </c>
      <c r="D23" s="10" t="s">
        <v>41</v>
      </c>
      <c r="E23" s="12" t="s">
        <v>79</v>
      </c>
      <c r="F23" s="149">
        <f>C23*11</f>
        <v>11</v>
      </c>
      <c r="G23" s="53"/>
      <c r="H23" s="95">
        <v>44494</v>
      </c>
      <c r="I23" s="32" t="s">
        <v>207</v>
      </c>
      <c r="J23" s="75"/>
      <c r="K23" s="10" t="s">
        <v>28</v>
      </c>
      <c r="L23" s="11">
        <v>1</v>
      </c>
      <c r="M23" s="10" t="s">
        <v>40</v>
      </c>
      <c r="N23" s="12" t="s">
        <v>78</v>
      </c>
      <c r="O23" s="149">
        <f>L23*61</f>
        <v>61</v>
      </c>
      <c r="P23" s="53"/>
      <c r="Q23" s="95">
        <v>44823</v>
      </c>
      <c r="R23" s="32" t="s">
        <v>207</v>
      </c>
      <c r="S23" s="75"/>
      <c r="T23" s="10" t="s">
        <v>28</v>
      </c>
      <c r="U23" s="11">
        <v>1</v>
      </c>
      <c r="V23" s="10" t="s">
        <v>147</v>
      </c>
      <c r="W23" s="12" t="s">
        <v>78</v>
      </c>
      <c r="X23" s="149">
        <f>U23*34</f>
        <v>34</v>
      </c>
      <c r="Y23" s="53"/>
      <c r="Z23" s="95">
        <v>44494</v>
      </c>
      <c r="AA23" s="32" t="s">
        <v>207</v>
      </c>
    </row>
    <row r="24" spans="1:27" x14ac:dyDescent="0.25">
      <c r="A24" s="75"/>
      <c r="B24" s="10" t="s">
        <v>31</v>
      </c>
      <c r="C24" s="11">
        <v>1</v>
      </c>
      <c r="D24" s="10" t="s">
        <v>136</v>
      </c>
      <c r="E24" s="12" t="s">
        <v>79</v>
      </c>
      <c r="F24" s="149">
        <f>C24*33</f>
        <v>33</v>
      </c>
      <c r="G24" s="53"/>
      <c r="H24" s="95">
        <v>44494</v>
      </c>
      <c r="I24" s="32" t="s">
        <v>207</v>
      </c>
      <c r="J24" s="75"/>
      <c r="K24" s="10" t="s">
        <v>28</v>
      </c>
      <c r="L24" s="11">
        <v>1</v>
      </c>
      <c r="M24" s="10" t="s">
        <v>43</v>
      </c>
      <c r="N24" s="12" t="s">
        <v>78</v>
      </c>
      <c r="O24" s="149">
        <f>L24*67</f>
        <v>67</v>
      </c>
      <c r="P24" s="53"/>
      <c r="Q24" s="95">
        <v>44823</v>
      </c>
      <c r="R24" s="32" t="s">
        <v>207</v>
      </c>
      <c r="S24" s="75"/>
      <c r="T24" s="10" t="s">
        <v>28</v>
      </c>
      <c r="U24" s="11">
        <v>1</v>
      </c>
      <c r="V24" s="10" t="s">
        <v>149</v>
      </c>
      <c r="W24" s="12" t="s">
        <v>78</v>
      </c>
      <c r="X24" s="149">
        <f>U24*45</f>
        <v>45</v>
      </c>
      <c r="Y24" s="53"/>
      <c r="Z24" s="95">
        <v>44494</v>
      </c>
      <c r="AA24" s="32" t="s">
        <v>207</v>
      </c>
    </row>
    <row r="25" spans="1:27" x14ac:dyDescent="0.25">
      <c r="A25" s="75"/>
      <c r="B25" s="10" t="s">
        <v>31</v>
      </c>
      <c r="C25" s="11">
        <v>1</v>
      </c>
      <c r="D25" s="10" t="s">
        <v>46</v>
      </c>
      <c r="E25" s="12" t="s">
        <v>79</v>
      </c>
      <c r="F25" s="149">
        <f>C25*73</f>
        <v>73</v>
      </c>
      <c r="G25" s="50"/>
      <c r="H25" s="95">
        <v>44494</v>
      </c>
      <c r="I25" s="32" t="s">
        <v>207</v>
      </c>
      <c r="J25" s="75"/>
      <c r="K25" s="10" t="s">
        <v>28</v>
      </c>
      <c r="L25" s="11">
        <v>1</v>
      </c>
      <c r="M25" s="10" t="s">
        <v>45</v>
      </c>
      <c r="N25" s="12" t="s">
        <v>78</v>
      </c>
      <c r="O25" s="111">
        <f>L25*40</f>
        <v>40</v>
      </c>
      <c r="P25" s="50"/>
      <c r="Q25" s="95">
        <v>44494</v>
      </c>
      <c r="R25" s="32" t="s">
        <v>207</v>
      </c>
      <c r="S25" s="75"/>
      <c r="T25" s="10" t="s">
        <v>28</v>
      </c>
      <c r="U25" s="11">
        <v>1</v>
      </c>
      <c r="V25" s="10" t="s">
        <v>160</v>
      </c>
      <c r="W25" s="12" t="s">
        <v>78</v>
      </c>
      <c r="X25" s="111">
        <f>U25*63</f>
        <v>63</v>
      </c>
      <c r="Y25" s="50"/>
      <c r="Z25" s="95">
        <v>44494</v>
      </c>
      <c r="AA25" s="32" t="s">
        <v>207</v>
      </c>
    </row>
    <row r="26" spans="1:27" x14ac:dyDescent="0.25">
      <c r="A26" s="75"/>
      <c r="B26" s="10" t="s">
        <v>31</v>
      </c>
      <c r="C26" s="11">
        <v>1</v>
      </c>
      <c r="D26" s="10" t="s">
        <v>49</v>
      </c>
      <c r="E26" s="12" t="s">
        <v>79</v>
      </c>
      <c r="F26" s="92">
        <f>C26*72</f>
        <v>72</v>
      </c>
      <c r="G26" s="50"/>
      <c r="H26" s="95">
        <v>44494</v>
      </c>
      <c r="I26" s="32" t="s">
        <v>207</v>
      </c>
      <c r="J26" s="75"/>
      <c r="K26" s="10" t="s">
        <v>28</v>
      </c>
      <c r="L26" s="11">
        <v>1</v>
      </c>
      <c r="M26" s="10" t="s">
        <v>48</v>
      </c>
      <c r="N26" s="12" t="s">
        <v>78</v>
      </c>
      <c r="O26" s="145">
        <f>L26*79</f>
        <v>79</v>
      </c>
      <c r="P26" s="50"/>
      <c r="Q26" s="95">
        <v>44823</v>
      </c>
      <c r="R26" s="32" t="s">
        <v>207</v>
      </c>
      <c r="S26" s="75"/>
      <c r="T26" s="10" t="s">
        <v>28</v>
      </c>
      <c r="U26" s="11">
        <v>1</v>
      </c>
      <c r="V26" s="10" t="s">
        <v>162</v>
      </c>
      <c r="W26" s="12" t="s">
        <v>78</v>
      </c>
      <c r="X26" s="145">
        <v>100</v>
      </c>
      <c r="Y26" s="93"/>
      <c r="Z26" s="95">
        <v>44740</v>
      </c>
      <c r="AA26" s="161" t="s">
        <v>351</v>
      </c>
    </row>
    <row r="27" spans="1:27" x14ac:dyDescent="0.25">
      <c r="A27" s="75"/>
      <c r="B27" s="10" t="s">
        <v>31</v>
      </c>
      <c r="C27" s="11">
        <v>1</v>
      </c>
      <c r="D27" s="10" t="s">
        <v>137</v>
      </c>
      <c r="E27" s="12" t="s">
        <v>79</v>
      </c>
      <c r="F27" s="149">
        <f>C27*136</f>
        <v>136</v>
      </c>
      <c r="G27" s="50"/>
      <c r="H27" s="95">
        <v>44494</v>
      </c>
      <c r="I27" s="32" t="s">
        <v>207</v>
      </c>
      <c r="J27" s="75"/>
      <c r="K27" s="10" t="s">
        <v>28</v>
      </c>
      <c r="L27" s="11">
        <v>1</v>
      </c>
      <c r="M27" s="10" t="s">
        <v>51</v>
      </c>
      <c r="N27" s="12" t="s">
        <v>78</v>
      </c>
      <c r="O27" s="145">
        <f>L27*94</f>
        <v>94</v>
      </c>
      <c r="P27" s="50"/>
      <c r="Q27" s="95">
        <v>44823</v>
      </c>
      <c r="R27" s="32" t="s">
        <v>207</v>
      </c>
      <c r="S27" s="75"/>
      <c r="T27" s="10" t="s">
        <v>28</v>
      </c>
      <c r="U27" s="11">
        <v>1</v>
      </c>
      <c r="V27" s="10" t="s">
        <v>164</v>
      </c>
      <c r="W27" s="12" t="s">
        <v>78</v>
      </c>
      <c r="X27" s="145">
        <f>U27*90</f>
        <v>90</v>
      </c>
      <c r="Y27" s="50"/>
      <c r="Z27" s="95">
        <v>44494</v>
      </c>
      <c r="AA27" s="32" t="s">
        <v>207</v>
      </c>
    </row>
    <row r="28" spans="1:27" x14ac:dyDescent="0.25">
      <c r="A28" s="75"/>
      <c r="B28" s="10" t="s">
        <v>31</v>
      </c>
      <c r="C28" s="11">
        <v>1</v>
      </c>
      <c r="D28" s="10" t="s">
        <v>54</v>
      </c>
      <c r="E28" s="12" t="s">
        <v>79</v>
      </c>
      <c r="F28" s="92">
        <f>C28*270</f>
        <v>270</v>
      </c>
      <c r="G28" s="50"/>
      <c r="H28" s="95">
        <v>44494</v>
      </c>
      <c r="I28" s="32" t="s">
        <v>207</v>
      </c>
      <c r="J28" s="75"/>
      <c r="K28" s="10" t="s">
        <v>28</v>
      </c>
      <c r="L28" s="11">
        <v>1</v>
      </c>
      <c r="M28" s="10" t="s">
        <v>53</v>
      </c>
      <c r="N28" s="12" t="s">
        <v>78</v>
      </c>
      <c r="O28" s="149">
        <f>L28*107</f>
        <v>107</v>
      </c>
      <c r="P28" s="50"/>
      <c r="Q28" s="95">
        <v>44817</v>
      </c>
      <c r="R28" s="32" t="s">
        <v>207</v>
      </c>
      <c r="S28" s="75"/>
      <c r="T28" s="10" t="s">
        <v>28</v>
      </c>
      <c r="U28" s="11">
        <v>1</v>
      </c>
      <c r="V28" s="10" t="s">
        <v>166</v>
      </c>
      <c r="W28" s="12" t="s">
        <v>78</v>
      </c>
      <c r="X28" s="149">
        <f>U28*108</f>
        <v>108</v>
      </c>
      <c r="Y28" s="50"/>
      <c r="Z28" s="95">
        <v>44494</v>
      </c>
      <c r="AA28" s="32" t="s">
        <v>207</v>
      </c>
    </row>
    <row r="29" spans="1:27" x14ac:dyDescent="0.25">
      <c r="A29" s="75"/>
      <c r="B29" s="10" t="s">
        <v>31</v>
      </c>
      <c r="C29" s="11">
        <v>1</v>
      </c>
      <c r="D29" s="10" t="s">
        <v>57</v>
      </c>
      <c r="E29" s="12" t="s">
        <v>79</v>
      </c>
      <c r="F29" s="92">
        <f>C29*400</f>
        <v>400</v>
      </c>
      <c r="G29" s="50"/>
      <c r="H29" s="95">
        <v>44494</v>
      </c>
      <c r="I29" s="32" t="s">
        <v>207</v>
      </c>
      <c r="J29" s="75"/>
      <c r="K29" s="10" t="s">
        <v>28</v>
      </c>
      <c r="L29" s="11">
        <v>1</v>
      </c>
      <c r="M29" s="10" t="s">
        <v>56</v>
      </c>
      <c r="N29" s="12" t="s">
        <v>78</v>
      </c>
      <c r="O29" s="92">
        <f>L29*132</f>
        <v>132</v>
      </c>
      <c r="P29" s="50"/>
      <c r="Q29" s="95">
        <v>44817</v>
      </c>
      <c r="R29" s="32" t="s">
        <v>207</v>
      </c>
      <c r="S29" s="75"/>
      <c r="T29" s="10" t="s">
        <v>28</v>
      </c>
      <c r="U29" s="11">
        <v>1</v>
      </c>
      <c r="V29" s="10" t="s">
        <v>168</v>
      </c>
      <c r="W29" s="12" t="s">
        <v>78</v>
      </c>
      <c r="X29" s="92">
        <f>U29*193</f>
        <v>193</v>
      </c>
      <c r="Y29" s="50"/>
      <c r="Z29" s="95">
        <v>44494</v>
      </c>
      <c r="AA29" s="32" t="s">
        <v>207</v>
      </c>
    </row>
    <row r="30" spans="1:27" x14ac:dyDescent="0.25">
      <c r="A30" s="75"/>
      <c r="B30" s="10" t="s">
        <v>31</v>
      </c>
      <c r="C30" s="11">
        <v>1</v>
      </c>
      <c r="D30" s="10" t="s">
        <v>138</v>
      </c>
      <c r="E30" s="12" t="s">
        <v>79</v>
      </c>
      <c r="F30" s="568" t="s">
        <v>282</v>
      </c>
      <c r="G30" s="569"/>
      <c r="H30" s="569"/>
      <c r="I30" s="570"/>
      <c r="J30" s="75"/>
      <c r="K30" s="10" t="s">
        <v>399</v>
      </c>
      <c r="L30" s="11">
        <v>1</v>
      </c>
      <c r="M30" s="10" t="s">
        <v>405</v>
      </c>
      <c r="N30" s="12" t="s">
        <v>277</v>
      </c>
      <c r="O30" s="568" t="s">
        <v>283</v>
      </c>
      <c r="P30" s="569"/>
      <c r="Q30" s="569"/>
      <c r="R30" s="570"/>
      <c r="S30" s="75"/>
      <c r="T30" s="10" t="s">
        <v>399</v>
      </c>
      <c r="U30" s="11">
        <v>1</v>
      </c>
      <c r="V30" s="10" t="s">
        <v>408</v>
      </c>
      <c r="W30" s="12" t="s">
        <v>277</v>
      </c>
      <c r="X30" s="568" t="s">
        <v>283</v>
      </c>
      <c r="Y30" s="569"/>
      <c r="Z30" s="569"/>
      <c r="AA30" s="570"/>
    </row>
    <row r="31" spans="1:27" x14ac:dyDescent="0.25">
      <c r="A31" s="75"/>
      <c r="B31" s="10" t="s">
        <v>31</v>
      </c>
      <c r="C31" s="11">
        <v>1</v>
      </c>
      <c r="D31" s="10" t="s">
        <v>62</v>
      </c>
      <c r="E31" s="12" t="s">
        <v>79</v>
      </c>
      <c r="F31" s="571"/>
      <c r="G31" s="572"/>
      <c r="H31" s="572"/>
      <c r="I31" s="573"/>
      <c r="J31" s="75"/>
      <c r="K31" s="10" t="s">
        <v>400</v>
      </c>
      <c r="L31" s="11">
        <v>1</v>
      </c>
      <c r="M31" s="10" t="s">
        <v>406</v>
      </c>
      <c r="N31" s="12" t="s">
        <v>277</v>
      </c>
      <c r="O31" s="571"/>
      <c r="P31" s="572"/>
      <c r="Q31" s="572"/>
      <c r="R31" s="573"/>
      <c r="S31" s="75"/>
      <c r="T31" s="10" t="s">
        <v>400</v>
      </c>
      <c r="U31" s="11">
        <v>1</v>
      </c>
      <c r="V31" s="10" t="s">
        <v>409</v>
      </c>
      <c r="W31" s="12" t="s">
        <v>277</v>
      </c>
      <c r="X31" s="571"/>
      <c r="Y31" s="572"/>
      <c r="Z31" s="572"/>
      <c r="AA31" s="573"/>
    </row>
    <row r="32" spans="1:27" x14ac:dyDescent="0.25">
      <c r="A32" s="75"/>
      <c r="B32" s="10" t="s">
        <v>31</v>
      </c>
      <c r="C32" s="11">
        <v>1</v>
      </c>
      <c r="D32" s="10" t="s">
        <v>65</v>
      </c>
      <c r="E32" s="12" t="s">
        <v>79</v>
      </c>
      <c r="F32" s="571"/>
      <c r="G32" s="572"/>
      <c r="H32" s="572"/>
      <c r="I32" s="573"/>
      <c r="J32" s="75"/>
      <c r="K32" s="10" t="s">
        <v>401</v>
      </c>
      <c r="L32" s="11">
        <v>1</v>
      </c>
      <c r="M32" s="10" t="s">
        <v>407</v>
      </c>
      <c r="N32" s="12" t="s">
        <v>277</v>
      </c>
      <c r="O32" s="571"/>
      <c r="P32" s="572"/>
      <c r="Q32" s="572"/>
      <c r="R32" s="573"/>
      <c r="S32" s="75"/>
      <c r="T32" s="10" t="s">
        <v>401</v>
      </c>
      <c r="U32" s="11">
        <v>1</v>
      </c>
      <c r="V32" s="10" t="s">
        <v>410</v>
      </c>
      <c r="W32" s="12" t="s">
        <v>277</v>
      </c>
      <c r="X32" s="571"/>
      <c r="Y32" s="572"/>
      <c r="Z32" s="572"/>
      <c r="AA32" s="573"/>
    </row>
    <row r="33" spans="1:27" x14ac:dyDescent="0.25">
      <c r="A33" s="75"/>
      <c r="B33" s="10" t="s">
        <v>31</v>
      </c>
      <c r="C33" s="11">
        <v>1</v>
      </c>
      <c r="D33" s="10" t="s">
        <v>68</v>
      </c>
      <c r="E33" s="12" t="s">
        <v>79</v>
      </c>
      <c r="F33" s="571"/>
      <c r="G33" s="572"/>
      <c r="H33" s="572"/>
      <c r="I33" s="573"/>
      <c r="J33" s="75"/>
      <c r="K33" s="10" t="s">
        <v>402</v>
      </c>
      <c r="L33" s="11">
        <v>1</v>
      </c>
      <c r="M33" s="10" t="s">
        <v>121</v>
      </c>
      <c r="N33" s="12" t="s">
        <v>277</v>
      </c>
      <c r="O33" s="571"/>
      <c r="P33" s="572"/>
      <c r="Q33" s="572"/>
      <c r="R33" s="573"/>
      <c r="S33" s="75"/>
      <c r="T33" s="10" t="s">
        <v>402</v>
      </c>
      <c r="U33" s="11">
        <v>1</v>
      </c>
      <c r="V33" s="10" t="s">
        <v>411</v>
      </c>
      <c r="W33" s="12" t="s">
        <v>277</v>
      </c>
      <c r="X33" s="571"/>
      <c r="Y33" s="572"/>
      <c r="Z33" s="572"/>
      <c r="AA33" s="573"/>
    </row>
    <row r="34" spans="1:27" x14ac:dyDescent="0.25">
      <c r="A34" s="75"/>
      <c r="B34" s="10" t="s">
        <v>31</v>
      </c>
      <c r="C34" s="11">
        <v>1</v>
      </c>
      <c r="D34" s="10" t="s">
        <v>139</v>
      </c>
      <c r="E34" s="12" t="s">
        <v>79</v>
      </c>
      <c r="F34" s="571"/>
      <c r="G34" s="572"/>
      <c r="H34" s="572"/>
      <c r="I34" s="573"/>
      <c r="J34" s="75"/>
      <c r="K34" s="10" t="s">
        <v>403</v>
      </c>
      <c r="L34" s="11">
        <v>1</v>
      </c>
      <c r="M34" s="10" t="s">
        <v>100</v>
      </c>
      <c r="N34" s="12" t="s">
        <v>277</v>
      </c>
      <c r="O34" s="571"/>
      <c r="P34" s="572"/>
      <c r="Q34" s="572"/>
      <c r="R34" s="573"/>
      <c r="S34" s="75"/>
      <c r="T34" s="10" t="s">
        <v>403</v>
      </c>
      <c r="U34" s="11">
        <v>1</v>
      </c>
      <c r="V34" s="10" t="s">
        <v>412</v>
      </c>
      <c r="W34" s="12" t="s">
        <v>277</v>
      </c>
      <c r="X34" s="571"/>
      <c r="Y34" s="572"/>
      <c r="Z34" s="572"/>
      <c r="AA34" s="573"/>
    </row>
    <row r="35" spans="1:27" x14ac:dyDescent="0.25">
      <c r="A35" s="75"/>
      <c r="B35" s="10" t="s">
        <v>31</v>
      </c>
      <c r="C35" s="11">
        <v>1</v>
      </c>
      <c r="D35" s="10" t="s">
        <v>73</v>
      </c>
      <c r="E35" s="12" t="s">
        <v>79</v>
      </c>
      <c r="F35" s="574"/>
      <c r="G35" s="575"/>
      <c r="H35" s="575"/>
      <c r="I35" s="576"/>
      <c r="J35" s="75"/>
      <c r="K35" s="10" t="s">
        <v>404</v>
      </c>
      <c r="L35" s="11">
        <v>1</v>
      </c>
      <c r="M35" s="10" t="s">
        <v>122</v>
      </c>
      <c r="N35" s="12" t="s">
        <v>277</v>
      </c>
      <c r="O35" s="574"/>
      <c r="P35" s="575"/>
      <c r="Q35" s="575"/>
      <c r="R35" s="576"/>
      <c r="S35" s="75"/>
      <c r="T35" s="10" t="s">
        <v>404</v>
      </c>
      <c r="U35" s="11">
        <v>1</v>
      </c>
      <c r="V35" s="10" t="s">
        <v>413</v>
      </c>
      <c r="W35" s="12" t="s">
        <v>277</v>
      </c>
      <c r="X35" s="574"/>
      <c r="Y35" s="575"/>
      <c r="Z35" s="575"/>
      <c r="AA35" s="576"/>
    </row>
    <row r="36" spans="1:27" ht="19.899999999999999" customHeight="1" x14ac:dyDescent="0.35">
      <c r="A36" s="75"/>
      <c r="B36" s="579" t="s">
        <v>248</v>
      </c>
      <c r="C36" s="580"/>
      <c r="D36" s="580"/>
      <c r="E36" s="580"/>
      <c r="F36" s="580"/>
      <c r="G36" s="580"/>
      <c r="H36" s="580"/>
      <c r="I36" s="581"/>
      <c r="J36" s="75"/>
      <c r="K36" s="579" t="s">
        <v>280</v>
      </c>
      <c r="L36" s="580"/>
      <c r="M36" s="580"/>
      <c r="N36" s="580"/>
      <c r="O36" s="580"/>
      <c r="P36" s="580"/>
      <c r="Q36" s="580"/>
      <c r="R36" s="581"/>
      <c r="S36" s="75"/>
      <c r="T36" s="579" t="s">
        <v>353</v>
      </c>
      <c r="U36" s="580"/>
      <c r="V36" s="580"/>
      <c r="W36" s="580"/>
      <c r="X36" s="580"/>
      <c r="Y36" s="580"/>
      <c r="Z36" s="580"/>
      <c r="AA36" s="581"/>
    </row>
    <row r="37" spans="1:27" x14ac:dyDescent="0.25">
      <c r="A37" s="75"/>
      <c r="B37" s="10" t="s">
        <v>28</v>
      </c>
      <c r="C37" s="11">
        <v>1</v>
      </c>
      <c r="D37" s="10" t="s">
        <v>36</v>
      </c>
      <c r="E37" s="12" t="s">
        <v>243</v>
      </c>
      <c r="F37" s="149">
        <f>C37*13</f>
        <v>13</v>
      </c>
      <c r="G37" s="53"/>
      <c r="H37" s="95">
        <v>44791</v>
      </c>
      <c r="I37" s="23" t="s">
        <v>554</v>
      </c>
      <c r="J37" s="75"/>
      <c r="K37" s="10" t="s">
        <v>28</v>
      </c>
      <c r="L37" s="11">
        <v>1</v>
      </c>
      <c r="M37" s="10" t="s">
        <v>141</v>
      </c>
      <c r="N37" s="12" t="s">
        <v>243</v>
      </c>
      <c r="O37" s="145">
        <f>L37*28</f>
        <v>28</v>
      </c>
      <c r="P37" s="50"/>
      <c r="Q37" s="95">
        <v>44466</v>
      </c>
      <c r="R37" s="23" t="s">
        <v>207</v>
      </c>
      <c r="S37" s="75"/>
      <c r="T37" s="14" t="s">
        <v>198</v>
      </c>
      <c r="U37" s="12">
        <v>1</v>
      </c>
      <c r="V37" s="10" t="s">
        <v>199</v>
      </c>
      <c r="W37" s="12" t="s">
        <v>77</v>
      </c>
      <c r="X37" s="145"/>
      <c r="Y37" s="26"/>
      <c r="Z37" s="95"/>
      <c r="AA37" s="16"/>
    </row>
    <row r="38" spans="1:27" x14ac:dyDescent="0.25">
      <c r="A38" s="75"/>
      <c r="B38" s="10" t="s">
        <v>28</v>
      </c>
      <c r="C38" s="11">
        <v>1</v>
      </c>
      <c r="D38" s="10" t="s">
        <v>34</v>
      </c>
      <c r="E38" s="12" t="s">
        <v>243</v>
      </c>
      <c r="F38" s="149">
        <f>C38*25</f>
        <v>25</v>
      </c>
      <c r="G38" s="53"/>
      <c r="H38" s="95">
        <v>44791</v>
      </c>
      <c r="I38" s="23" t="s">
        <v>554</v>
      </c>
      <c r="J38" s="75"/>
      <c r="K38" s="10" t="s">
        <v>28</v>
      </c>
      <c r="L38" s="11">
        <v>1</v>
      </c>
      <c r="M38" s="10" t="s">
        <v>143</v>
      </c>
      <c r="N38" s="12" t="s">
        <v>243</v>
      </c>
      <c r="O38" s="145">
        <f>L38*30</f>
        <v>30</v>
      </c>
      <c r="P38" s="50"/>
      <c r="Q38" s="95">
        <v>44466</v>
      </c>
      <c r="R38" s="23" t="s">
        <v>207</v>
      </c>
      <c r="S38" s="75"/>
      <c r="T38" s="14" t="s">
        <v>198</v>
      </c>
      <c r="U38" s="12">
        <v>1</v>
      </c>
      <c r="V38" s="10" t="s">
        <v>200</v>
      </c>
      <c r="W38" s="12" t="s">
        <v>77</v>
      </c>
      <c r="X38" s="145">
        <v>2</v>
      </c>
      <c r="Y38" s="26"/>
      <c r="Z38" s="95">
        <v>44734</v>
      </c>
      <c r="AA38" s="13" t="s">
        <v>351</v>
      </c>
    </row>
    <row r="39" spans="1:27" x14ac:dyDescent="0.25">
      <c r="A39" s="75"/>
      <c r="B39" s="10" t="s">
        <v>28</v>
      </c>
      <c r="C39" s="11">
        <v>1</v>
      </c>
      <c r="D39" s="10" t="s">
        <v>35</v>
      </c>
      <c r="E39" s="12" t="s">
        <v>243</v>
      </c>
      <c r="F39" s="149">
        <f>C39*50</f>
        <v>50</v>
      </c>
      <c r="G39" s="53"/>
      <c r="H39" s="95">
        <v>44726</v>
      </c>
      <c r="I39" s="23" t="s">
        <v>428</v>
      </c>
      <c r="J39" s="75"/>
      <c r="K39" s="10" t="s">
        <v>28</v>
      </c>
      <c r="L39" s="11">
        <v>1</v>
      </c>
      <c r="M39" s="10" t="s">
        <v>145</v>
      </c>
      <c r="N39" s="12" t="s">
        <v>243</v>
      </c>
      <c r="O39" s="149">
        <f>L39*28</f>
        <v>28</v>
      </c>
      <c r="P39" s="53"/>
      <c r="Q39" s="95">
        <v>44466</v>
      </c>
      <c r="R39" s="23" t="s">
        <v>207</v>
      </c>
      <c r="S39" s="75"/>
      <c r="T39" s="14" t="s">
        <v>198</v>
      </c>
      <c r="U39" s="12">
        <v>1</v>
      </c>
      <c r="V39" s="10" t="s">
        <v>201</v>
      </c>
      <c r="W39" s="12" t="s">
        <v>77</v>
      </c>
      <c r="X39" s="145">
        <f>U39*1.775</f>
        <v>1.7749999999999999</v>
      </c>
      <c r="Y39" s="26"/>
      <c r="Z39" s="95">
        <v>44662</v>
      </c>
      <c r="AA39" s="13" t="s">
        <v>351</v>
      </c>
    </row>
    <row r="40" spans="1:27" x14ac:dyDescent="0.25">
      <c r="A40" s="75"/>
      <c r="B40" s="10" t="s">
        <v>28</v>
      </c>
      <c r="C40" s="11">
        <v>1</v>
      </c>
      <c r="D40" s="10" t="s">
        <v>40</v>
      </c>
      <c r="E40" s="12" t="s">
        <v>243</v>
      </c>
      <c r="F40" s="149">
        <f>C40*72</f>
        <v>72</v>
      </c>
      <c r="G40" s="53"/>
      <c r="H40" s="95">
        <v>44815</v>
      </c>
      <c r="I40" s="23" t="s">
        <v>207</v>
      </c>
      <c r="J40" s="75"/>
      <c r="K40" s="10" t="s">
        <v>28</v>
      </c>
      <c r="L40" s="11">
        <v>1</v>
      </c>
      <c r="M40" s="10" t="s">
        <v>147</v>
      </c>
      <c r="N40" s="12" t="s">
        <v>243</v>
      </c>
      <c r="O40" s="149">
        <f>L40*43</f>
        <v>43</v>
      </c>
      <c r="P40" s="53"/>
      <c r="Q40" s="95">
        <v>44466</v>
      </c>
      <c r="R40" s="23" t="s">
        <v>207</v>
      </c>
      <c r="S40" s="75"/>
      <c r="T40" s="14" t="s">
        <v>198</v>
      </c>
      <c r="U40" s="12">
        <v>1</v>
      </c>
      <c r="V40" s="10" t="s">
        <v>202</v>
      </c>
      <c r="W40" s="12" t="s">
        <v>77</v>
      </c>
      <c r="X40" s="145">
        <v>2</v>
      </c>
      <c r="Y40" s="26"/>
      <c r="Z40" s="95">
        <v>44740</v>
      </c>
      <c r="AA40" s="13" t="s">
        <v>351</v>
      </c>
    </row>
    <row r="41" spans="1:27" x14ac:dyDescent="0.25">
      <c r="A41" s="75"/>
      <c r="B41" s="10" t="s">
        <v>28</v>
      </c>
      <c r="C41" s="11">
        <v>1</v>
      </c>
      <c r="D41" s="10" t="s">
        <v>43</v>
      </c>
      <c r="E41" s="12" t="s">
        <v>243</v>
      </c>
      <c r="F41" s="149">
        <f>C41*42</f>
        <v>42</v>
      </c>
      <c r="G41" s="53"/>
      <c r="H41" s="95">
        <v>44442</v>
      </c>
      <c r="I41" s="23" t="s">
        <v>207</v>
      </c>
      <c r="J41" s="75"/>
      <c r="K41" s="10" t="s">
        <v>28</v>
      </c>
      <c r="L41" s="11">
        <v>1</v>
      </c>
      <c r="M41" s="10" t="s">
        <v>149</v>
      </c>
      <c r="N41" s="12" t="s">
        <v>243</v>
      </c>
      <c r="O41" s="149">
        <f>L41*50</f>
        <v>50</v>
      </c>
      <c r="P41" s="53"/>
      <c r="Q41" s="95">
        <v>44466</v>
      </c>
      <c r="R41" s="23" t="s">
        <v>207</v>
      </c>
      <c r="S41" s="75"/>
      <c r="T41" s="14" t="s">
        <v>198</v>
      </c>
      <c r="U41" s="12">
        <v>1</v>
      </c>
      <c r="V41" s="10" t="s">
        <v>203</v>
      </c>
      <c r="W41" s="12" t="s">
        <v>77</v>
      </c>
      <c r="X41" s="145">
        <f>U41*3</f>
        <v>3</v>
      </c>
      <c r="Y41" s="26"/>
      <c r="Z41" s="95">
        <v>44662</v>
      </c>
      <c r="AA41" s="13" t="s">
        <v>351</v>
      </c>
    </row>
    <row r="42" spans="1:27" x14ac:dyDescent="0.25">
      <c r="A42" s="75"/>
      <c r="B42" s="10" t="s">
        <v>28</v>
      </c>
      <c r="C42" s="11">
        <v>1</v>
      </c>
      <c r="D42" s="10" t="s">
        <v>45</v>
      </c>
      <c r="E42" s="12" t="s">
        <v>243</v>
      </c>
      <c r="F42" s="111"/>
      <c r="G42" s="50"/>
      <c r="H42" s="95"/>
      <c r="I42" s="23"/>
      <c r="J42" s="75"/>
      <c r="K42" s="10" t="s">
        <v>28</v>
      </c>
      <c r="L42" s="11">
        <v>1</v>
      </c>
      <c r="M42" s="10" t="s">
        <v>160</v>
      </c>
      <c r="N42" s="12" t="s">
        <v>243</v>
      </c>
      <c r="O42" s="145"/>
      <c r="P42" s="50"/>
      <c r="Q42" s="95"/>
      <c r="R42" s="23"/>
      <c r="S42" s="75"/>
      <c r="T42" s="14" t="s">
        <v>198</v>
      </c>
      <c r="U42" s="12">
        <v>1</v>
      </c>
      <c r="V42" s="10" t="s">
        <v>204</v>
      </c>
      <c r="W42" s="12" t="s">
        <v>77</v>
      </c>
      <c r="X42" s="145">
        <v>4</v>
      </c>
      <c r="Y42" s="26"/>
      <c r="Z42" s="95">
        <v>44740</v>
      </c>
      <c r="AA42" s="13" t="s">
        <v>351</v>
      </c>
    </row>
    <row r="43" spans="1:27" x14ac:dyDescent="0.25">
      <c r="A43" s="75"/>
      <c r="B43" s="10" t="s">
        <v>28</v>
      </c>
      <c r="C43" s="11">
        <v>1</v>
      </c>
      <c r="D43" s="10" t="s">
        <v>48</v>
      </c>
      <c r="E43" s="12" t="s">
        <v>243</v>
      </c>
      <c r="F43" s="145">
        <f>C43*39</f>
        <v>39</v>
      </c>
      <c r="G43" s="50"/>
      <c r="H43" s="95">
        <v>44466</v>
      </c>
      <c r="I43" s="23" t="s">
        <v>207</v>
      </c>
      <c r="J43" s="75"/>
      <c r="K43" s="10" t="s">
        <v>28</v>
      </c>
      <c r="L43" s="11">
        <v>1</v>
      </c>
      <c r="M43" s="10" t="s">
        <v>162</v>
      </c>
      <c r="N43" s="12" t="s">
        <v>243</v>
      </c>
      <c r="O43" s="92"/>
      <c r="P43" s="50"/>
      <c r="Q43" s="95"/>
      <c r="R43" s="23"/>
      <c r="S43" s="75"/>
      <c r="T43" s="14" t="s">
        <v>198</v>
      </c>
      <c r="U43" s="12">
        <v>1</v>
      </c>
      <c r="V43" s="10" t="s">
        <v>435</v>
      </c>
      <c r="W43" s="12" t="s">
        <v>77</v>
      </c>
      <c r="X43" s="149">
        <f>U43*8.675</f>
        <v>8.6750000000000007</v>
      </c>
      <c r="Y43" s="22"/>
      <c r="Z43" s="95">
        <v>44662</v>
      </c>
      <c r="AA43" s="13" t="s">
        <v>351</v>
      </c>
    </row>
    <row r="44" spans="1:27" x14ac:dyDescent="0.25">
      <c r="A44" s="75"/>
      <c r="B44" s="10" t="s">
        <v>28</v>
      </c>
      <c r="C44" s="11">
        <v>1</v>
      </c>
      <c r="D44" s="10" t="s">
        <v>51</v>
      </c>
      <c r="E44" s="12" t="s">
        <v>243</v>
      </c>
      <c r="F44" s="145">
        <f>C44*95</f>
        <v>95</v>
      </c>
      <c r="G44" s="50"/>
      <c r="H44" s="95">
        <v>44466</v>
      </c>
      <c r="I44" s="23" t="s">
        <v>207</v>
      </c>
      <c r="J44" s="75"/>
      <c r="K44" s="10" t="s">
        <v>28</v>
      </c>
      <c r="L44" s="11">
        <v>1</v>
      </c>
      <c r="M44" s="10" t="s">
        <v>164</v>
      </c>
      <c r="N44" s="12" t="s">
        <v>243</v>
      </c>
      <c r="O44" s="145">
        <f>L44*135</f>
        <v>135</v>
      </c>
      <c r="P44" s="50"/>
      <c r="Q44" s="95">
        <v>44466</v>
      </c>
      <c r="R44" s="23" t="s">
        <v>207</v>
      </c>
      <c r="S44" s="75"/>
      <c r="T44" s="14" t="s">
        <v>198</v>
      </c>
      <c r="U44" s="12">
        <v>1</v>
      </c>
      <c r="V44" s="10" t="s">
        <v>347</v>
      </c>
      <c r="W44" s="12" t="s">
        <v>77</v>
      </c>
      <c r="X44" s="149">
        <f>U44*8.675</f>
        <v>8.6750000000000007</v>
      </c>
      <c r="Y44" s="22"/>
      <c r="Z44" s="95">
        <v>44662</v>
      </c>
      <c r="AA44" s="13" t="s">
        <v>351</v>
      </c>
    </row>
    <row r="45" spans="1:27" x14ac:dyDescent="0.25">
      <c r="A45" s="75"/>
      <c r="B45" s="10" t="s">
        <v>28</v>
      </c>
      <c r="C45" s="11">
        <v>1</v>
      </c>
      <c r="D45" s="10" t="s">
        <v>53</v>
      </c>
      <c r="E45" s="12" t="s">
        <v>243</v>
      </c>
      <c r="F45" s="92">
        <f>C45*177</f>
        <v>177</v>
      </c>
      <c r="G45" s="50"/>
      <c r="H45" s="95">
        <v>44815</v>
      </c>
      <c r="I45" s="23" t="s">
        <v>207</v>
      </c>
      <c r="J45" s="75"/>
      <c r="K45" s="10" t="s">
        <v>28</v>
      </c>
      <c r="L45" s="11">
        <v>1</v>
      </c>
      <c r="M45" s="10" t="s">
        <v>166</v>
      </c>
      <c r="N45" s="12" t="s">
        <v>243</v>
      </c>
      <c r="O45" s="92"/>
      <c r="P45" s="50"/>
      <c r="Q45" s="95"/>
      <c r="R45" s="23"/>
      <c r="S45" s="75"/>
      <c r="T45" s="14" t="s">
        <v>198</v>
      </c>
      <c r="U45" s="12">
        <v>1</v>
      </c>
      <c r="V45" s="10" t="s">
        <v>232</v>
      </c>
      <c r="W45" s="12" t="s">
        <v>77</v>
      </c>
      <c r="X45" s="145">
        <f>U45*11.6</f>
        <v>11.6</v>
      </c>
      <c r="Y45" s="26"/>
      <c r="Z45" s="95">
        <v>44662</v>
      </c>
      <c r="AA45" s="13" t="s">
        <v>351</v>
      </c>
    </row>
    <row r="46" spans="1:27" x14ac:dyDescent="0.25">
      <c r="A46" s="75"/>
      <c r="B46" s="10" t="s">
        <v>28</v>
      </c>
      <c r="C46" s="11">
        <v>1</v>
      </c>
      <c r="D46" s="10" t="s">
        <v>56</v>
      </c>
      <c r="E46" s="12" t="s">
        <v>243</v>
      </c>
      <c r="F46" s="92"/>
      <c r="G46" s="50"/>
      <c r="H46" s="95"/>
      <c r="I46" s="23"/>
      <c r="J46" s="75"/>
      <c r="K46" s="10" t="s">
        <v>28</v>
      </c>
      <c r="L46" s="11">
        <v>1</v>
      </c>
      <c r="M46" s="10" t="s">
        <v>168</v>
      </c>
      <c r="N46" s="12" t="s">
        <v>243</v>
      </c>
      <c r="O46" s="92"/>
      <c r="P46" s="50"/>
      <c r="Q46" s="95"/>
      <c r="R46" s="23"/>
      <c r="S46" s="75"/>
      <c r="T46" s="14" t="s">
        <v>198</v>
      </c>
      <c r="U46" s="12">
        <v>1</v>
      </c>
      <c r="V46" s="10" t="s">
        <v>348</v>
      </c>
      <c r="W46" s="12" t="s">
        <v>77</v>
      </c>
      <c r="X46" s="111">
        <f>U46*26.8</f>
        <v>26.8</v>
      </c>
      <c r="Y46" s="26"/>
      <c r="Z46" s="95">
        <v>44662</v>
      </c>
      <c r="AA46" s="13" t="s">
        <v>351</v>
      </c>
    </row>
    <row r="47" spans="1:27" ht="15" customHeight="1" x14ac:dyDescent="0.25">
      <c r="A47" s="75"/>
      <c r="B47" s="10" t="s">
        <v>28</v>
      </c>
      <c r="C47" s="11">
        <v>1</v>
      </c>
      <c r="D47" s="10" t="s">
        <v>59</v>
      </c>
      <c r="E47" s="12" t="s">
        <v>243</v>
      </c>
      <c r="F47" s="568" t="s">
        <v>283</v>
      </c>
      <c r="G47" s="569"/>
      <c r="H47" s="569"/>
      <c r="I47" s="570"/>
      <c r="J47" s="75"/>
      <c r="K47" s="10" t="s">
        <v>28</v>
      </c>
      <c r="L47" s="11">
        <v>1</v>
      </c>
      <c r="M47" s="10" t="s">
        <v>170</v>
      </c>
      <c r="N47" s="12" t="s">
        <v>243</v>
      </c>
      <c r="O47" s="568" t="s">
        <v>283</v>
      </c>
      <c r="P47" s="569"/>
      <c r="Q47" s="569"/>
      <c r="R47" s="570"/>
      <c r="S47" s="75"/>
      <c r="T47" s="14" t="s">
        <v>198</v>
      </c>
      <c r="U47" s="12">
        <v>1</v>
      </c>
      <c r="V47" s="10" t="s">
        <v>349</v>
      </c>
      <c r="W47" s="12" t="s">
        <v>77</v>
      </c>
      <c r="X47" s="111">
        <v>54</v>
      </c>
      <c r="Y47" s="26"/>
      <c r="Z47" s="95">
        <v>44734</v>
      </c>
      <c r="AA47" s="13" t="s">
        <v>351</v>
      </c>
    </row>
    <row r="48" spans="1:27" ht="15" customHeight="1" x14ac:dyDescent="0.25">
      <c r="A48" s="75"/>
      <c r="B48" s="10" t="s">
        <v>28</v>
      </c>
      <c r="C48" s="11">
        <v>1</v>
      </c>
      <c r="D48" s="10" t="s">
        <v>61</v>
      </c>
      <c r="E48" s="12" t="s">
        <v>243</v>
      </c>
      <c r="F48" s="571"/>
      <c r="G48" s="572"/>
      <c r="H48" s="572"/>
      <c r="I48" s="573"/>
      <c r="J48" s="75"/>
      <c r="K48" s="10" t="s">
        <v>28</v>
      </c>
      <c r="L48" s="11">
        <v>1</v>
      </c>
      <c r="M48" s="10" t="s">
        <v>172</v>
      </c>
      <c r="N48" s="12" t="s">
        <v>243</v>
      </c>
      <c r="O48" s="571"/>
      <c r="P48" s="572"/>
      <c r="Q48" s="572"/>
      <c r="R48" s="573"/>
      <c r="S48" s="75"/>
      <c r="T48" s="10"/>
      <c r="U48" s="11"/>
      <c r="V48" s="10"/>
      <c r="W48" s="12"/>
      <c r="X48" s="92"/>
      <c r="Y48" s="26"/>
      <c r="Z48" s="95"/>
      <c r="AA48" s="23"/>
    </row>
    <row r="49" spans="1:27" ht="15" customHeight="1" x14ac:dyDescent="0.25">
      <c r="A49" s="75"/>
      <c r="B49" s="10" t="s">
        <v>28</v>
      </c>
      <c r="C49" s="11">
        <v>1</v>
      </c>
      <c r="D49" s="10" t="s">
        <v>64</v>
      </c>
      <c r="E49" s="12" t="s">
        <v>243</v>
      </c>
      <c r="F49" s="571"/>
      <c r="G49" s="572"/>
      <c r="H49" s="572"/>
      <c r="I49" s="573"/>
      <c r="J49" s="75"/>
      <c r="K49" s="10" t="s">
        <v>28</v>
      </c>
      <c r="L49" s="11">
        <v>1</v>
      </c>
      <c r="M49" s="10" t="s">
        <v>174</v>
      </c>
      <c r="N49" s="12" t="s">
        <v>243</v>
      </c>
      <c r="O49" s="571"/>
      <c r="P49" s="572"/>
      <c r="Q49" s="572"/>
      <c r="R49" s="573"/>
      <c r="S49" s="75"/>
      <c r="T49" s="10"/>
      <c r="U49" s="11"/>
      <c r="V49" s="10"/>
      <c r="W49" s="12"/>
      <c r="X49" s="92"/>
      <c r="Y49" s="26"/>
      <c r="Z49" s="95"/>
      <c r="AA49" s="23"/>
    </row>
    <row r="50" spans="1:27" ht="15" customHeight="1" x14ac:dyDescent="0.25">
      <c r="A50" s="75"/>
      <c r="B50" s="10" t="s">
        <v>28</v>
      </c>
      <c r="C50" s="11">
        <v>1</v>
      </c>
      <c r="D50" s="10" t="s">
        <v>67</v>
      </c>
      <c r="E50" s="12" t="s">
        <v>243</v>
      </c>
      <c r="F50" s="571"/>
      <c r="G50" s="572"/>
      <c r="H50" s="572"/>
      <c r="I50" s="573"/>
      <c r="J50" s="75"/>
      <c r="K50" s="10" t="s">
        <v>28</v>
      </c>
      <c r="L50" s="11">
        <v>1</v>
      </c>
      <c r="M50" s="10" t="s">
        <v>176</v>
      </c>
      <c r="N50" s="12" t="s">
        <v>243</v>
      </c>
      <c r="O50" s="571"/>
      <c r="P50" s="572"/>
      <c r="Q50" s="572"/>
      <c r="R50" s="573"/>
      <c r="S50" s="75"/>
      <c r="T50" s="10"/>
      <c r="U50" s="11"/>
      <c r="V50" s="10"/>
      <c r="W50" s="12"/>
      <c r="X50" s="92"/>
      <c r="Y50" s="26"/>
      <c r="Z50" s="95"/>
      <c r="AA50" s="23"/>
    </row>
    <row r="51" spans="1:27" ht="15" customHeight="1" x14ac:dyDescent="0.25">
      <c r="A51" s="75"/>
      <c r="B51" s="10" t="s">
        <v>28</v>
      </c>
      <c r="C51" s="11">
        <v>1</v>
      </c>
      <c r="D51" s="10" t="s">
        <v>70</v>
      </c>
      <c r="E51" s="12" t="s">
        <v>243</v>
      </c>
      <c r="F51" s="571"/>
      <c r="G51" s="572"/>
      <c r="H51" s="572"/>
      <c r="I51" s="573"/>
      <c r="J51" s="75"/>
      <c r="K51" s="10" t="s">
        <v>28</v>
      </c>
      <c r="L51" s="11">
        <v>1</v>
      </c>
      <c r="M51" s="10" t="s">
        <v>178</v>
      </c>
      <c r="N51" s="12" t="s">
        <v>243</v>
      </c>
      <c r="O51" s="571"/>
      <c r="P51" s="572"/>
      <c r="Q51" s="572"/>
      <c r="R51" s="573"/>
      <c r="S51" s="75"/>
      <c r="T51" s="10"/>
      <c r="U51" s="11"/>
      <c r="V51" s="10"/>
      <c r="W51" s="12"/>
      <c r="X51" s="92"/>
      <c r="Y51" s="26"/>
      <c r="Z51" s="95"/>
      <c r="AA51" s="23"/>
    </row>
    <row r="52" spans="1:27" ht="15" customHeight="1" x14ac:dyDescent="0.25">
      <c r="A52" s="75"/>
      <c r="B52" s="10" t="s">
        <v>28</v>
      </c>
      <c r="C52" s="11">
        <v>1</v>
      </c>
      <c r="D52" s="10" t="s">
        <v>72</v>
      </c>
      <c r="E52" s="12" t="s">
        <v>243</v>
      </c>
      <c r="F52" s="574"/>
      <c r="G52" s="575"/>
      <c r="H52" s="575"/>
      <c r="I52" s="576"/>
      <c r="J52" s="75"/>
      <c r="K52" s="10" t="s">
        <v>28</v>
      </c>
      <c r="L52" s="11">
        <v>1</v>
      </c>
      <c r="M52" s="10" t="s">
        <v>180</v>
      </c>
      <c r="N52" s="12" t="s">
        <v>243</v>
      </c>
      <c r="O52" s="574"/>
      <c r="P52" s="575"/>
      <c r="Q52" s="575"/>
      <c r="R52" s="576"/>
      <c r="S52" s="75"/>
      <c r="T52" s="10"/>
      <c r="U52" s="11"/>
      <c r="V52" s="10"/>
      <c r="W52" s="12"/>
      <c r="X52" s="92"/>
      <c r="Y52" s="26"/>
      <c r="Z52" s="57"/>
      <c r="AA52" s="23"/>
    </row>
    <row r="53" spans="1:27" ht="25.15" customHeight="1" x14ac:dyDescent="0.35">
      <c r="A53" s="78"/>
      <c r="B53" s="597" t="s">
        <v>354</v>
      </c>
      <c r="C53" s="597"/>
      <c r="D53" s="597"/>
      <c r="E53" s="597"/>
      <c r="F53" s="597"/>
      <c r="G53" s="597"/>
      <c r="H53" s="597"/>
      <c r="I53" s="597"/>
      <c r="J53" s="78"/>
      <c r="K53" s="614"/>
      <c r="L53" s="614"/>
      <c r="M53" s="614"/>
      <c r="N53" s="614"/>
      <c r="O53" s="614"/>
      <c r="P53" s="614"/>
      <c r="Q53" s="614"/>
      <c r="R53" s="614"/>
      <c r="S53" s="78"/>
      <c r="T53" s="615"/>
      <c r="U53" s="615"/>
      <c r="V53" s="615"/>
      <c r="W53" s="615"/>
      <c r="X53" s="615"/>
      <c r="Y53" s="615"/>
      <c r="Z53" s="615"/>
      <c r="AA53" s="615"/>
    </row>
    <row r="54" spans="1:27" x14ac:dyDescent="0.25">
      <c r="A54" s="75"/>
      <c r="B54" s="10"/>
      <c r="C54" s="11"/>
      <c r="D54" s="10"/>
      <c r="E54" s="11"/>
      <c r="F54" s="149"/>
      <c r="G54" s="26"/>
      <c r="H54" s="58"/>
      <c r="I54" s="44"/>
      <c r="J54" s="75"/>
      <c r="K54" s="23"/>
      <c r="L54" s="12"/>
      <c r="M54" s="23"/>
      <c r="N54" s="12"/>
      <c r="O54" s="149"/>
      <c r="P54" s="26"/>
      <c r="Q54" s="58"/>
      <c r="R54" s="44"/>
      <c r="S54" s="75"/>
      <c r="T54" s="14"/>
      <c r="U54" s="12"/>
      <c r="V54" s="10"/>
      <c r="W54" s="12"/>
      <c r="X54" s="145"/>
      <c r="Y54" s="26"/>
      <c r="Z54" s="59"/>
      <c r="AA54" s="16"/>
    </row>
    <row r="55" spans="1:27" x14ac:dyDescent="0.25">
      <c r="A55" s="75"/>
      <c r="B55" s="10" t="s">
        <v>115</v>
      </c>
      <c r="C55" s="11">
        <v>1</v>
      </c>
      <c r="D55" s="10" t="s">
        <v>121</v>
      </c>
      <c r="E55" s="11" t="s">
        <v>91</v>
      </c>
      <c r="F55" s="149"/>
      <c r="G55" s="26"/>
      <c r="H55" s="58"/>
      <c r="I55" s="44"/>
      <c r="J55" s="75"/>
      <c r="K55" s="32"/>
      <c r="L55" s="11"/>
      <c r="M55" s="32"/>
      <c r="N55" s="12"/>
      <c r="O55" s="149"/>
      <c r="P55" s="26"/>
      <c r="Q55" s="58"/>
      <c r="R55" s="44"/>
      <c r="S55" s="75"/>
      <c r="T55" s="14"/>
      <c r="U55" s="12"/>
      <c r="V55" s="10"/>
      <c r="W55" s="12"/>
      <c r="X55" s="145"/>
      <c r="Y55" s="26"/>
      <c r="Z55" s="60"/>
      <c r="AA55" s="13"/>
    </row>
    <row r="56" spans="1:27" x14ac:dyDescent="0.25">
      <c r="A56" s="75"/>
      <c r="B56" s="10" t="s">
        <v>116</v>
      </c>
      <c r="C56" s="11">
        <v>1</v>
      </c>
      <c r="D56" s="10" t="s">
        <v>97</v>
      </c>
      <c r="E56" s="12" t="s">
        <v>91</v>
      </c>
      <c r="F56" s="149"/>
      <c r="G56" s="26"/>
      <c r="H56" s="58"/>
      <c r="I56" s="44"/>
      <c r="J56" s="75"/>
      <c r="K56" s="10"/>
      <c r="L56" s="11"/>
      <c r="M56" s="10"/>
      <c r="N56" s="12"/>
      <c r="O56" s="92"/>
      <c r="P56" s="26"/>
      <c r="Q56" s="58"/>
      <c r="R56" s="44"/>
      <c r="S56" s="75"/>
      <c r="T56" s="14"/>
      <c r="U56" s="12"/>
      <c r="V56" s="10"/>
      <c r="W56" s="12"/>
      <c r="X56" s="145"/>
      <c r="Y56" s="26"/>
      <c r="Z56" s="60"/>
      <c r="AA56" s="13"/>
    </row>
    <row r="57" spans="1:27" x14ac:dyDescent="0.25">
      <c r="A57" s="75"/>
      <c r="B57" s="10" t="s">
        <v>117</v>
      </c>
      <c r="C57" s="11">
        <v>1</v>
      </c>
      <c r="D57" s="10" t="s">
        <v>97</v>
      </c>
      <c r="E57" s="12" t="s">
        <v>91</v>
      </c>
      <c r="F57" s="149"/>
      <c r="G57" s="22"/>
      <c r="H57" s="58"/>
      <c r="I57" s="44"/>
      <c r="J57" s="75"/>
      <c r="K57" s="10"/>
      <c r="L57" s="11"/>
      <c r="M57" s="10"/>
      <c r="N57" s="12"/>
      <c r="O57" s="92"/>
      <c r="P57" s="26"/>
      <c r="Q57" s="58"/>
      <c r="R57" s="44"/>
      <c r="S57" s="75"/>
      <c r="T57" s="14"/>
      <c r="U57" s="12"/>
      <c r="V57" s="10"/>
      <c r="W57" s="12"/>
      <c r="X57" s="145"/>
      <c r="Y57" s="26"/>
      <c r="Z57" s="60"/>
      <c r="AA57" s="13"/>
    </row>
    <row r="58" spans="1:27" x14ac:dyDescent="0.25">
      <c r="A58" s="75"/>
      <c r="B58" s="10" t="s">
        <v>99</v>
      </c>
      <c r="C58" s="11">
        <v>1</v>
      </c>
      <c r="D58" s="10" t="s">
        <v>242</v>
      </c>
      <c r="E58" s="12" t="s">
        <v>91</v>
      </c>
      <c r="F58" s="149">
        <f>C58*250</f>
        <v>250</v>
      </c>
      <c r="G58" s="22">
        <f>C58*4</f>
        <v>4</v>
      </c>
      <c r="H58" s="58"/>
      <c r="I58" s="44"/>
      <c r="J58" s="75"/>
      <c r="K58" s="23"/>
      <c r="L58" s="12"/>
      <c r="M58" s="23"/>
      <c r="N58" s="12"/>
      <c r="O58" s="92"/>
      <c r="P58" s="26"/>
      <c r="Q58" s="58"/>
      <c r="R58" s="44"/>
      <c r="S58" s="75"/>
      <c r="T58" s="14"/>
      <c r="U58" s="12"/>
      <c r="V58" s="10"/>
      <c r="W58" s="12"/>
      <c r="X58" s="149"/>
      <c r="Y58" s="22"/>
      <c r="Z58" s="60"/>
      <c r="AA58" s="13"/>
    </row>
    <row r="59" spans="1:27" x14ac:dyDescent="0.25">
      <c r="A59" s="75"/>
      <c r="B59" s="14" t="s">
        <v>93</v>
      </c>
      <c r="C59" s="12">
        <v>1</v>
      </c>
      <c r="D59" s="14" t="s">
        <v>94</v>
      </c>
      <c r="E59" s="12"/>
      <c r="F59" s="149">
        <f>C59*350</f>
        <v>350</v>
      </c>
      <c r="G59" s="22">
        <f>C59*2</f>
        <v>2</v>
      </c>
      <c r="H59" s="58"/>
      <c r="I59" s="44"/>
      <c r="J59" s="75"/>
      <c r="K59" s="32"/>
      <c r="L59" s="11"/>
      <c r="M59" s="32"/>
      <c r="N59" s="12"/>
      <c r="O59" s="92"/>
      <c r="P59" s="26"/>
      <c r="Q59" s="58"/>
      <c r="R59" s="44"/>
      <c r="S59" s="75"/>
      <c r="T59" s="14"/>
      <c r="U59" s="12"/>
      <c r="V59" s="10"/>
      <c r="W59" s="12"/>
      <c r="X59" s="149"/>
      <c r="Y59" s="22"/>
      <c r="Z59" s="60"/>
      <c r="AA59" s="13"/>
    </row>
    <row r="60" spans="1:27" x14ac:dyDescent="0.25">
      <c r="A60" s="75"/>
      <c r="B60" s="10"/>
      <c r="C60" s="11"/>
      <c r="D60" s="32"/>
      <c r="E60" s="12"/>
      <c r="F60" s="149"/>
      <c r="G60" s="22"/>
      <c r="H60" s="58"/>
      <c r="I60" s="44"/>
      <c r="J60" s="75"/>
      <c r="K60" s="10"/>
      <c r="L60" s="11"/>
      <c r="M60" s="10"/>
      <c r="N60" s="12"/>
      <c r="O60" s="92"/>
      <c r="P60" s="26"/>
      <c r="Q60" s="58"/>
      <c r="R60" s="44"/>
      <c r="S60" s="75"/>
      <c r="T60" s="14"/>
      <c r="U60" s="12"/>
      <c r="V60" s="10"/>
      <c r="W60" s="12"/>
      <c r="X60" s="145"/>
      <c r="Y60" s="26"/>
      <c r="Z60" s="60"/>
      <c r="AA60" s="13"/>
    </row>
    <row r="61" spans="1:27" x14ac:dyDescent="0.25">
      <c r="A61" s="75"/>
      <c r="B61" s="10" t="s">
        <v>95</v>
      </c>
      <c r="C61" s="11">
        <v>1</v>
      </c>
      <c r="D61" s="10" t="s">
        <v>100</v>
      </c>
      <c r="E61" s="12" t="s">
        <v>91</v>
      </c>
      <c r="F61" s="149"/>
      <c r="G61" s="26"/>
      <c r="H61" s="58"/>
      <c r="I61" s="44"/>
      <c r="J61" s="75"/>
      <c r="K61" s="10"/>
      <c r="L61" s="11"/>
      <c r="M61" s="10"/>
      <c r="N61" s="12"/>
      <c r="O61" s="145"/>
      <c r="P61" s="26"/>
      <c r="Q61" s="58"/>
      <c r="R61" s="44"/>
      <c r="S61" s="75"/>
      <c r="T61" s="14"/>
      <c r="U61" s="12"/>
      <c r="V61" s="10"/>
      <c r="W61" s="12"/>
      <c r="X61" s="92"/>
      <c r="Y61" s="26"/>
      <c r="Z61" s="60"/>
      <c r="AA61" s="13"/>
    </row>
    <row r="62" spans="1:27" x14ac:dyDescent="0.25">
      <c r="A62" s="75"/>
      <c r="B62" s="10" t="s">
        <v>96</v>
      </c>
      <c r="C62" s="11">
        <v>1</v>
      </c>
      <c r="D62" s="10" t="s">
        <v>97</v>
      </c>
      <c r="E62" s="12" t="s">
        <v>91</v>
      </c>
      <c r="F62" s="111">
        <f>C62*400</f>
        <v>400</v>
      </c>
      <c r="G62" s="26"/>
      <c r="H62" s="58"/>
      <c r="I62" s="44"/>
      <c r="J62" s="75"/>
      <c r="K62" s="23"/>
      <c r="L62" s="12"/>
      <c r="M62" s="23"/>
      <c r="N62" s="12"/>
      <c r="O62" s="149"/>
      <c r="P62" s="26"/>
      <c r="Q62" s="58"/>
      <c r="R62" s="44"/>
      <c r="S62" s="75"/>
      <c r="T62" s="14"/>
      <c r="U62" s="12"/>
      <c r="V62" s="10"/>
      <c r="W62" s="12"/>
      <c r="X62" s="92"/>
      <c r="Y62" s="26"/>
      <c r="Z62" s="60"/>
      <c r="AA62" s="13"/>
    </row>
    <row r="63" spans="1:27" x14ac:dyDescent="0.25">
      <c r="A63" s="75"/>
      <c r="B63" s="10" t="s">
        <v>98</v>
      </c>
      <c r="C63" s="11">
        <v>1</v>
      </c>
      <c r="D63" s="10" t="s">
        <v>97</v>
      </c>
      <c r="E63" s="12" t="s">
        <v>91</v>
      </c>
      <c r="F63" s="145">
        <f>C63*450</f>
        <v>450</v>
      </c>
      <c r="G63" s="26"/>
      <c r="H63" s="58"/>
      <c r="I63" s="44"/>
      <c r="J63" s="75"/>
      <c r="K63" s="10"/>
      <c r="L63" s="11"/>
      <c r="M63" s="10"/>
      <c r="N63" s="12"/>
      <c r="O63" s="92"/>
      <c r="P63" s="26"/>
      <c r="Q63" s="58"/>
      <c r="R63" s="44"/>
      <c r="S63" s="75"/>
      <c r="T63" s="44"/>
      <c r="U63" s="44"/>
      <c r="V63" s="44"/>
      <c r="W63" s="44"/>
      <c r="X63" s="156"/>
      <c r="Y63" s="44"/>
      <c r="Z63" s="44"/>
      <c r="AA63" s="44"/>
    </row>
    <row r="64" spans="1:27" x14ac:dyDescent="0.25">
      <c r="A64" s="75"/>
      <c r="B64" s="10" t="s">
        <v>99</v>
      </c>
      <c r="C64" s="11">
        <v>1</v>
      </c>
      <c r="D64" s="10" t="s">
        <v>242</v>
      </c>
      <c r="E64" s="12" t="s">
        <v>91</v>
      </c>
      <c r="F64" s="149">
        <f>C64*250</f>
        <v>250</v>
      </c>
      <c r="G64" s="22">
        <f>C64*4</f>
        <v>4</v>
      </c>
      <c r="H64" s="58"/>
      <c r="I64" s="44"/>
      <c r="J64" s="75"/>
      <c r="K64" s="10"/>
      <c r="L64" s="11"/>
      <c r="M64" s="10"/>
      <c r="N64" s="12"/>
      <c r="O64" s="92"/>
      <c r="P64" s="26"/>
      <c r="Q64" s="58"/>
      <c r="R64" s="44"/>
      <c r="S64" s="75"/>
      <c r="T64" s="44"/>
      <c r="U64" s="44"/>
      <c r="V64" s="44"/>
      <c r="W64" s="44"/>
      <c r="X64" s="156"/>
      <c r="Y64" s="44"/>
      <c r="Z64" s="44"/>
      <c r="AA64" s="44"/>
    </row>
    <row r="65" spans="1:27" x14ac:dyDescent="0.25">
      <c r="A65" s="75"/>
      <c r="B65" s="14" t="s">
        <v>93</v>
      </c>
      <c r="C65" s="12">
        <v>1</v>
      </c>
      <c r="D65" s="14" t="s">
        <v>94</v>
      </c>
      <c r="E65" s="12"/>
      <c r="F65" s="149">
        <f>C65*350</f>
        <v>350</v>
      </c>
      <c r="G65" s="22">
        <f>C65*2</f>
        <v>2</v>
      </c>
      <c r="H65" s="58"/>
      <c r="I65" s="44"/>
      <c r="J65" s="75"/>
      <c r="K65" s="10"/>
      <c r="L65" s="11"/>
      <c r="M65" s="10"/>
      <c r="N65" s="12"/>
      <c r="O65" s="92"/>
      <c r="P65" s="26"/>
      <c r="Q65" s="58"/>
      <c r="R65" s="44"/>
      <c r="S65" s="75"/>
      <c r="T65" s="44"/>
      <c r="U65" s="44"/>
      <c r="V65" s="44"/>
      <c r="W65" s="44"/>
      <c r="X65" s="156"/>
      <c r="Y65" s="44"/>
      <c r="Z65" s="44"/>
      <c r="AA65" s="44"/>
    </row>
    <row r="66" spans="1:27" x14ac:dyDescent="0.25">
      <c r="A66" s="75"/>
      <c r="B66" s="10"/>
      <c r="C66" s="11"/>
      <c r="D66" s="10"/>
      <c r="E66" s="12"/>
      <c r="F66" s="149"/>
      <c r="G66" s="26"/>
      <c r="H66" s="58"/>
      <c r="I66" s="44"/>
      <c r="J66" s="75"/>
      <c r="K66" s="23"/>
      <c r="L66" s="12"/>
      <c r="M66" s="23"/>
      <c r="N66" s="12"/>
      <c r="O66" s="92"/>
      <c r="P66" s="26"/>
      <c r="Q66" s="58"/>
      <c r="R66" s="44"/>
      <c r="S66" s="75"/>
      <c r="T66" s="44"/>
      <c r="U66" s="44"/>
      <c r="V66" s="44"/>
      <c r="W66" s="44"/>
      <c r="X66" s="156"/>
      <c r="Y66" s="44"/>
      <c r="Z66" s="44"/>
      <c r="AA66" s="44"/>
    </row>
    <row r="67" spans="1:27" x14ac:dyDescent="0.25">
      <c r="A67" s="75"/>
      <c r="B67" s="10" t="s">
        <v>118</v>
      </c>
      <c r="C67" s="11">
        <v>1</v>
      </c>
      <c r="D67" s="10" t="s">
        <v>122</v>
      </c>
      <c r="E67" s="12" t="s">
        <v>91</v>
      </c>
      <c r="F67" s="92"/>
      <c r="G67" s="26"/>
      <c r="H67" s="58"/>
      <c r="I67" s="44"/>
      <c r="J67" s="75"/>
      <c r="K67" s="10"/>
      <c r="L67" s="11"/>
      <c r="M67" s="10"/>
      <c r="N67" s="12"/>
      <c r="O67" s="92"/>
      <c r="P67" s="26"/>
      <c r="Q67" s="58"/>
      <c r="R67" s="44"/>
      <c r="S67" s="75"/>
      <c r="T67" s="14"/>
      <c r="U67" s="12"/>
      <c r="V67" s="14"/>
      <c r="W67" s="12"/>
      <c r="X67" s="96"/>
      <c r="Y67" s="13"/>
      <c r="Z67" s="57"/>
      <c r="AA67" s="23"/>
    </row>
    <row r="68" spans="1:27" x14ac:dyDescent="0.25">
      <c r="A68" s="75"/>
      <c r="B68" s="10" t="s">
        <v>119</v>
      </c>
      <c r="C68" s="11">
        <v>1</v>
      </c>
      <c r="D68" s="10" t="s">
        <v>97</v>
      </c>
      <c r="E68" s="12" t="s">
        <v>91</v>
      </c>
      <c r="F68" s="92"/>
      <c r="G68" s="44"/>
      <c r="H68" s="58"/>
      <c r="I68" s="44"/>
      <c r="J68" s="75"/>
      <c r="K68" s="10"/>
      <c r="L68" s="11"/>
      <c r="M68" s="10"/>
      <c r="N68" s="12"/>
      <c r="O68" s="92"/>
      <c r="P68" s="26"/>
      <c r="Q68" s="58"/>
      <c r="R68" s="44"/>
      <c r="S68" s="75"/>
      <c r="T68" s="10"/>
      <c r="U68" s="11"/>
      <c r="V68" s="10"/>
      <c r="W68" s="12"/>
      <c r="X68" s="92"/>
      <c r="Y68" s="26"/>
      <c r="Z68" s="58"/>
      <c r="AA68" s="44"/>
    </row>
    <row r="69" spans="1:27" x14ac:dyDescent="0.25">
      <c r="A69" s="75"/>
      <c r="B69" s="10" t="s">
        <v>120</v>
      </c>
      <c r="C69" s="11">
        <v>1</v>
      </c>
      <c r="D69" s="10" t="s">
        <v>97</v>
      </c>
      <c r="E69" s="12" t="s">
        <v>91</v>
      </c>
      <c r="F69" s="92"/>
      <c r="G69" s="44"/>
      <c r="H69" s="58"/>
      <c r="I69" s="44"/>
      <c r="J69" s="75"/>
      <c r="K69" s="23"/>
      <c r="L69" s="12"/>
      <c r="M69" s="23"/>
      <c r="N69" s="12"/>
      <c r="O69" s="92"/>
      <c r="P69" s="26"/>
      <c r="Q69" s="58"/>
      <c r="R69" s="44"/>
      <c r="S69" s="75"/>
      <c r="T69" s="23"/>
      <c r="U69" s="12"/>
      <c r="V69" s="23"/>
      <c r="W69" s="12"/>
      <c r="X69" s="92"/>
      <c r="Y69" s="26"/>
      <c r="Z69" s="58"/>
      <c r="AA69" s="44"/>
    </row>
    <row r="70" spans="1:27" x14ac:dyDescent="0.25">
      <c r="A70" s="75"/>
      <c r="B70" s="10" t="s">
        <v>99</v>
      </c>
      <c r="C70" s="11">
        <v>1</v>
      </c>
      <c r="D70" s="10" t="s">
        <v>242</v>
      </c>
      <c r="E70" s="12" t="s">
        <v>91</v>
      </c>
      <c r="F70" s="149">
        <f>C70*250</f>
        <v>250</v>
      </c>
      <c r="G70" s="22">
        <f>C70*4</f>
        <v>4</v>
      </c>
      <c r="H70" s="58"/>
      <c r="I70" s="44"/>
      <c r="J70" s="75"/>
      <c r="K70" s="10"/>
      <c r="L70" s="11"/>
      <c r="M70" s="10"/>
      <c r="N70" s="12"/>
      <c r="O70" s="92"/>
      <c r="P70" s="26"/>
      <c r="Q70" s="58"/>
      <c r="R70" s="44"/>
      <c r="S70" s="75"/>
      <c r="T70" s="10"/>
      <c r="U70" s="11"/>
      <c r="V70" s="10"/>
      <c r="W70" s="12"/>
      <c r="X70" s="92"/>
      <c r="Y70" s="26"/>
      <c r="Z70" s="58"/>
      <c r="AA70" s="44"/>
    </row>
    <row r="71" spans="1:27" x14ac:dyDescent="0.25">
      <c r="A71" s="75"/>
      <c r="B71" s="14" t="s">
        <v>93</v>
      </c>
      <c r="C71" s="12">
        <v>1</v>
      </c>
      <c r="D71" s="14" t="s">
        <v>94</v>
      </c>
      <c r="E71" s="12"/>
      <c r="F71" s="149">
        <f>C71*350</f>
        <v>350</v>
      </c>
      <c r="G71" s="22">
        <f>C71*2</f>
        <v>2</v>
      </c>
      <c r="H71" s="58"/>
      <c r="I71" s="44"/>
      <c r="J71" s="75"/>
      <c r="K71" s="10"/>
      <c r="L71" s="11"/>
      <c r="M71" s="10"/>
      <c r="N71" s="12"/>
      <c r="O71" s="92"/>
      <c r="P71" s="26"/>
      <c r="Q71" s="58"/>
      <c r="R71" s="44"/>
      <c r="S71" s="75"/>
      <c r="T71" s="10"/>
      <c r="U71" s="11"/>
      <c r="V71" s="10"/>
      <c r="W71" s="12"/>
      <c r="X71" s="92"/>
      <c r="Y71" s="26"/>
      <c r="Z71" s="58"/>
      <c r="AA71" s="44"/>
    </row>
    <row r="72" spans="1:27" x14ac:dyDescent="0.25">
      <c r="A72" s="75"/>
      <c r="B72" s="10"/>
      <c r="C72" s="11"/>
      <c r="D72" s="10"/>
      <c r="E72" s="12"/>
      <c r="F72" s="156"/>
      <c r="G72" s="44"/>
      <c r="H72" s="58"/>
      <c r="I72" s="44"/>
      <c r="J72" s="75"/>
      <c r="K72" s="23"/>
      <c r="L72" s="12"/>
      <c r="M72" s="23"/>
      <c r="N72" s="12"/>
      <c r="O72" s="96"/>
      <c r="P72" s="13"/>
      <c r="Q72" s="58"/>
      <c r="R72" s="44"/>
      <c r="S72" s="75"/>
      <c r="T72" s="23"/>
      <c r="U72" s="12"/>
      <c r="V72" s="23"/>
      <c r="W72" s="12"/>
      <c r="X72" s="96"/>
      <c r="Y72" s="13"/>
      <c r="Z72" s="58"/>
      <c r="AA72" s="44"/>
    </row>
    <row r="73" spans="1:27" ht="19.899999999999999" customHeight="1" x14ac:dyDescent="0.25">
      <c r="A73" s="75"/>
      <c r="B73" s="611"/>
      <c r="C73" s="612"/>
      <c r="D73" s="612"/>
      <c r="E73" s="612"/>
      <c r="F73" s="612"/>
      <c r="G73" s="612"/>
      <c r="H73" s="612"/>
      <c r="I73" s="613"/>
      <c r="J73" s="75"/>
      <c r="K73" s="611"/>
      <c r="L73" s="612"/>
      <c r="M73" s="612"/>
      <c r="N73" s="612"/>
      <c r="O73" s="612"/>
      <c r="P73" s="612"/>
      <c r="Q73" s="612"/>
      <c r="R73" s="613"/>
      <c r="S73" s="75"/>
      <c r="T73" s="611"/>
      <c r="U73" s="612"/>
      <c r="V73" s="612"/>
      <c r="W73" s="612"/>
      <c r="X73" s="612"/>
      <c r="Y73" s="612"/>
      <c r="Z73" s="612"/>
      <c r="AA73" s="613"/>
    </row>
  </sheetData>
  <mergeCells count="20">
    <mergeCell ref="B1:I1"/>
    <mergeCell ref="K1:R1"/>
    <mergeCell ref="T1:AA1"/>
    <mergeCell ref="T19:AA19"/>
    <mergeCell ref="T36:AA36"/>
    <mergeCell ref="B73:I73"/>
    <mergeCell ref="K73:R73"/>
    <mergeCell ref="K36:R36"/>
    <mergeCell ref="K19:R19"/>
    <mergeCell ref="T73:AA73"/>
    <mergeCell ref="O30:R35"/>
    <mergeCell ref="X30:AA35"/>
    <mergeCell ref="O47:R52"/>
    <mergeCell ref="F47:I52"/>
    <mergeCell ref="F30:I35"/>
    <mergeCell ref="B19:I19"/>
    <mergeCell ref="B36:I36"/>
    <mergeCell ref="B53:I53"/>
    <mergeCell ref="K53:R53"/>
    <mergeCell ref="T53:AA53"/>
  </mergeCells>
  <conditionalFormatting sqref="H3:H18 Q3:Q18 Z3:Z18 H20:H29 Q20:Q29 Z20:Z29 H37:H46 Q37:Q46 Z37:Z51">
    <cfRule type="expression" dxfId="12" priority="1">
      <formula>H3&lt;TODAY()-30</formula>
    </cfRule>
  </conditionalFormatting>
  <printOptions horizontalCentered="1"/>
  <pageMargins left="0.25" right="0.25" top="0.75" bottom="0.75" header="0.3" footer="0.3"/>
  <pageSetup fitToHeight="0" orientation="portrait" r:id="rId1"/>
  <headerFooter>
    <oddFooter>&amp;Z&amp;F&amp;RPage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pageSetUpPr fitToPage="1"/>
  </sheetPr>
  <dimension ref="A1:AA72"/>
  <sheetViews>
    <sheetView showGridLines="0" showWhiteSpace="0" topLeftCell="A32" zoomScale="80" zoomScaleNormal="80" workbookViewId="0">
      <selection activeCell="N37" sqref="N37:N52"/>
    </sheetView>
  </sheetViews>
  <sheetFormatPr defaultRowHeight="15" x14ac:dyDescent="0.25"/>
  <cols>
    <col min="1" max="1" width="2.5703125" customWidth="1"/>
    <col min="2" max="2" width="17.7109375" customWidth="1"/>
    <col min="3" max="3" width="5.140625" customWidth="1"/>
    <col min="4" max="4" width="32.7109375" bestFit="1" customWidth="1"/>
    <col min="5" max="5" width="20.28515625" bestFit="1" customWidth="1"/>
    <col min="6" max="6" width="5.85546875" style="157" bestFit="1" customWidth="1"/>
    <col min="7" max="7" width="7.85546875" customWidth="1"/>
    <col min="9" max="9" width="10.42578125" bestFit="1" customWidth="1"/>
    <col min="11" max="11" width="16.42578125" bestFit="1" customWidth="1"/>
    <col min="13" max="13" width="18" customWidth="1"/>
    <col min="14" max="14" width="20.28515625" bestFit="1" customWidth="1"/>
    <col min="15" max="15" width="5.85546875" style="157" bestFit="1" customWidth="1"/>
    <col min="18" max="18" width="10.42578125" bestFit="1" customWidth="1"/>
    <col min="20" max="20" width="16.42578125" bestFit="1" customWidth="1"/>
    <col min="22" max="22" width="33.140625" bestFit="1" customWidth="1"/>
    <col min="23" max="23" width="20.28515625" bestFit="1" customWidth="1"/>
    <col min="24" max="24" width="7.140625" style="157" bestFit="1" customWidth="1"/>
    <col min="27" max="27" width="10.42578125" bestFit="1" customWidth="1"/>
  </cols>
  <sheetData>
    <row r="1" spans="1:27" ht="24.95" customHeight="1" x14ac:dyDescent="0.35">
      <c r="A1" s="78"/>
      <c r="B1" s="578" t="s">
        <v>244</v>
      </c>
      <c r="C1" s="578"/>
      <c r="D1" s="578"/>
      <c r="E1" s="578"/>
      <c r="F1" s="578"/>
      <c r="G1" s="578"/>
      <c r="H1" s="578"/>
      <c r="I1" s="578"/>
      <c r="J1" s="78"/>
      <c r="K1" s="578" t="s">
        <v>245</v>
      </c>
      <c r="L1" s="578"/>
      <c r="M1" s="578"/>
      <c r="N1" s="578"/>
      <c r="O1" s="578"/>
      <c r="P1" s="578"/>
      <c r="Q1" s="578"/>
      <c r="R1" s="578"/>
      <c r="S1" s="78"/>
      <c r="T1" s="578" t="s">
        <v>246</v>
      </c>
      <c r="U1" s="578"/>
      <c r="V1" s="578"/>
      <c r="W1" s="578"/>
      <c r="X1" s="578"/>
      <c r="Y1" s="578"/>
      <c r="Z1" s="578"/>
      <c r="AA1" s="578"/>
    </row>
    <row r="2" spans="1:27" ht="16.5" thickBot="1" x14ac:dyDescent="0.3">
      <c r="A2" s="75"/>
      <c r="B2" s="6" t="s">
        <v>0</v>
      </c>
      <c r="C2" s="7" t="s">
        <v>1</v>
      </c>
      <c r="D2" s="7" t="s">
        <v>2</v>
      </c>
      <c r="E2" s="7" t="s">
        <v>24</v>
      </c>
      <c r="F2" s="154" t="s">
        <v>7</v>
      </c>
      <c r="G2" s="81" t="s">
        <v>9</v>
      </c>
      <c r="H2" s="7" t="s">
        <v>133</v>
      </c>
      <c r="I2" s="46" t="s">
        <v>134</v>
      </c>
      <c r="J2" s="75"/>
      <c r="K2" s="27" t="s">
        <v>0</v>
      </c>
      <c r="L2" s="28" t="s">
        <v>1</v>
      </c>
      <c r="M2" s="28" t="s">
        <v>2</v>
      </c>
      <c r="N2" s="28" t="s">
        <v>24</v>
      </c>
      <c r="O2" s="155" t="s">
        <v>7</v>
      </c>
      <c r="P2" s="45" t="s">
        <v>9</v>
      </c>
      <c r="Q2" s="7" t="s">
        <v>133</v>
      </c>
      <c r="R2" s="46" t="s">
        <v>134</v>
      </c>
      <c r="S2" s="75"/>
      <c r="T2" s="27" t="s">
        <v>0</v>
      </c>
      <c r="U2" s="28" t="s">
        <v>1</v>
      </c>
      <c r="V2" s="28" t="s">
        <v>2</v>
      </c>
      <c r="W2" s="28" t="s">
        <v>24</v>
      </c>
      <c r="X2" s="155" t="s">
        <v>7</v>
      </c>
      <c r="Y2" s="45" t="s">
        <v>9</v>
      </c>
      <c r="Z2" s="7" t="s">
        <v>133</v>
      </c>
      <c r="AA2" s="46" t="s">
        <v>134</v>
      </c>
    </row>
    <row r="3" spans="1:27" x14ac:dyDescent="0.25">
      <c r="A3" s="75"/>
      <c r="B3" s="10" t="s">
        <v>25</v>
      </c>
      <c r="C3" s="11">
        <v>1</v>
      </c>
      <c r="D3" s="10" t="s">
        <v>33</v>
      </c>
      <c r="E3" s="12" t="s">
        <v>27</v>
      </c>
      <c r="F3" s="153">
        <f>C3*39</f>
        <v>39</v>
      </c>
      <c r="G3" s="16"/>
      <c r="H3" s="95">
        <v>44817</v>
      </c>
      <c r="I3" s="23" t="s">
        <v>336</v>
      </c>
      <c r="J3" s="75"/>
      <c r="K3" s="23" t="s">
        <v>181</v>
      </c>
      <c r="L3" s="12">
        <v>1</v>
      </c>
      <c r="M3" s="23" t="s">
        <v>184</v>
      </c>
      <c r="N3" s="88" t="s">
        <v>27</v>
      </c>
      <c r="O3" s="145">
        <f>L3*40</f>
        <v>40</v>
      </c>
      <c r="P3" s="93"/>
      <c r="Q3" s="95">
        <v>44797</v>
      </c>
      <c r="R3" s="106" t="s">
        <v>336</v>
      </c>
      <c r="S3" s="75"/>
      <c r="T3" s="10" t="s">
        <v>25</v>
      </c>
      <c r="U3" s="11">
        <v>1</v>
      </c>
      <c r="V3" s="10" t="s">
        <v>140</v>
      </c>
      <c r="W3" s="12" t="s">
        <v>27</v>
      </c>
      <c r="X3" s="145">
        <f>U3*52.2</f>
        <v>52.2</v>
      </c>
      <c r="Y3" s="26"/>
      <c r="Z3" s="95">
        <v>44671</v>
      </c>
      <c r="AA3" s="23" t="s">
        <v>336</v>
      </c>
    </row>
    <row r="4" spans="1:27" x14ac:dyDescent="0.25">
      <c r="A4" s="75"/>
      <c r="B4" s="14" t="s">
        <v>25</v>
      </c>
      <c r="C4" s="12">
        <v>1</v>
      </c>
      <c r="D4" s="14" t="s">
        <v>26</v>
      </c>
      <c r="E4" s="12" t="s">
        <v>27</v>
      </c>
      <c r="F4" s="153">
        <f>C4*52</f>
        <v>52</v>
      </c>
      <c r="G4" s="96"/>
      <c r="H4" s="95">
        <v>44799</v>
      </c>
      <c r="I4" s="23" t="s">
        <v>336</v>
      </c>
      <c r="J4" s="75"/>
      <c r="K4" s="23" t="s">
        <v>181</v>
      </c>
      <c r="L4" s="12">
        <v>1</v>
      </c>
      <c r="M4" s="23" t="s">
        <v>185</v>
      </c>
      <c r="N4" s="88" t="s">
        <v>27</v>
      </c>
      <c r="O4" s="145">
        <f>L4*60.3</f>
        <v>60.3</v>
      </c>
      <c r="P4" s="93"/>
      <c r="Q4" s="95">
        <v>44756</v>
      </c>
      <c r="R4" s="106" t="s">
        <v>336</v>
      </c>
      <c r="S4" s="75"/>
      <c r="T4" s="10" t="s">
        <v>25</v>
      </c>
      <c r="U4" s="11">
        <v>1</v>
      </c>
      <c r="V4" s="10" t="s">
        <v>142</v>
      </c>
      <c r="W4" s="12" t="s">
        <v>27</v>
      </c>
      <c r="X4" s="145">
        <f>U4*71</f>
        <v>71</v>
      </c>
      <c r="Y4" s="26"/>
      <c r="Z4" s="95">
        <v>44784</v>
      </c>
      <c r="AA4" s="23" t="s">
        <v>336</v>
      </c>
    </row>
    <row r="5" spans="1:27" x14ac:dyDescent="0.25">
      <c r="A5" s="75"/>
      <c r="B5" s="14" t="s">
        <v>25</v>
      </c>
      <c r="C5" s="12">
        <v>1</v>
      </c>
      <c r="D5" s="14" t="s">
        <v>30</v>
      </c>
      <c r="E5" s="12" t="s">
        <v>27</v>
      </c>
      <c r="F5" s="153">
        <f>C5*68</f>
        <v>68</v>
      </c>
      <c r="G5" s="96"/>
      <c r="H5" s="95">
        <v>44817</v>
      </c>
      <c r="I5" s="23" t="s">
        <v>336</v>
      </c>
      <c r="J5" s="75"/>
      <c r="K5" s="23" t="s">
        <v>181</v>
      </c>
      <c r="L5" s="12">
        <v>1</v>
      </c>
      <c r="M5" s="23" t="s">
        <v>183</v>
      </c>
      <c r="N5" s="88" t="s">
        <v>27</v>
      </c>
      <c r="O5" s="145">
        <f>L5*83</f>
        <v>83</v>
      </c>
      <c r="P5" s="93"/>
      <c r="Q5" s="95">
        <v>44797</v>
      </c>
      <c r="R5" s="106" t="s">
        <v>336</v>
      </c>
      <c r="S5" s="75"/>
      <c r="T5" s="10" t="s">
        <v>25</v>
      </c>
      <c r="U5" s="11">
        <v>1</v>
      </c>
      <c r="V5" s="10" t="s">
        <v>144</v>
      </c>
      <c r="W5" s="12" t="s">
        <v>27</v>
      </c>
      <c r="X5" s="145">
        <f>U5*79</f>
        <v>79</v>
      </c>
      <c r="Y5" s="26"/>
      <c r="Z5" s="95">
        <v>44784</v>
      </c>
      <c r="AA5" s="23" t="s">
        <v>336</v>
      </c>
    </row>
    <row r="6" spans="1:27" x14ac:dyDescent="0.25">
      <c r="A6" s="75"/>
      <c r="B6" s="14" t="s">
        <v>25</v>
      </c>
      <c r="C6" s="12">
        <v>1</v>
      </c>
      <c r="D6" s="14" t="s">
        <v>39</v>
      </c>
      <c r="E6" s="12" t="s">
        <v>27</v>
      </c>
      <c r="F6" s="153">
        <f>C6*102</f>
        <v>102</v>
      </c>
      <c r="G6" s="153"/>
      <c r="H6" s="95">
        <v>44817</v>
      </c>
      <c r="I6" s="23" t="s">
        <v>336</v>
      </c>
      <c r="J6" s="75"/>
      <c r="K6" s="23" t="s">
        <v>181</v>
      </c>
      <c r="L6" s="12">
        <v>1</v>
      </c>
      <c r="M6" s="23" t="s">
        <v>182</v>
      </c>
      <c r="N6" s="88" t="s">
        <v>27</v>
      </c>
      <c r="O6" s="145">
        <f>L6*130</f>
        <v>130</v>
      </c>
      <c r="P6" s="145"/>
      <c r="Q6" s="95">
        <v>44817</v>
      </c>
      <c r="R6" s="106" t="s">
        <v>336</v>
      </c>
      <c r="S6" s="75"/>
      <c r="T6" s="10" t="s">
        <v>25</v>
      </c>
      <c r="U6" s="11">
        <v>1</v>
      </c>
      <c r="V6" s="10" t="s">
        <v>146</v>
      </c>
      <c r="W6" s="12" t="s">
        <v>27</v>
      </c>
      <c r="X6" s="149">
        <f>U6*130</f>
        <v>130</v>
      </c>
      <c r="Y6" s="22"/>
      <c r="Z6" s="95">
        <v>44784</v>
      </c>
      <c r="AA6" s="23" t="s">
        <v>336</v>
      </c>
    </row>
    <row r="7" spans="1:27" x14ac:dyDescent="0.25">
      <c r="A7" s="75"/>
      <c r="B7" s="14" t="s">
        <v>25</v>
      </c>
      <c r="C7" s="12">
        <v>1</v>
      </c>
      <c r="D7" s="14" t="s">
        <v>42</v>
      </c>
      <c r="E7" s="12" t="s">
        <v>27</v>
      </c>
      <c r="F7" s="153">
        <f>C7*138</f>
        <v>138</v>
      </c>
      <c r="G7" s="24"/>
      <c r="H7" s="95">
        <v>44817</v>
      </c>
      <c r="I7" s="23" t="s">
        <v>336</v>
      </c>
      <c r="J7" s="75"/>
      <c r="K7" s="23" t="s">
        <v>181</v>
      </c>
      <c r="L7" s="12">
        <v>1</v>
      </c>
      <c r="M7" s="23" t="s">
        <v>186</v>
      </c>
      <c r="N7" s="88" t="s">
        <v>27</v>
      </c>
      <c r="O7" s="149">
        <f>L7*182</f>
        <v>182</v>
      </c>
      <c r="P7" s="145"/>
      <c r="Q7" s="95">
        <v>44817</v>
      </c>
      <c r="R7" s="106" t="s">
        <v>336</v>
      </c>
      <c r="S7" s="75"/>
      <c r="T7" s="10" t="s">
        <v>25</v>
      </c>
      <c r="U7" s="11">
        <v>1</v>
      </c>
      <c r="V7" s="10" t="s">
        <v>148</v>
      </c>
      <c r="W7" s="12" t="s">
        <v>27</v>
      </c>
      <c r="X7" s="149">
        <f>U7*181</f>
        <v>181</v>
      </c>
      <c r="Y7" s="22"/>
      <c r="Z7" s="95">
        <v>44810</v>
      </c>
      <c r="AA7" s="23" t="s">
        <v>336</v>
      </c>
    </row>
    <row r="8" spans="1:27" x14ac:dyDescent="0.25">
      <c r="A8" s="75"/>
      <c r="B8" s="14" t="s">
        <v>25</v>
      </c>
      <c r="C8" s="12">
        <v>1</v>
      </c>
      <c r="D8" s="14" t="s">
        <v>44</v>
      </c>
      <c r="E8" s="12" t="s">
        <v>27</v>
      </c>
      <c r="F8" s="153">
        <f>C8*181</f>
        <v>181</v>
      </c>
      <c r="G8" s="24"/>
      <c r="H8" s="95">
        <v>44764</v>
      </c>
      <c r="I8" s="23" t="s">
        <v>336</v>
      </c>
      <c r="J8" s="75"/>
      <c r="K8" s="23" t="s">
        <v>181</v>
      </c>
      <c r="L8" s="12">
        <v>1</v>
      </c>
      <c r="M8" s="23" t="s">
        <v>187</v>
      </c>
      <c r="N8" s="88" t="s">
        <v>27</v>
      </c>
      <c r="O8" s="149">
        <f>L8*189</f>
        <v>189</v>
      </c>
      <c r="P8" s="145"/>
      <c r="Q8" s="95">
        <v>44764</v>
      </c>
      <c r="R8" s="106" t="s">
        <v>336</v>
      </c>
      <c r="S8" s="75"/>
      <c r="T8" s="10" t="s">
        <v>25</v>
      </c>
      <c r="U8" s="11">
        <v>1</v>
      </c>
      <c r="V8" s="10" t="s">
        <v>159</v>
      </c>
      <c r="W8" s="12" t="s">
        <v>27</v>
      </c>
      <c r="X8" s="149">
        <f>U8*263.7</f>
        <v>263.7</v>
      </c>
      <c r="Y8" s="22"/>
      <c r="Z8" s="95">
        <v>44671</v>
      </c>
      <c r="AA8" s="23" t="s">
        <v>336</v>
      </c>
    </row>
    <row r="9" spans="1:27" x14ac:dyDescent="0.25">
      <c r="A9" s="75"/>
      <c r="B9" s="14" t="s">
        <v>25</v>
      </c>
      <c r="C9" s="12">
        <v>1</v>
      </c>
      <c r="D9" s="14" t="s">
        <v>47</v>
      </c>
      <c r="E9" s="12" t="s">
        <v>27</v>
      </c>
      <c r="F9" s="153">
        <f>C9*210</f>
        <v>210</v>
      </c>
      <c r="G9" s="24"/>
      <c r="H9" s="95">
        <v>44817</v>
      </c>
      <c r="I9" s="23" t="s">
        <v>336</v>
      </c>
      <c r="J9" s="75"/>
      <c r="K9" s="23" t="s">
        <v>181</v>
      </c>
      <c r="L9" s="12">
        <v>1</v>
      </c>
      <c r="M9" s="23" t="s">
        <v>188</v>
      </c>
      <c r="N9" s="88" t="s">
        <v>27</v>
      </c>
      <c r="O9" s="149">
        <f>L9*227</f>
        <v>227</v>
      </c>
      <c r="P9" s="145"/>
      <c r="Q9" s="95">
        <v>44817</v>
      </c>
      <c r="R9" s="106" t="s">
        <v>336</v>
      </c>
      <c r="S9" s="75"/>
      <c r="T9" s="10" t="s">
        <v>25</v>
      </c>
      <c r="U9" s="11">
        <v>1</v>
      </c>
      <c r="V9" s="10" t="s">
        <v>161</v>
      </c>
      <c r="W9" s="12" t="s">
        <v>27</v>
      </c>
      <c r="X9" s="149">
        <f>U9*329.4</f>
        <v>329.4</v>
      </c>
      <c r="Y9" s="22"/>
      <c r="Z9" s="95">
        <v>44671</v>
      </c>
      <c r="AA9" s="23" t="s">
        <v>336</v>
      </c>
    </row>
    <row r="10" spans="1:27" x14ac:dyDescent="0.25">
      <c r="A10" s="75"/>
      <c r="B10" s="14" t="s">
        <v>25</v>
      </c>
      <c r="C10" s="12">
        <v>1</v>
      </c>
      <c r="D10" s="14" t="s">
        <v>50</v>
      </c>
      <c r="E10" s="12" t="s">
        <v>27</v>
      </c>
      <c r="F10" s="153">
        <f>C10*397</f>
        <v>397</v>
      </c>
      <c r="G10" s="153"/>
      <c r="H10" s="95">
        <v>44797</v>
      </c>
      <c r="I10" s="23" t="s">
        <v>336</v>
      </c>
      <c r="J10" s="75"/>
      <c r="K10" s="23" t="s">
        <v>181</v>
      </c>
      <c r="L10" s="12">
        <v>1</v>
      </c>
      <c r="M10" s="23" t="s">
        <v>189</v>
      </c>
      <c r="N10" s="88" t="s">
        <v>27</v>
      </c>
      <c r="O10" s="111">
        <f>L10*414</f>
        <v>414</v>
      </c>
      <c r="P10" s="93"/>
      <c r="Q10" s="95">
        <v>44756</v>
      </c>
      <c r="R10" s="106" t="s">
        <v>336</v>
      </c>
      <c r="S10" s="75"/>
      <c r="T10" s="10" t="s">
        <v>25</v>
      </c>
      <c r="U10" s="11">
        <v>1</v>
      </c>
      <c r="V10" s="10" t="s">
        <v>163</v>
      </c>
      <c r="W10" s="12" t="s">
        <v>27</v>
      </c>
      <c r="X10" s="111">
        <f>U10*527</f>
        <v>527</v>
      </c>
      <c r="Y10" s="26"/>
      <c r="Z10" s="95">
        <v>44784</v>
      </c>
      <c r="AA10" s="23" t="s">
        <v>336</v>
      </c>
    </row>
    <row r="11" spans="1:27" x14ac:dyDescent="0.25">
      <c r="A11" s="75"/>
      <c r="B11" s="14" t="s">
        <v>25</v>
      </c>
      <c r="C11" s="12">
        <v>1</v>
      </c>
      <c r="D11" s="14" t="s">
        <v>52</v>
      </c>
      <c r="E11" s="12" t="s">
        <v>27</v>
      </c>
      <c r="F11" s="153">
        <f>C11*617</f>
        <v>617</v>
      </c>
      <c r="G11" s="96"/>
      <c r="H11" s="95">
        <v>44797</v>
      </c>
      <c r="I11" s="23" t="s">
        <v>336</v>
      </c>
      <c r="J11" s="75"/>
      <c r="K11" s="23" t="s">
        <v>181</v>
      </c>
      <c r="L11" s="12">
        <v>1</v>
      </c>
      <c r="M11" s="23" t="s">
        <v>190</v>
      </c>
      <c r="N11" s="88" t="s">
        <v>27</v>
      </c>
      <c r="O11" s="149">
        <f>L11*720</f>
        <v>720</v>
      </c>
      <c r="P11" s="93"/>
      <c r="Q11" s="95">
        <v>44764</v>
      </c>
      <c r="R11" s="106" t="s">
        <v>336</v>
      </c>
      <c r="S11" s="75"/>
      <c r="T11" s="10" t="s">
        <v>25</v>
      </c>
      <c r="U11" s="11">
        <v>1</v>
      </c>
      <c r="V11" s="10" t="s">
        <v>165</v>
      </c>
      <c r="W11" s="12" t="s">
        <v>27</v>
      </c>
      <c r="X11" s="149">
        <f>U11*823.5</f>
        <v>823.5</v>
      </c>
      <c r="Y11" s="26"/>
      <c r="Z11" s="95">
        <v>44671</v>
      </c>
      <c r="AA11" s="23" t="s">
        <v>336</v>
      </c>
    </row>
    <row r="12" spans="1:27" x14ac:dyDescent="0.25">
      <c r="A12" s="75"/>
      <c r="B12" s="14" t="s">
        <v>25</v>
      </c>
      <c r="C12" s="12">
        <v>1</v>
      </c>
      <c r="D12" s="14" t="s">
        <v>55</v>
      </c>
      <c r="E12" s="12" t="s">
        <v>27</v>
      </c>
      <c r="F12" s="96">
        <f>C12*964</f>
        <v>964</v>
      </c>
      <c r="G12" s="13"/>
      <c r="H12" s="95">
        <v>44757</v>
      </c>
      <c r="I12" s="23" t="s">
        <v>336</v>
      </c>
      <c r="J12" s="75"/>
      <c r="K12" s="23" t="s">
        <v>181</v>
      </c>
      <c r="L12" s="12">
        <v>1</v>
      </c>
      <c r="M12" s="23" t="s">
        <v>191</v>
      </c>
      <c r="N12" s="88" t="s">
        <v>27</v>
      </c>
      <c r="O12" s="92">
        <v>1145</v>
      </c>
      <c r="P12" s="93"/>
      <c r="Q12" s="95">
        <v>44740</v>
      </c>
      <c r="R12" s="106" t="s">
        <v>336</v>
      </c>
      <c r="S12" s="75"/>
      <c r="T12" s="10" t="s">
        <v>25</v>
      </c>
      <c r="U12" s="11">
        <v>1</v>
      </c>
      <c r="V12" s="10" t="s">
        <v>167</v>
      </c>
      <c r="W12" s="12" t="s">
        <v>27</v>
      </c>
      <c r="X12" s="111">
        <f>U12*1285.2</f>
        <v>1285.2</v>
      </c>
      <c r="Y12" s="26"/>
      <c r="Z12" s="95">
        <v>44671</v>
      </c>
      <c r="AA12" s="23" t="s">
        <v>336</v>
      </c>
    </row>
    <row r="13" spans="1:27" x14ac:dyDescent="0.25">
      <c r="A13" s="75"/>
      <c r="B13" s="14" t="s">
        <v>25</v>
      </c>
      <c r="C13" s="12">
        <v>1</v>
      </c>
      <c r="D13" s="14" t="s">
        <v>58</v>
      </c>
      <c r="E13" s="12" t="s">
        <v>27</v>
      </c>
      <c r="F13" s="96">
        <f>C13*975</f>
        <v>975</v>
      </c>
      <c r="G13" s="96"/>
      <c r="H13" s="95">
        <v>44757</v>
      </c>
      <c r="I13" s="23" t="s">
        <v>336</v>
      </c>
      <c r="J13" s="75"/>
      <c r="K13" s="23" t="s">
        <v>181</v>
      </c>
      <c r="L13" s="12">
        <v>1</v>
      </c>
      <c r="M13" s="23" t="s">
        <v>192</v>
      </c>
      <c r="N13" s="88" t="s">
        <v>27</v>
      </c>
      <c r="O13" s="92">
        <f>L13*1450</f>
        <v>1450</v>
      </c>
      <c r="P13" s="93"/>
      <c r="Q13" s="95">
        <v>44757</v>
      </c>
      <c r="R13" s="106" t="s">
        <v>336</v>
      </c>
      <c r="S13" s="75"/>
      <c r="T13" s="10" t="s">
        <v>25</v>
      </c>
      <c r="U13" s="11">
        <v>1</v>
      </c>
      <c r="V13" s="10" t="s">
        <v>169</v>
      </c>
      <c r="W13" s="12" t="s">
        <v>27</v>
      </c>
      <c r="X13" s="92">
        <f>U13*1325</f>
        <v>1325</v>
      </c>
      <c r="Y13" s="26"/>
      <c r="Z13" s="95">
        <v>44671</v>
      </c>
      <c r="AA13" s="23" t="s">
        <v>336</v>
      </c>
    </row>
    <row r="14" spans="1:27" x14ac:dyDescent="0.25">
      <c r="A14" s="75"/>
      <c r="B14" s="14" t="s">
        <v>25</v>
      </c>
      <c r="C14" s="12">
        <v>1</v>
      </c>
      <c r="D14" s="14" t="s">
        <v>60</v>
      </c>
      <c r="E14" s="12" t="s">
        <v>27</v>
      </c>
      <c r="F14" s="153">
        <f>C14*1220</f>
        <v>1220</v>
      </c>
      <c r="G14" s="13"/>
      <c r="H14" s="95">
        <v>44743</v>
      </c>
      <c r="I14" s="23" t="s">
        <v>336</v>
      </c>
      <c r="J14" s="75"/>
      <c r="K14" s="23" t="s">
        <v>181</v>
      </c>
      <c r="L14" s="12">
        <v>1</v>
      </c>
      <c r="M14" s="23" t="s">
        <v>193</v>
      </c>
      <c r="N14" s="88" t="s">
        <v>27</v>
      </c>
      <c r="O14" s="149">
        <f>L14*2250</f>
        <v>2250</v>
      </c>
      <c r="P14" s="93"/>
      <c r="Q14" s="95">
        <v>44757</v>
      </c>
      <c r="R14" s="106" t="s">
        <v>336</v>
      </c>
      <c r="S14" s="75"/>
      <c r="T14" s="10" t="s">
        <v>25</v>
      </c>
      <c r="U14" s="11">
        <v>1</v>
      </c>
      <c r="V14" s="10" t="s">
        <v>171</v>
      </c>
      <c r="W14" s="12" t="s">
        <v>27</v>
      </c>
      <c r="X14" s="149">
        <f>U14*1830</f>
        <v>1830</v>
      </c>
      <c r="Y14" s="26"/>
      <c r="Z14" s="95">
        <v>44671</v>
      </c>
      <c r="AA14" s="23" t="s">
        <v>336</v>
      </c>
    </row>
    <row r="15" spans="1:27" x14ac:dyDescent="0.25">
      <c r="A15" s="75"/>
      <c r="B15" s="14" t="s">
        <v>25</v>
      </c>
      <c r="C15" s="12">
        <v>1</v>
      </c>
      <c r="D15" s="14" t="s">
        <v>63</v>
      </c>
      <c r="E15" s="12" t="s">
        <v>27</v>
      </c>
      <c r="F15" s="96">
        <f>C15*1400</f>
        <v>1400</v>
      </c>
      <c r="G15" s="13"/>
      <c r="H15" s="95">
        <v>44750</v>
      </c>
      <c r="I15" s="23" t="s">
        <v>336</v>
      </c>
      <c r="J15" s="75"/>
      <c r="K15" s="23" t="s">
        <v>181</v>
      </c>
      <c r="L15" s="12">
        <v>1</v>
      </c>
      <c r="M15" s="23" t="s">
        <v>194</v>
      </c>
      <c r="N15" s="88" t="s">
        <v>27</v>
      </c>
      <c r="O15" s="92">
        <f>L15*3100</f>
        <v>3100</v>
      </c>
      <c r="P15" s="93"/>
      <c r="Q15" s="95">
        <v>44750</v>
      </c>
      <c r="R15" s="106" t="s">
        <v>336</v>
      </c>
      <c r="S15" s="75"/>
      <c r="T15" s="10" t="s">
        <v>25</v>
      </c>
      <c r="U15" s="11">
        <v>1</v>
      </c>
      <c r="V15" s="10" t="s">
        <v>173</v>
      </c>
      <c r="W15" s="12" t="s">
        <v>27</v>
      </c>
      <c r="X15" s="92">
        <f>U15*2025</f>
        <v>2025</v>
      </c>
      <c r="Y15" s="26"/>
      <c r="Z15" s="95">
        <v>44671</v>
      </c>
      <c r="AA15" s="23" t="s">
        <v>336</v>
      </c>
    </row>
    <row r="16" spans="1:27" x14ac:dyDescent="0.25">
      <c r="A16" s="75"/>
      <c r="B16" s="14" t="s">
        <v>25</v>
      </c>
      <c r="C16" s="12">
        <v>1</v>
      </c>
      <c r="D16" s="14" t="s">
        <v>66</v>
      </c>
      <c r="E16" s="12" t="s">
        <v>27</v>
      </c>
      <c r="F16" s="96">
        <f>C16*1810</f>
        <v>1810</v>
      </c>
      <c r="G16" s="13"/>
      <c r="H16" s="95">
        <v>44823</v>
      </c>
      <c r="I16" s="23" t="s">
        <v>336</v>
      </c>
      <c r="J16" s="75"/>
      <c r="K16" s="23" t="s">
        <v>181</v>
      </c>
      <c r="L16" s="12">
        <v>1</v>
      </c>
      <c r="M16" s="23" t="s">
        <v>195</v>
      </c>
      <c r="N16" s="88" t="s">
        <v>27</v>
      </c>
      <c r="O16" s="92">
        <f>L16*3575</f>
        <v>3575</v>
      </c>
      <c r="P16" s="93"/>
      <c r="Q16" s="95">
        <v>44823</v>
      </c>
      <c r="R16" s="106" t="s">
        <v>336</v>
      </c>
      <c r="S16" s="75"/>
      <c r="T16" s="10" t="s">
        <v>25</v>
      </c>
      <c r="U16" s="11">
        <v>1</v>
      </c>
      <c r="V16" s="10" t="s">
        <v>175</v>
      </c>
      <c r="W16" s="12" t="s">
        <v>27</v>
      </c>
      <c r="X16" s="92">
        <f>U16*2505</f>
        <v>2505</v>
      </c>
      <c r="Y16" s="26"/>
      <c r="Z16" s="95">
        <v>44671</v>
      </c>
      <c r="AA16" s="23" t="s">
        <v>336</v>
      </c>
    </row>
    <row r="17" spans="1:27" x14ac:dyDescent="0.25">
      <c r="A17" s="75"/>
      <c r="B17" s="14" t="s">
        <v>25</v>
      </c>
      <c r="C17" s="12">
        <v>1</v>
      </c>
      <c r="D17" s="14" t="s">
        <v>69</v>
      </c>
      <c r="E17" s="12" t="s">
        <v>27</v>
      </c>
      <c r="F17" s="96">
        <f>C17*2650</f>
        <v>2650</v>
      </c>
      <c r="G17" s="96"/>
      <c r="H17" s="95">
        <v>44810</v>
      </c>
      <c r="I17" s="23" t="s">
        <v>336</v>
      </c>
      <c r="J17" s="75"/>
      <c r="K17" s="23" t="s">
        <v>181</v>
      </c>
      <c r="L17" s="12">
        <v>1</v>
      </c>
      <c r="M17" s="23" t="s">
        <v>196</v>
      </c>
      <c r="N17" s="88" t="s">
        <v>27</v>
      </c>
      <c r="O17" s="92">
        <f>L17*5175</f>
        <v>5175</v>
      </c>
      <c r="P17" s="93"/>
      <c r="Q17" s="95">
        <v>44810</v>
      </c>
      <c r="R17" s="106" t="s">
        <v>336</v>
      </c>
      <c r="S17" s="75"/>
      <c r="T17" s="10" t="s">
        <v>25</v>
      </c>
      <c r="U17" s="11">
        <v>1</v>
      </c>
      <c r="V17" s="10" t="s">
        <v>177</v>
      </c>
      <c r="W17" s="12" t="s">
        <v>27</v>
      </c>
      <c r="X17" s="92">
        <f>U17*3710</f>
        <v>3710</v>
      </c>
      <c r="Y17" s="26"/>
      <c r="Z17" s="95">
        <v>44810</v>
      </c>
      <c r="AA17" s="23" t="s">
        <v>336</v>
      </c>
    </row>
    <row r="18" spans="1:27" x14ac:dyDescent="0.25">
      <c r="A18" s="75"/>
      <c r="B18" s="14" t="s">
        <v>25</v>
      </c>
      <c r="C18" s="12">
        <v>1</v>
      </c>
      <c r="D18" s="14" t="s">
        <v>71</v>
      </c>
      <c r="E18" s="12" t="s">
        <v>27</v>
      </c>
      <c r="F18" s="96"/>
      <c r="G18" s="13"/>
      <c r="H18" s="95"/>
      <c r="I18" s="23"/>
      <c r="J18" s="75"/>
      <c r="K18" s="14" t="s">
        <v>181</v>
      </c>
      <c r="L18" s="12">
        <v>1</v>
      </c>
      <c r="M18" s="14" t="s">
        <v>197</v>
      </c>
      <c r="N18" s="12" t="s">
        <v>27</v>
      </c>
      <c r="O18" s="92"/>
      <c r="P18" s="26"/>
      <c r="Q18" s="95"/>
      <c r="R18" s="23"/>
      <c r="S18" s="75"/>
      <c r="T18" s="10" t="s">
        <v>25</v>
      </c>
      <c r="U18" s="11">
        <v>1</v>
      </c>
      <c r="V18" s="10" t="s">
        <v>179</v>
      </c>
      <c r="W18" s="12" t="s">
        <v>27</v>
      </c>
      <c r="X18" s="92"/>
      <c r="Y18" s="26"/>
      <c r="Z18" s="95"/>
      <c r="AA18" s="23"/>
    </row>
    <row r="19" spans="1:27" ht="19.899999999999999" customHeight="1" x14ac:dyDescent="0.35">
      <c r="A19" s="75"/>
      <c r="B19" s="578" t="s">
        <v>278</v>
      </c>
      <c r="C19" s="578"/>
      <c r="D19" s="578"/>
      <c r="E19" s="578"/>
      <c r="F19" s="578"/>
      <c r="G19" s="578"/>
      <c r="H19" s="578"/>
      <c r="I19" s="578"/>
      <c r="J19" s="75"/>
      <c r="K19" s="578" t="s">
        <v>247</v>
      </c>
      <c r="L19" s="578"/>
      <c r="M19" s="578"/>
      <c r="N19" s="578"/>
      <c r="O19" s="578"/>
      <c r="P19" s="578"/>
      <c r="Q19" s="578"/>
      <c r="R19" s="578"/>
      <c r="S19" s="75"/>
      <c r="T19" s="579" t="s">
        <v>279</v>
      </c>
      <c r="U19" s="580"/>
      <c r="V19" s="580"/>
      <c r="W19" s="580"/>
      <c r="X19" s="580"/>
      <c r="Y19" s="580"/>
      <c r="Z19" s="580"/>
      <c r="AA19" s="581"/>
    </row>
    <row r="20" spans="1:27" x14ac:dyDescent="0.25">
      <c r="A20" s="75"/>
      <c r="B20" s="10" t="s">
        <v>31</v>
      </c>
      <c r="C20" s="11">
        <v>1</v>
      </c>
      <c r="D20" s="10" t="s">
        <v>37</v>
      </c>
      <c r="E20" s="12" t="s">
        <v>32</v>
      </c>
      <c r="F20" s="145">
        <f>C20*6</f>
        <v>6</v>
      </c>
      <c r="G20" s="50"/>
      <c r="H20" s="95">
        <v>44764</v>
      </c>
      <c r="I20" s="23" t="s">
        <v>336</v>
      </c>
      <c r="J20" s="75"/>
      <c r="K20" s="10" t="s">
        <v>28</v>
      </c>
      <c r="L20" s="11">
        <v>1</v>
      </c>
      <c r="M20" s="10" t="s">
        <v>36</v>
      </c>
      <c r="N20" s="12" t="s">
        <v>29</v>
      </c>
      <c r="O20" s="149">
        <f>L20*15</f>
        <v>15</v>
      </c>
      <c r="P20" s="145"/>
      <c r="Q20" s="95">
        <v>44817</v>
      </c>
      <c r="R20" s="23" t="s">
        <v>336</v>
      </c>
      <c r="S20" s="75"/>
      <c r="T20" s="10" t="s">
        <v>28</v>
      </c>
      <c r="U20" s="11">
        <v>1</v>
      </c>
      <c r="V20" s="10" t="s">
        <v>141</v>
      </c>
      <c r="W20" s="12" t="s">
        <v>29</v>
      </c>
      <c r="X20" s="149">
        <f>U20*28</f>
        <v>28</v>
      </c>
      <c r="Y20" s="53"/>
      <c r="Z20" s="95">
        <v>44767</v>
      </c>
      <c r="AA20" s="23" t="s">
        <v>336</v>
      </c>
    </row>
    <row r="21" spans="1:27" x14ac:dyDescent="0.25">
      <c r="A21" s="75"/>
      <c r="B21" s="10" t="s">
        <v>31</v>
      </c>
      <c r="C21" s="11">
        <v>1</v>
      </c>
      <c r="D21" s="10" t="s">
        <v>135</v>
      </c>
      <c r="E21" s="12" t="s">
        <v>32</v>
      </c>
      <c r="F21" s="145">
        <f>C21*7</f>
        <v>7</v>
      </c>
      <c r="G21" s="50"/>
      <c r="H21" s="95">
        <v>44764</v>
      </c>
      <c r="I21" s="23" t="s">
        <v>336</v>
      </c>
      <c r="J21" s="75"/>
      <c r="K21" s="10" t="s">
        <v>28</v>
      </c>
      <c r="L21" s="11">
        <v>1</v>
      </c>
      <c r="M21" s="10" t="s">
        <v>34</v>
      </c>
      <c r="N21" s="12" t="s">
        <v>29</v>
      </c>
      <c r="O21" s="149">
        <f>L21*21</f>
        <v>21</v>
      </c>
      <c r="P21" s="53"/>
      <c r="Q21" s="95">
        <v>44756</v>
      </c>
      <c r="R21" s="23" t="s">
        <v>336</v>
      </c>
      <c r="S21" s="75"/>
      <c r="T21" s="10" t="s">
        <v>28</v>
      </c>
      <c r="U21" s="11">
        <v>1</v>
      </c>
      <c r="V21" s="10" t="s">
        <v>143</v>
      </c>
      <c r="W21" s="12" t="s">
        <v>29</v>
      </c>
      <c r="X21" s="149">
        <f>U21*33</f>
        <v>33</v>
      </c>
      <c r="Y21" s="53"/>
      <c r="Z21" s="95">
        <v>44489</v>
      </c>
      <c r="AA21" s="23" t="s">
        <v>336</v>
      </c>
    </row>
    <row r="22" spans="1:27" x14ac:dyDescent="0.25">
      <c r="A22" s="75"/>
      <c r="B22" s="10" t="s">
        <v>31</v>
      </c>
      <c r="C22" s="11">
        <v>1</v>
      </c>
      <c r="D22" s="10" t="s">
        <v>38</v>
      </c>
      <c r="E22" s="12" t="s">
        <v>32</v>
      </c>
      <c r="F22" s="149">
        <f>C22*9</f>
        <v>9</v>
      </c>
      <c r="G22" s="53"/>
      <c r="H22" s="95">
        <v>44797</v>
      </c>
      <c r="I22" s="23" t="s">
        <v>336</v>
      </c>
      <c r="J22" s="75"/>
      <c r="K22" s="10" t="s">
        <v>28</v>
      </c>
      <c r="L22" s="11">
        <v>1</v>
      </c>
      <c r="M22" s="10" t="s">
        <v>35</v>
      </c>
      <c r="N22" s="12" t="s">
        <v>29</v>
      </c>
      <c r="O22" s="149">
        <f>L22*29</f>
        <v>29</v>
      </c>
      <c r="P22" s="145"/>
      <c r="Q22" s="95">
        <v>44817</v>
      </c>
      <c r="R22" s="23" t="s">
        <v>336</v>
      </c>
      <c r="S22" s="75"/>
      <c r="T22" s="10" t="s">
        <v>28</v>
      </c>
      <c r="U22" s="11">
        <v>1</v>
      </c>
      <c r="V22" s="10" t="s">
        <v>145</v>
      </c>
      <c r="W22" s="12" t="s">
        <v>29</v>
      </c>
      <c r="X22" s="149">
        <f>U22*53</f>
        <v>53</v>
      </c>
      <c r="Y22" s="53"/>
      <c r="Z22" s="95">
        <v>44797</v>
      </c>
      <c r="AA22" s="23" t="s">
        <v>336</v>
      </c>
    </row>
    <row r="23" spans="1:27" x14ac:dyDescent="0.25">
      <c r="A23" s="75"/>
      <c r="B23" s="10" t="s">
        <v>31</v>
      </c>
      <c r="C23" s="11">
        <v>1</v>
      </c>
      <c r="D23" s="10" t="s">
        <v>41</v>
      </c>
      <c r="E23" s="12" t="s">
        <v>32</v>
      </c>
      <c r="F23" s="149">
        <f>C23*24</f>
        <v>24</v>
      </c>
      <c r="G23" s="145"/>
      <c r="H23" s="95">
        <v>44756</v>
      </c>
      <c r="I23" s="23" t="s">
        <v>336</v>
      </c>
      <c r="J23" s="75"/>
      <c r="K23" s="10" t="s">
        <v>28</v>
      </c>
      <c r="L23" s="11">
        <v>1</v>
      </c>
      <c r="M23" s="10" t="s">
        <v>40</v>
      </c>
      <c r="N23" s="12" t="s">
        <v>29</v>
      </c>
      <c r="O23" s="149">
        <f>L23*59</f>
        <v>59</v>
      </c>
      <c r="P23" s="145"/>
      <c r="Q23" s="95">
        <v>44817</v>
      </c>
      <c r="R23" s="23" t="s">
        <v>336</v>
      </c>
      <c r="S23" s="75"/>
      <c r="T23" s="10" t="s">
        <v>28</v>
      </c>
      <c r="U23" s="11">
        <v>1</v>
      </c>
      <c r="V23" s="10" t="s">
        <v>147</v>
      </c>
      <c r="W23" s="12" t="s">
        <v>29</v>
      </c>
      <c r="X23" s="149">
        <f>U23*117</f>
        <v>117</v>
      </c>
      <c r="Y23" s="53"/>
      <c r="Z23" s="95">
        <v>44767</v>
      </c>
      <c r="AA23" s="23" t="s">
        <v>336</v>
      </c>
    </row>
    <row r="24" spans="1:27" x14ac:dyDescent="0.25">
      <c r="A24" s="75"/>
      <c r="B24" s="10" t="s">
        <v>31</v>
      </c>
      <c r="C24" s="11">
        <v>1</v>
      </c>
      <c r="D24" s="10" t="s">
        <v>136</v>
      </c>
      <c r="E24" s="12" t="s">
        <v>32</v>
      </c>
      <c r="F24" s="149">
        <f>C24*44</f>
        <v>44</v>
      </c>
      <c r="G24" s="145"/>
      <c r="H24" s="95">
        <v>44799</v>
      </c>
      <c r="I24" s="23" t="s">
        <v>336</v>
      </c>
      <c r="J24" s="75"/>
      <c r="K24" s="10" t="s">
        <v>28</v>
      </c>
      <c r="L24" s="11">
        <v>1</v>
      </c>
      <c r="M24" s="10" t="s">
        <v>43</v>
      </c>
      <c r="N24" s="12" t="s">
        <v>29</v>
      </c>
      <c r="O24" s="149">
        <f>L24*84</f>
        <v>84</v>
      </c>
      <c r="P24" s="53"/>
      <c r="Q24" s="95">
        <v>44817</v>
      </c>
      <c r="R24" s="23" t="s">
        <v>336</v>
      </c>
      <c r="S24" s="75"/>
      <c r="T24" s="10" t="s">
        <v>28</v>
      </c>
      <c r="U24" s="11">
        <v>1</v>
      </c>
      <c r="V24" s="10" t="s">
        <v>149</v>
      </c>
      <c r="W24" s="12" t="s">
        <v>29</v>
      </c>
      <c r="X24" s="149">
        <f>U24*152</f>
        <v>152</v>
      </c>
      <c r="Y24" s="53"/>
      <c r="Z24" s="95">
        <v>44797</v>
      </c>
      <c r="AA24" s="23" t="s">
        <v>336</v>
      </c>
    </row>
    <row r="25" spans="1:27" x14ac:dyDescent="0.25">
      <c r="A25" s="75"/>
      <c r="B25" s="10" t="s">
        <v>31</v>
      </c>
      <c r="C25" s="11">
        <v>1</v>
      </c>
      <c r="D25" s="10" t="s">
        <v>46</v>
      </c>
      <c r="E25" s="12" t="s">
        <v>32</v>
      </c>
      <c r="F25" s="149">
        <f>C25*153</f>
        <v>153</v>
      </c>
      <c r="G25" s="50"/>
      <c r="H25" s="95">
        <v>44764</v>
      </c>
      <c r="I25" s="23" t="s">
        <v>336</v>
      </c>
      <c r="J25" s="75"/>
      <c r="K25" s="10" t="s">
        <v>28</v>
      </c>
      <c r="L25" s="11">
        <v>1</v>
      </c>
      <c r="M25" s="10" t="s">
        <v>45</v>
      </c>
      <c r="N25" s="12" t="s">
        <v>29</v>
      </c>
      <c r="O25" s="111">
        <f>L25*108</f>
        <v>108</v>
      </c>
      <c r="P25" s="50"/>
      <c r="Q25" s="95">
        <v>44797</v>
      </c>
      <c r="R25" s="23" t="s">
        <v>336</v>
      </c>
      <c r="S25" s="75"/>
      <c r="T25" s="10" t="s">
        <v>28</v>
      </c>
      <c r="U25" s="11">
        <v>1</v>
      </c>
      <c r="V25" s="10" t="s">
        <v>160</v>
      </c>
      <c r="W25" s="12" t="s">
        <v>29</v>
      </c>
      <c r="X25" s="111"/>
      <c r="Y25" s="50"/>
      <c r="Z25" s="95"/>
      <c r="AA25" s="23" t="s">
        <v>336</v>
      </c>
    </row>
    <row r="26" spans="1:27" x14ac:dyDescent="0.25">
      <c r="A26" s="75"/>
      <c r="B26" s="10" t="s">
        <v>31</v>
      </c>
      <c r="C26" s="11">
        <v>1</v>
      </c>
      <c r="D26" s="10" t="s">
        <v>49</v>
      </c>
      <c r="E26" s="12" t="s">
        <v>32</v>
      </c>
      <c r="F26" s="92">
        <f>C26*126</f>
        <v>126</v>
      </c>
      <c r="G26" s="50"/>
      <c r="H26" s="95">
        <v>44756</v>
      </c>
      <c r="I26" s="23" t="s">
        <v>336</v>
      </c>
      <c r="J26" s="75"/>
      <c r="K26" s="10" t="s">
        <v>28</v>
      </c>
      <c r="L26" s="11">
        <v>1</v>
      </c>
      <c r="M26" s="10" t="s">
        <v>48</v>
      </c>
      <c r="N26" s="12" t="s">
        <v>29</v>
      </c>
      <c r="O26" s="145">
        <f>L26*146</f>
        <v>146</v>
      </c>
      <c r="P26" s="50"/>
      <c r="Q26" s="95">
        <v>44817</v>
      </c>
      <c r="R26" s="23" t="s">
        <v>336</v>
      </c>
      <c r="S26" s="75"/>
      <c r="T26" s="10" t="s">
        <v>28</v>
      </c>
      <c r="U26" s="11">
        <v>1</v>
      </c>
      <c r="V26" s="10" t="s">
        <v>162</v>
      </c>
      <c r="W26" s="12" t="s">
        <v>29</v>
      </c>
      <c r="X26" s="145">
        <f>U26*333</f>
        <v>333</v>
      </c>
      <c r="Y26" s="50"/>
      <c r="Z26" s="95">
        <v>44797</v>
      </c>
      <c r="AA26" s="23" t="s">
        <v>336</v>
      </c>
    </row>
    <row r="27" spans="1:27" x14ac:dyDescent="0.25">
      <c r="A27" s="75"/>
      <c r="B27" s="10" t="s">
        <v>31</v>
      </c>
      <c r="C27" s="11">
        <v>1</v>
      </c>
      <c r="D27" s="10" t="s">
        <v>137</v>
      </c>
      <c r="E27" s="12" t="s">
        <v>32</v>
      </c>
      <c r="F27" s="149">
        <f>C27*260</f>
        <v>260</v>
      </c>
      <c r="G27" s="50"/>
      <c r="H27" s="95">
        <v>44756</v>
      </c>
      <c r="I27" s="23" t="s">
        <v>336</v>
      </c>
      <c r="J27" s="75"/>
      <c r="K27" s="10" t="s">
        <v>28</v>
      </c>
      <c r="L27" s="11">
        <v>1</v>
      </c>
      <c r="M27" s="10" t="s">
        <v>51</v>
      </c>
      <c r="N27" s="12" t="s">
        <v>29</v>
      </c>
      <c r="O27" s="145">
        <f>L27*200</f>
        <v>200</v>
      </c>
      <c r="P27" s="93"/>
      <c r="Q27" s="95">
        <v>44797</v>
      </c>
      <c r="R27" s="23" t="s">
        <v>336</v>
      </c>
      <c r="S27" s="75"/>
      <c r="T27" s="10" t="s">
        <v>28</v>
      </c>
      <c r="U27" s="11">
        <v>1</v>
      </c>
      <c r="V27" s="10" t="s">
        <v>164</v>
      </c>
      <c r="W27" s="12" t="s">
        <v>29</v>
      </c>
      <c r="X27" s="145">
        <f>U27*281</f>
        <v>281</v>
      </c>
      <c r="Y27" s="50"/>
      <c r="Z27" s="95">
        <v>44489</v>
      </c>
      <c r="AA27" s="23" t="s">
        <v>336</v>
      </c>
    </row>
    <row r="28" spans="1:27" x14ac:dyDescent="0.25">
      <c r="A28" s="75"/>
      <c r="B28" s="10" t="s">
        <v>31</v>
      </c>
      <c r="C28" s="11">
        <v>1</v>
      </c>
      <c r="D28" s="10" t="s">
        <v>54</v>
      </c>
      <c r="E28" s="12" t="s">
        <v>32</v>
      </c>
      <c r="F28" s="92">
        <f>C28*542</f>
        <v>542</v>
      </c>
      <c r="G28" s="50"/>
      <c r="H28" s="95">
        <v>44764</v>
      </c>
      <c r="I28" s="23" t="s">
        <v>336</v>
      </c>
      <c r="J28" s="75"/>
      <c r="K28" s="10" t="s">
        <v>28</v>
      </c>
      <c r="L28" s="11">
        <v>1</v>
      </c>
      <c r="M28" s="10" t="s">
        <v>53</v>
      </c>
      <c r="N28" s="12" t="s">
        <v>29</v>
      </c>
      <c r="O28" s="149">
        <f>L28*296</f>
        <v>296</v>
      </c>
      <c r="P28" s="93"/>
      <c r="Q28" s="95">
        <v>44797</v>
      </c>
      <c r="R28" s="23" t="s">
        <v>336</v>
      </c>
      <c r="S28" s="75"/>
      <c r="T28" s="10" t="s">
        <v>28</v>
      </c>
      <c r="U28" s="11">
        <v>1</v>
      </c>
      <c r="V28" s="10" t="s">
        <v>166</v>
      </c>
      <c r="W28" s="12" t="s">
        <v>29</v>
      </c>
      <c r="X28" s="149">
        <f>U28*355</f>
        <v>355</v>
      </c>
      <c r="Y28" s="50"/>
      <c r="Z28" s="95">
        <v>44489</v>
      </c>
      <c r="AA28" s="23" t="s">
        <v>336</v>
      </c>
    </row>
    <row r="29" spans="1:27" x14ac:dyDescent="0.25">
      <c r="A29" s="75"/>
      <c r="B29" s="10" t="s">
        <v>31</v>
      </c>
      <c r="C29" s="11">
        <v>1</v>
      </c>
      <c r="D29" s="10" t="s">
        <v>57</v>
      </c>
      <c r="E29" s="12" t="s">
        <v>32</v>
      </c>
      <c r="F29" s="92">
        <f>C29*446</f>
        <v>446</v>
      </c>
      <c r="G29" s="93"/>
      <c r="H29" s="95">
        <v>44743</v>
      </c>
      <c r="I29" s="23" t="s">
        <v>336</v>
      </c>
      <c r="J29" s="75"/>
      <c r="K29" s="10" t="s">
        <v>28</v>
      </c>
      <c r="L29" s="11">
        <v>1</v>
      </c>
      <c r="M29" s="10" t="s">
        <v>56</v>
      </c>
      <c r="N29" s="12" t="s">
        <v>29</v>
      </c>
      <c r="O29" s="111">
        <f>L29*377</f>
        <v>377</v>
      </c>
      <c r="P29" s="93"/>
      <c r="Q29" s="95">
        <v>44756</v>
      </c>
      <c r="R29" s="23" t="s">
        <v>336</v>
      </c>
      <c r="S29" s="75"/>
      <c r="T29" s="10" t="s">
        <v>28</v>
      </c>
      <c r="U29" s="11">
        <v>1</v>
      </c>
      <c r="V29" s="10" t="s">
        <v>168</v>
      </c>
      <c r="W29" s="12" t="s">
        <v>29</v>
      </c>
      <c r="X29" s="92">
        <f>U29*408</f>
        <v>408</v>
      </c>
      <c r="Y29" s="50"/>
      <c r="Z29" s="95">
        <v>44489</v>
      </c>
      <c r="AA29" s="23" t="s">
        <v>336</v>
      </c>
    </row>
    <row r="30" spans="1:27" x14ac:dyDescent="0.25">
      <c r="A30" s="75"/>
      <c r="B30" s="10" t="s">
        <v>31</v>
      </c>
      <c r="C30" s="11">
        <v>1</v>
      </c>
      <c r="D30" s="10" t="s">
        <v>138</v>
      </c>
      <c r="E30" s="12" t="s">
        <v>32</v>
      </c>
      <c r="F30" s="568" t="s">
        <v>282</v>
      </c>
      <c r="G30" s="569"/>
      <c r="H30" s="569"/>
      <c r="I30" s="570"/>
      <c r="J30" s="75"/>
      <c r="K30" s="10" t="s">
        <v>399</v>
      </c>
      <c r="L30" s="11">
        <v>1</v>
      </c>
      <c r="M30" s="10" t="s">
        <v>405</v>
      </c>
      <c r="N30" s="12" t="s">
        <v>84</v>
      </c>
      <c r="O30" s="568" t="s">
        <v>283</v>
      </c>
      <c r="P30" s="569"/>
      <c r="Q30" s="569"/>
      <c r="R30" s="570"/>
      <c r="S30" s="75"/>
      <c r="T30" s="10" t="s">
        <v>399</v>
      </c>
      <c r="U30" s="11">
        <v>1</v>
      </c>
      <c r="V30" s="10" t="s">
        <v>408</v>
      </c>
      <c r="W30" s="12" t="s">
        <v>84</v>
      </c>
      <c r="X30" s="568" t="s">
        <v>283</v>
      </c>
      <c r="Y30" s="569"/>
      <c r="Z30" s="569"/>
      <c r="AA30" s="570"/>
    </row>
    <row r="31" spans="1:27" x14ac:dyDescent="0.25">
      <c r="A31" s="75"/>
      <c r="B31" s="10" t="s">
        <v>31</v>
      </c>
      <c r="C31" s="11">
        <v>1</v>
      </c>
      <c r="D31" s="10" t="s">
        <v>62</v>
      </c>
      <c r="E31" s="12" t="s">
        <v>32</v>
      </c>
      <c r="F31" s="571"/>
      <c r="G31" s="572"/>
      <c r="H31" s="572"/>
      <c r="I31" s="573"/>
      <c r="J31" s="75"/>
      <c r="K31" s="10" t="s">
        <v>400</v>
      </c>
      <c r="L31" s="11">
        <v>1</v>
      </c>
      <c r="M31" s="10" t="s">
        <v>406</v>
      </c>
      <c r="N31" s="12" t="s">
        <v>84</v>
      </c>
      <c r="O31" s="571"/>
      <c r="P31" s="572"/>
      <c r="Q31" s="572"/>
      <c r="R31" s="573"/>
      <c r="S31" s="75"/>
      <c r="T31" s="10" t="s">
        <v>400</v>
      </c>
      <c r="U31" s="11">
        <v>1</v>
      </c>
      <c r="V31" s="10" t="s">
        <v>409</v>
      </c>
      <c r="W31" s="12" t="s">
        <v>84</v>
      </c>
      <c r="X31" s="571"/>
      <c r="Y31" s="572"/>
      <c r="Z31" s="572"/>
      <c r="AA31" s="573"/>
    </row>
    <row r="32" spans="1:27" x14ac:dyDescent="0.25">
      <c r="A32" s="75"/>
      <c r="B32" s="10" t="s">
        <v>31</v>
      </c>
      <c r="C32" s="11">
        <v>1</v>
      </c>
      <c r="D32" s="10" t="s">
        <v>65</v>
      </c>
      <c r="E32" s="12" t="s">
        <v>32</v>
      </c>
      <c r="F32" s="571"/>
      <c r="G32" s="572"/>
      <c r="H32" s="572"/>
      <c r="I32" s="573"/>
      <c r="J32" s="75"/>
      <c r="K32" s="10" t="s">
        <v>401</v>
      </c>
      <c r="L32" s="11">
        <v>1</v>
      </c>
      <c r="M32" s="10" t="s">
        <v>407</v>
      </c>
      <c r="N32" s="12" t="s">
        <v>84</v>
      </c>
      <c r="O32" s="571"/>
      <c r="P32" s="572"/>
      <c r="Q32" s="572"/>
      <c r="R32" s="573"/>
      <c r="S32" s="75"/>
      <c r="T32" s="10" t="s">
        <v>401</v>
      </c>
      <c r="U32" s="11">
        <v>1</v>
      </c>
      <c r="V32" s="10" t="s">
        <v>410</v>
      </c>
      <c r="W32" s="12" t="s">
        <v>84</v>
      </c>
      <c r="X32" s="571"/>
      <c r="Y32" s="572"/>
      <c r="Z32" s="572"/>
      <c r="AA32" s="573"/>
    </row>
    <row r="33" spans="1:27" x14ac:dyDescent="0.25">
      <c r="A33" s="75"/>
      <c r="B33" s="10" t="s">
        <v>31</v>
      </c>
      <c r="C33" s="11">
        <v>1</v>
      </c>
      <c r="D33" s="10" t="s">
        <v>68</v>
      </c>
      <c r="E33" s="12" t="s">
        <v>32</v>
      </c>
      <c r="F33" s="571"/>
      <c r="G33" s="572"/>
      <c r="H33" s="572"/>
      <c r="I33" s="573"/>
      <c r="J33" s="75"/>
      <c r="K33" s="10" t="s">
        <v>402</v>
      </c>
      <c r="L33" s="11">
        <v>1</v>
      </c>
      <c r="M33" s="10" t="s">
        <v>121</v>
      </c>
      <c r="N33" s="12" t="s">
        <v>84</v>
      </c>
      <c r="O33" s="571"/>
      <c r="P33" s="572"/>
      <c r="Q33" s="572"/>
      <c r="R33" s="573"/>
      <c r="S33" s="75"/>
      <c r="T33" s="10" t="s">
        <v>402</v>
      </c>
      <c r="U33" s="11">
        <v>1</v>
      </c>
      <c r="V33" s="10" t="s">
        <v>411</v>
      </c>
      <c r="W33" s="12" t="s">
        <v>84</v>
      </c>
      <c r="X33" s="571"/>
      <c r="Y33" s="572"/>
      <c r="Z33" s="572"/>
      <c r="AA33" s="573"/>
    </row>
    <row r="34" spans="1:27" x14ac:dyDescent="0.25">
      <c r="A34" s="75"/>
      <c r="B34" s="10" t="s">
        <v>31</v>
      </c>
      <c r="C34" s="11">
        <v>1</v>
      </c>
      <c r="D34" s="10" t="s">
        <v>139</v>
      </c>
      <c r="E34" s="12" t="s">
        <v>32</v>
      </c>
      <c r="F34" s="571"/>
      <c r="G34" s="572"/>
      <c r="H34" s="572"/>
      <c r="I34" s="573"/>
      <c r="J34" s="75"/>
      <c r="K34" s="10" t="s">
        <v>403</v>
      </c>
      <c r="L34" s="11">
        <v>1</v>
      </c>
      <c r="M34" s="10" t="s">
        <v>100</v>
      </c>
      <c r="N34" s="12" t="s">
        <v>84</v>
      </c>
      <c r="O34" s="571"/>
      <c r="P34" s="572"/>
      <c r="Q34" s="572"/>
      <c r="R34" s="573"/>
      <c r="S34" s="75"/>
      <c r="T34" s="10" t="s">
        <v>403</v>
      </c>
      <c r="U34" s="11">
        <v>1</v>
      </c>
      <c r="V34" s="10" t="s">
        <v>412</v>
      </c>
      <c r="W34" s="12" t="s">
        <v>84</v>
      </c>
      <c r="X34" s="571"/>
      <c r="Y34" s="572"/>
      <c r="Z34" s="572"/>
      <c r="AA34" s="573"/>
    </row>
    <row r="35" spans="1:27" x14ac:dyDescent="0.25">
      <c r="A35" s="75"/>
      <c r="B35" s="10" t="s">
        <v>31</v>
      </c>
      <c r="C35" s="11">
        <v>1</v>
      </c>
      <c r="D35" s="10" t="s">
        <v>73</v>
      </c>
      <c r="E35" s="12" t="s">
        <v>32</v>
      </c>
      <c r="F35" s="574"/>
      <c r="G35" s="575"/>
      <c r="H35" s="575"/>
      <c r="I35" s="576"/>
      <c r="J35" s="75"/>
      <c r="K35" s="10" t="s">
        <v>404</v>
      </c>
      <c r="L35" s="11">
        <v>1</v>
      </c>
      <c r="M35" s="10" t="s">
        <v>122</v>
      </c>
      <c r="N35" s="12" t="s">
        <v>84</v>
      </c>
      <c r="O35" s="574"/>
      <c r="P35" s="575"/>
      <c r="Q35" s="575"/>
      <c r="R35" s="576"/>
      <c r="S35" s="75"/>
      <c r="T35" s="10" t="s">
        <v>404</v>
      </c>
      <c r="U35" s="11">
        <v>1</v>
      </c>
      <c r="V35" s="10" t="s">
        <v>413</v>
      </c>
      <c r="W35" s="12" t="s">
        <v>84</v>
      </c>
      <c r="X35" s="574"/>
      <c r="Y35" s="575"/>
      <c r="Z35" s="575"/>
      <c r="AA35" s="576"/>
    </row>
    <row r="36" spans="1:27" ht="19.899999999999999" customHeight="1" x14ac:dyDescent="0.35">
      <c r="A36" s="75"/>
      <c r="B36" s="579" t="s">
        <v>248</v>
      </c>
      <c r="C36" s="580"/>
      <c r="D36" s="580"/>
      <c r="E36" s="580"/>
      <c r="F36" s="580"/>
      <c r="G36" s="580"/>
      <c r="H36" s="580"/>
      <c r="I36" s="581"/>
      <c r="J36" s="75"/>
      <c r="K36" s="579" t="s">
        <v>280</v>
      </c>
      <c r="L36" s="580"/>
      <c r="M36" s="580"/>
      <c r="N36" s="580"/>
      <c r="O36" s="580"/>
      <c r="P36" s="580"/>
      <c r="Q36" s="580"/>
      <c r="R36" s="581"/>
      <c r="S36" s="75"/>
      <c r="T36" s="579" t="s">
        <v>281</v>
      </c>
      <c r="U36" s="580"/>
      <c r="V36" s="580"/>
      <c r="W36" s="580"/>
      <c r="X36" s="580"/>
      <c r="Y36" s="580"/>
      <c r="Z36" s="580"/>
      <c r="AA36" s="581"/>
    </row>
    <row r="37" spans="1:27" x14ac:dyDescent="0.25">
      <c r="A37" s="75"/>
      <c r="B37" s="10" t="s">
        <v>28</v>
      </c>
      <c r="C37" s="11">
        <v>1</v>
      </c>
      <c r="D37" s="10" t="s">
        <v>36</v>
      </c>
      <c r="E37" s="12" t="s">
        <v>273</v>
      </c>
      <c r="F37" s="149">
        <f>C37*32</f>
        <v>32</v>
      </c>
      <c r="G37" s="53"/>
      <c r="H37" s="95">
        <v>44755</v>
      </c>
      <c r="I37" s="23" t="s">
        <v>336</v>
      </c>
      <c r="J37" s="75"/>
      <c r="K37" s="10" t="s">
        <v>28</v>
      </c>
      <c r="L37" s="11">
        <v>1</v>
      </c>
      <c r="M37" s="10" t="s">
        <v>141</v>
      </c>
      <c r="N37" s="12" t="s">
        <v>273</v>
      </c>
      <c r="O37" s="145">
        <f>L37*32</f>
        <v>32</v>
      </c>
      <c r="P37" s="93"/>
      <c r="Q37" s="95">
        <v>44742</v>
      </c>
      <c r="R37" s="23" t="s">
        <v>336</v>
      </c>
      <c r="S37" s="75"/>
      <c r="T37" s="10" t="s">
        <v>198</v>
      </c>
      <c r="U37" s="11">
        <v>1</v>
      </c>
      <c r="V37" s="10" t="s">
        <v>199</v>
      </c>
      <c r="W37" s="11" t="s">
        <v>27</v>
      </c>
      <c r="X37" s="92"/>
      <c r="Y37" s="94"/>
      <c r="Z37" s="95"/>
      <c r="AA37" s="16"/>
    </row>
    <row r="38" spans="1:27" x14ac:dyDescent="0.25">
      <c r="A38" s="75"/>
      <c r="B38" s="10" t="s">
        <v>28</v>
      </c>
      <c r="C38" s="11">
        <v>1</v>
      </c>
      <c r="D38" s="10" t="s">
        <v>34</v>
      </c>
      <c r="E38" s="12" t="s">
        <v>273</v>
      </c>
      <c r="F38" s="149">
        <f>C38*47</f>
        <v>47</v>
      </c>
      <c r="G38" s="53"/>
      <c r="H38" s="95">
        <v>44755</v>
      </c>
      <c r="I38" s="23" t="s">
        <v>336</v>
      </c>
      <c r="J38" s="75"/>
      <c r="K38" s="10" t="s">
        <v>28</v>
      </c>
      <c r="L38" s="11">
        <v>1</v>
      </c>
      <c r="M38" s="10" t="s">
        <v>143</v>
      </c>
      <c r="N38" s="12" t="s">
        <v>273</v>
      </c>
      <c r="O38" s="145"/>
      <c r="P38" s="93"/>
      <c r="Q38" s="95"/>
      <c r="R38" s="23" t="s">
        <v>336</v>
      </c>
      <c r="S38" s="75"/>
      <c r="T38" s="14" t="s">
        <v>198</v>
      </c>
      <c r="U38" s="12">
        <v>1</v>
      </c>
      <c r="V38" s="10" t="s">
        <v>200</v>
      </c>
      <c r="W38" s="12" t="s">
        <v>27</v>
      </c>
      <c r="X38" s="92"/>
      <c r="Y38" s="50"/>
      <c r="Z38" s="95"/>
      <c r="AA38" s="13"/>
    </row>
    <row r="39" spans="1:27" x14ac:dyDescent="0.25">
      <c r="A39" s="75"/>
      <c r="B39" s="10" t="s">
        <v>28</v>
      </c>
      <c r="C39" s="11">
        <v>1</v>
      </c>
      <c r="D39" s="10" t="s">
        <v>35</v>
      </c>
      <c r="E39" s="12" t="s">
        <v>273</v>
      </c>
      <c r="F39" s="149">
        <f>C39*62</f>
        <v>62</v>
      </c>
      <c r="G39" s="53"/>
      <c r="H39" s="95">
        <v>44755</v>
      </c>
      <c r="I39" s="23" t="s">
        <v>336</v>
      </c>
      <c r="J39" s="75"/>
      <c r="K39" s="10" t="s">
        <v>28</v>
      </c>
      <c r="L39" s="11">
        <v>1</v>
      </c>
      <c r="M39" s="10" t="s">
        <v>145</v>
      </c>
      <c r="N39" s="12" t="s">
        <v>273</v>
      </c>
      <c r="O39" s="145">
        <f>L39*31</f>
        <v>31</v>
      </c>
      <c r="P39" s="145"/>
      <c r="Q39" s="95">
        <v>44742</v>
      </c>
      <c r="R39" s="23" t="s">
        <v>336</v>
      </c>
      <c r="S39" s="75"/>
      <c r="T39" s="14" t="s">
        <v>198</v>
      </c>
      <c r="U39" s="12">
        <v>1</v>
      </c>
      <c r="V39" s="10" t="s">
        <v>201</v>
      </c>
      <c r="W39" s="12" t="s">
        <v>27</v>
      </c>
      <c r="X39" s="92"/>
      <c r="Y39" s="50"/>
      <c r="Z39" s="95"/>
      <c r="AA39" s="13"/>
    </row>
    <row r="40" spans="1:27" x14ac:dyDescent="0.25">
      <c r="A40" s="75"/>
      <c r="B40" s="10" t="s">
        <v>28</v>
      </c>
      <c r="C40" s="11">
        <v>1</v>
      </c>
      <c r="D40" s="10" t="s">
        <v>40</v>
      </c>
      <c r="E40" s="12" t="s">
        <v>273</v>
      </c>
      <c r="F40" s="149">
        <f>C40*120</f>
        <v>120</v>
      </c>
      <c r="G40" s="53"/>
      <c r="H40" s="95">
        <v>44755</v>
      </c>
      <c r="I40" s="23" t="s">
        <v>336</v>
      </c>
      <c r="J40" s="75"/>
      <c r="K40" s="10" t="s">
        <v>28</v>
      </c>
      <c r="L40" s="11">
        <v>1</v>
      </c>
      <c r="M40" s="10" t="s">
        <v>147</v>
      </c>
      <c r="N40" s="12" t="s">
        <v>273</v>
      </c>
      <c r="O40" s="149">
        <f>L40*112</f>
        <v>112</v>
      </c>
      <c r="P40" s="145"/>
      <c r="Q40" s="95">
        <v>44742</v>
      </c>
      <c r="R40" s="23" t="s">
        <v>336</v>
      </c>
      <c r="S40" s="75"/>
      <c r="T40" s="14" t="s">
        <v>198</v>
      </c>
      <c r="U40" s="12">
        <v>1</v>
      </c>
      <c r="V40" s="10" t="s">
        <v>202</v>
      </c>
      <c r="W40" s="12" t="s">
        <v>27</v>
      </c>
      <c r="X40" s="92">
        <v>3</v>
      </c>
      <c r="Y40" s="50"/>
      <c r="Z40" s="95">
        <v>44797</v>
      </c>
      <c r="AA40" s="13" t="s">
        <v>336</v>
      </c>
    </row>
    <row r="41" spans="1:27" x14ac:dyDescent="0.25">
      <c r="A41" s="75"/>
      <c r="B41" s="10" t="s">
        <v>28</v>
      </c>
      <c r="C41" s="11">
        <v>1</v>
      </c>
      <c r="D41" s="10" t="s">
        <v>43</v>
      </c>
      <c r="E41" s="12" t="s">
        <v>273</v>
      </c>
      <c r="F41" s="149">
        <f>C41*173</f>
        <v>173</v>
      </c>
      <c r="G41" s="53"/>
      <c r="H41" s="95">
        <v>44755</v>
      </c>
      <c r="I41" s="23" t="s">
        <v>336</v>
      </c>
      <c r="J41" s="75"/>
      <c r="K41" s="10" t="s">
        <v>28</v>
      </c>
      <c r="L41" s="11">
        <v>1</v>
      </c>
      <c r="M41" s="10" t="s">
        <v>149</v>
      </c>
      <c r="N41" s="12" t="s">
        <v>273</v>
      </c>
      <c r="O41" s="149">
        <f>L41*90</f>
        <v>90</v>
      </c>
      <c r="P41" s="53"/>
      <c r="Q41" s="95">
        <v>44454</v>
      </c>
      <c r="R41" s="23" t="s">
        <v>336</v>
      </c>
      <c r="S41" s="75"/>
      <c r="T41" s="14" t="s">
        <v>198</v>
      </c>
      <c r="U41" s="12">
        <v>1</v>
      </c>
      <c r="V41" s="10" t="s">
        <v>203</v>
      </c>
      <c r="W41" s="12" t="s">
        <v>27</v>
      </c>
      <c r="X41" s="111">
        <f>U41*5.09</f>
        <v>5.09</v>
      </c>
      <c r="Y41" s="50"/>
      <c r="Z41" s="95">
        <v>44756</v>
      </c>
      <c r="AA41" s="13" t="s">
        <v>336</v>
      </c>
    </row>
    <row r="42" spans="1:27" x14ac:dyDescent="0.25">
      <c r="A42" s="75"/>
      <c r="B42" s="10" t="s">
        <v>28</v>
      </c>
      <c r="C42" s="11">
        <v>1</v>
      </c>
      <c r="D42" s="10" t="s">
        <v>45</v>
      </c>
      <c r="E42" s="12" t="s">
        <v>273</v>
      </c>
      <c r="F42" s="111"/>
      <c r="G42" s="50"/>
      <c r="H42" s="95"/>
      <c r="I42" s="23" t="s">
        <v>336</v>
      </c>
      <c r="J42" s="75"/>
      <c r="K42" s="10" t="s">
        <v>28</v>
      </c>
      <c r="L42" s="11">
        <v>1</v>
      </c>
      <c r="M42" s="10" t="s">
        <v>160</v>
      </c>
      <c r="N42" s="12" t="s">
        <v>273</v>
      </c>
      <c r="O42" s="145"/>
      <c r="P42" s="50"/>
      <c r="Q42" s="95"/>
      <c r="R42" s="23" t="s">
        <v>336</v>
      </c>
      <c r="S42" s="75"/>
      <c r="T42" s="14" t="s">
        <v>198</v>
      </c>
      <c r="U42" s="12">
        <v>1</v>
      </c>
      <c r="V42" s="10" t="s">
        <v>204</v>
      </c>
      <c r="W42" s="12" t="s">
        <v>27</v>
      </c>
      <c r="X42" s="92">
        <f>U42*9</f>
        <v>9</v>
      </c>
      <c r="Y42" s="50"/>
      <c r="Z42" s="95">
        <v>44756</v>
      </c>
      <c r="AA42" s="13" t="s">
        <v>336</v>
      </c>
    </row>
    <row r="43" spans="1:27" x14ac:dyDescent="0.25">
      <c r="A43" s="75"/>
      <c r="B43" s="10" t="s">
        <v>28</v>
      </c>
      <c r="C43" s="11">
        <v>1</v>
      </c>
      <c r="D43" s="10" t="s">
        <v>48</v>
      </c>
      <c r="E43" s="12" t="s">
        <v>273</v>
      </c>
      <c r="F43" s="145">
        <f>C43*309</f>
        <v>309</v>
      </c>
      <c r="G43" s="50"/>
      <c r="H43" s="95">
        <v>44755</v>
      </c>
      <c r="I43" s="23" t="s">
        <v>336</v>
      </c>
      <c r="J43" s="75"/>
      <c r="K43" s="10" t="s">
        <v>28</v>
      </c>
      <c r="L43" s="11">
        <v>1</v>
      </c>
      <c r="M43" s="10" t="s">
        <v>162</v>
      </c>
      <c r="N43" s="12" t="s">
        <v>273</v>
      </c>
      <c r="O43" s="92"/>
      <c r="P43" s="50"/>
      <c r="Q43" s="95"/>
      <c r="R43" s="23" t="s">
        <v>336</v>
      </c>
      <c r="S43" s="75"/>
      <c r="T43" s="14" t="s">
        <v>198</v>
      </c>
      <c r="U43" s="12">
        <v>1</v>
      </c>
      <c r="V43" s="10" t="s">
        <v>232</v>
      </c>
      <c r="W43" s="12" t="s">
        <v>27</v>
      </c>
      <c r="X43" s="92">
        <f>U43*27</f>
        <v>27</v>
      </c>
      <c r="Y43" s="50"/>
      <c r="Z43" s="95">
        <v>44797</v>
      </c>
      <c r="AA43" s="13" t="s">
        <v>336</v>
      </c>
    </row>
    <row r="44" spans="1:27" x14ac:dyDescent="0.25">
      <c r="A44" s="75"/>
      <c r="B44" s="10" t="s">
        <v>28</v>
      </c>
      <c r="C44" s="11">
        <v>1</v>
      </c>
      <c r="D44" s="10" t="s">
        <v>51</v>
      </c>
      <c r="E44" s="12" t="s">
        <v>273</v>
      </c>
      <c r="F44" s="145">
        <f>C44*542</f>
        <v>542</v>
      </c>
      <c r="G44" s="50"/>
      <c r="H44" s="95">
        <v>44755</v>
      </c>
      <c r="I44" s="23" t="s">
        <v>336</v>
      </c>
      <c r="J44" s="75"/>
      <c r="K44" s="10" t="s">
        <v>28</v>
      </c>
      <c r="L44" s="11">
        <v>1</v>
      </c>
      <c r="M44" s="10" t="s">
        <v>164</v>
      </c>
      <c r="N44" s="12" t="s">
        <v>273</v>
      </c>
      <c r="O44" s="145">
        <f>L44*267</f>
        <v>267</v>
      </c>
      <c r="P44" s="50"/>
      <c r="Q44" s="95">
        <v>44454</v>
      </c>
      <c r="R44" s="23" t="s">
        <v>336</v>
      </c>
      <c r="S44" s="75"/>
      <c r="T44" s="10"/>
      <c r="U44" s="11"/>
      <c r="V44" s="10"/>
      <c r="W44" s="12"/>
      <c r="X44" s="145"/>
      <c r="Y44" s="26"/>
      <c r="Z44" s="57"/>
      <c r="AA44" s="23"/>
    </row>
    <row r="45" spans="1:27" x14ac:dyDescent="0.25">
      <c r="A45" s="75"/>
      <c r="B45" s="10" t="s">
        <v>28</v>
      </c>
      <c r="C45" s="11">
        <v>1</v>
      </c>
      <c r="D45" s="10" t="s">
        <v>53</v>
      </c>
      <c r="E45" s="12" t="s">
        <v>273</v>
      </c>
      <c r="F45" s="149">
        <f>C45*599</f>
        <v>599</v>
      </c>
      <c r="G45" s="50"/>
      <c r="H45" s="95">
        <v>44764</v>
      </c>
      <c r="I45" s="23" t="s">
        <v>336</v>
      </c>
      <c r="J45" s="75"/>
      <c r="K45" s="10" t="s">
        <v>28</v>
      </c>
      <c r="L45" s="11">
        <v>1</v>
      </c>
      <c r="M45" s="10" t="s">
        <v>166</v>
      </c>
      <c r="N45" s="12" t="s">
        <v>273</v>
      </c>
      <c r="O45" s="92"/>
      <c r="P45" s="50"/>
      <c r="Q45" s="95"/>
      <c r="R45" s="23" t="s">
        <v>336</v>
      </c>
      <c r="S45" s="75"/>
      <c r="T45" s="10"/>
      <c r="U45" s="11"/>
      <c r="V45" s="10"/>
      <c r="W45" s="12"/>
      <c r="X45" s="92"/>
      <c r="Y45" s="26"/>
      <c r="Z45" s="57"/>
      <c r="AA45" s="23"/>
    </row>
    <row r="46" spans="1:27" x14ac:dyDescent="0.25">
      <c r="A46" s="75"/>
      <c r="B46" s="10" t="s">
        <v>28</v>
      </c>
      <c r="C46" s="11">
        <v>1</v>
      </c>
      <c r="D46" s="10" t="s">
        <v>56</v>
      </c>
      <c r="E46" s="12" t="s">
        <v>273</v>
      </c>
      <c r="F46" s="92"/>
      <c r="G46" s="50"/>
      <c r="H46" s="95"/>
      <c r="I46" s="23" t="s">
        <v>336</v>
      </c>
      <c r="J46" s="75"/>
      <c r="K46" s="10" t="s">
        <v>28</v>
      </c>
      <c r="L46" s="11">
        <v>1</v>
      </c>
      <c r="M46" s="10" t="s">
        <v>168</v>
      </c>
      <c r="N46" s="12" t="s">
        <v>273</v>
      </c>
      <c r="O46" s="92"/>
      <c r="P46" s="50"/>
      <c r="Q46" s="95"/>
      <c r="R46" s="23" t="s">
        <v>336</v>
      </c>
      <c r="S46" s="75"/>
      <c r="T46" s="10"/>
      <c r="U46" s="11"/>
      <c r="V46" s="10"/>
      <c r="W46" s="12"/>
      <c r="X46" s="92"/>
      <c r="Y46" s="26"/>
      <c r="Z46" s="57"/>
      <c r="AA46" s="23"/>
    </row>
    <row r="47" spans="1:27" x14ac:dyDescent="0.25">
      <c r="A47" s="75"/>
      <c r="B47" s="10" t="s">
        <v>28</v>
      </c>
      <c r="C47" s="11">
        <v>1</v>
      </c>
      <c r="D47" s="10" t="s">
        <v>59</v>
      </c>
      <c r="E47" s="12" t="s">
        <v>273</v>
      </c>
      <c r="F47" s="568" t="s">
        <v>283</v>
      </c>
      <c r="G47" s="569"/>
      <c r="H47" s="569"/>
      <c r="I47" s="570"/>
      <c r="J47" s="75"/>
      <c r="K47" s="10" t="s">
        <v>28</v>
      </c>
      <c r="L47" s="11">
        <v>1</v>
      </c>
      <c r="M47" s="10" t="s">
        <v>170</v>
      </c>
      <c r="N47" s="12" t="s">
        <v>273</v>
      </c>
      <c r="O47" s="568" t="s">
        <v>283</v>
      </c>
      <c r="P47" s="569"/>
      <c r="Q47" s="569"/>
      <c r="R47" s="570"/>
      <c r="S47" s="75"/>
      <c r="T47" s="10"/>
      <c r="U47" s="11"/>
      <c r="V47" s="10"/>
      <c r="W47" s="12"/>
      <c r="X47" s="92"/>
      <c r="Y47" s="26"/>
      <c r="Z47" s="57"/>
      <c r="AA47" s="23"/>
    </row>
    <row r="48" spans="1:27" x14ac:dyDescent="0.25">
      <c r="A48" s="75"/>
      <c r="B48" s="10" t="s">
        <v>28</v>
      </c>
      <c r="C48" s="11">
        <v>1</v>
      </c>
      <c r="D48" s="10" t="s">
        <v>61</v>
      </c>
      <c r="E48" s="12" t="s">
        <v>273</v>
      </c>
      <c r="F48" s="571"/>
      <c r="G48" s="572"/>
      <c r="H48" s="572"/>
      <c r="I48" s="573"/>
      <c r="J48" s="75"/>
      <c r="K48" s="10" t="s">
        <v>28</v>
      </c>
      <c r="L48" s="11">
        <v>1</v>
      </c>
      <c r="M48" s="10" t="s">
        <v>172</v>
      </c>
      <c r="N48" s="12" t="s">
        <v>273</v>
      </c>
      <c r="O48" s="571"/>
      <c r="P48" s="572"/>
      <c r="Q48" s="572"/>
      <c r="R48" s="573"/>
      <c r="S48" s="75"/>
      <c r="T48" s="10"/>
      <c r="U48" s="11"/>
      <c r="V48" s="10"/>
      <c r="W48" s="12"/>
      <c r="X48" s="92"/>
      <c r="Y48" s="26"/>
      <c r="Z48" s="57"/>
      <c r="AA48" s="23"/>
    </row>
    <row r="49" spans="1:27" x14ac:dyDescent="0.25">
      <c r="A49" s="75"/>
      <c r="B49" s="10" t="s">
        <v>28</v>
      </c>
      <c r="C49" s="11">
        <v>1</v>
      </c>
      <c r="D49" s="10" t="s">
        <v>64</v>
      </c>
      <c r="E49" s="12" t="s">
        <v>273</v>
      </c>
      <c r="F49" s="571"/>
      <c r="G49" s="572"/>
      <c r="H49" s="572"/>
      <c r="I49" s="573"/>
      <c r="J49" s="75"/>
      <c r="K49" s="10" t="s">
        <v>28</v>
      </c>
      <c r="L49" s="11">
        <v>1</v>
      </c>
      <c r="M49" s="10" t="s">
        <v>174</v>
      </c>
      <c r="N49" s="12" t="s">
        <v>273</v>
      </c>
      <c r="O49" s="571"/>
      <c r="P49" s="572"/>
      <c r="Q49" s="572"/>
      <c r="R49" s="573"/>
      <c r="S49" s="75"/>
      <c r="T49" s="10"/>
      <c r="U49" s="11"/>
      <c r="V49" s="10"/>
      <c r="W49" s="12"/>
      <c r="X49" s="92"/>
      <c r="Y49" s="26"/>
      <c r="Z49" s="57"/>
      <c r="AA49" s="23"/>
    </row>
    <row r="50" spans="1:27" x14ac:dyDescent="0.25">
      <c r="A50" s="75"/>
      <c r="B50" s="10" t="s">
        <v>28</v>
      </c>
      <c r="C50" s="11">
        <v>1</v>
      </c>
      <c r="D50" s="10" t="s">
        <v>67</v>
      </c>
      <c r="E50" s="12" t="s">
        <v>273</v>
      </c>
      <c r="F50" s="571"/>
      <c r="G50" s="572"/>
      <c r="H50" s="572"/>
      <c r="I50" s="573"/>
      <c r="J50" s="75"/>
      <c r="K50" s="10" t="s">
        <v>28</v>
      </c>
      <c r="L50" s="11">
        <v>1</v>
      </c>
      <c r="M50" s="10" t="s">
        <v>176</v>
      </c>
      <c r="N50" s="12" t="s">
        <v>273</v>
      </c>
      <c r="O50" s="571"/>
      <c r="P50" s="572"/>
      <c r="Q50" s="572"/>
      <c r="R50" s="573"/>
      <c r="S50" s="75"/>
      <c r="T50" s="10"/>
      <c r="U50" s="11"/>
      <c r="V50" s="10"/>
      <c r="W50" s="12"/>
      <c r="X50" s="92"/>
      <c r="Y50" s="26"/>
      <c r="Z50" s="57"/>
      <c r="AA50" s="23"/>
    </row>
    <row r="51" spans="1:27" x14ac:dyDescent="0.25">
      <c r="A51" s="75"/>
      <c r="B51" s="10" t="s">
        <v>28</v>
      </c>
      <c r="C51" s="11">
        <v>1</v>
      </c>
      <c r="D51" s="10" t="s">
        <v>70</v>
      </c>
      <c r="E51" s="12" t="s">
        <v>273</v>
      </c>
      <c r="F51" s="571"/>
      <c r="G51" s="572"/>
      <c r="H51" s="572"/>
      <c r="I51" s="573"/>
      <c r="J51" s="75"/>
      <c r="K51" s="10" t="s">
        <v>28</v>
      </c>
      <c r="L51" s="11">
        <v>1</v>
      </c>
      <c r="M51" s="10" t="s">
        <v>178</v>
      </c>
      <c r="N51" s="12" t="s">
        <v>273</v>
      </c>
      <c r="O51" s="571"/>
      <c r="P51" s="572"/>
      <c r="Q51" s="572"/>
      <c r="R51" s="573"/>
      <c r="S51" s="75"/>
      <c r="T51" s="10"/>
      <c r="U51" s="11"/>
      <c r="V51" s="10"/>
      <c r="W51" s="12"/>
      <c r="X51" s="92"/>
      <c r="Y51" s="26"/>
      <c r="Z51" s="57"/>
      <c r="AA51" s="23"/>
    </row>
    <row r="52" spans="1:27" x14ac:dyDescent="0.25">
      <c r="A52" s="75"/>
      <c r="B52" s="10" t="s">
        <v>28</v>
      </c>
      <c r="C52" s="11">
        <v>1</v>
      </c>
      <c r="D52" s="10" t="s">
        <v>72</v>
      </c>
      <c r="E52" s="12" t="s">
        <v>273</v>
      </c>
      <c r="F52" s="574"/>
      <c r="G52" s="575"/>
      <c r="H52" s="575"/>
      <c r="I52" s="576"/>
      <c r="J52" s="75"/>
      <c r="K52" s="10" t="s">
        <v>28</v>
      </c>
      <c r="L52" s="11">
        <v>1</v>
      </c>
      <c r="M52" s="10" t="s">
        <v>180</v>
      </c>
      <c r="N52" s="12" t="s">
        <v>273</v>
      </c>
      <c r="O52" s="574"/>
      <c r="P52" s="575"/>
      <c r="Q52" s="575"/>
      <c r="R52" s="576"/>
      <c r="S52" s="75"/>
      <c r="T52" s="10"/>
      <c r="U52" s="11"/>
      <c r="V52" s="10"/>
      <c r="W52" s="12"/>
      <c r="X52" s="92"/>
      <c r="Y52" s="26"/>
      <c r="Z52" s="57"/>
      <c r="AA52" s="23"/>
    </row>
    <row r="53" spans="1:27" ht="25.15" customHeight="1" x14ac:dyDescent="0.35">
      <c r="A53" s="78"/>
      <c r="B53" s="597" t="s">
        <v>354</v>
      </c>
      <c r="C53" s="597"/>
      <c r="D53" s="597"/>
      <c r="E53" s="597"/>
      <c r="F53" s="597"/>
      <c r="G53" s="597"/>
      <c r="H53" s="597"/>
      <c r="I53" s="597"/>
      <c r="J53" s="78"/>
      <c r="K53" s="616" t="s">
        <v>335</v>
      </c>
      <c r="L53" s="614"/>
      <c r="M53" s="614"/>
      <c r="N53" s="614"/>
      <c r="O53" s="614"/>
      <c r="P53" s="614"/>
      <c r="Q53" s="614"/>
      <c r="R53" s="614"/>
      <c r="S53" s="78"/>
      <c r="T53" s="615"/>
      <c r="U53" s="617"/>
      <c r="V53" s="617"/>
      <c r="W53" s="617"/>
      <c r="X53" s="617"/>
      <c r="Y53" s="617"/>
      <c r="Z53" s="617"/>
      <c r="AA53" s="617"/>
    </row>
    <row r="54" spans="1:27" x14ac:dyDescent="0.25">
      <c r="A54" s="75"/>
      <c r="B54" s="10" t="s">
        <v>115</v>
      </c>
      <c r="C54" s="11">
        <v>1</v>
      </c>
      <c r="D54" s="10" t="s">
        <v>121</v>
      </c>
      <c r="E54" s="12" t="s">
        <v>84</v>
      </c>
      <c r="F54" s="149"/>
      <c r="G54" s="26"/>
      <c r="H54" s="58"/>
      <c r="I54" s="44"/>
      <c r="J54" s="75"/>
      <c r="K54" s="23" t="s">
        <v>270</v>
      </c>
      <c r="L54" s="12">
        <v>1</v>
      </c>
      <c r="M54" s="23" t="s">
        <v>422</v>
      </c>
      <c r="N54" s="12" t="s">
        <v>27</v>
      </c>
      <c r="O54" s="149">
        <f>L54*15</f>
        <v>15</v>
      </c>
      <c r="P54" s="26"/>
      <c r="Q54" s="95">
        <v>44651</v>
      </c>
      <c r="R54" s="13" t="s">
        <v>158</v>
      </c>
      <c r="S54" s="75"/>
      <c r="T54" s="14"/>
      <c r="U54" s="12"/>
      <c r="V54" s="10"/>
      <c r="W54" s="12"/>
      <c r="X54" s="145"/>
      <c r="Y54" s="26"/>
      <c r="Z54" s="58"/>
      <c r="AA54" s="44"/>
    </row>
    <row r="55" spans="1:27" x14ac:dyDescent="0.25">
      <c r="A55" s="75"/>
      <c r="B55" s="10" t="s">
        <v>116</v>
      </c>
      <c r="C55" s="11">
        <v>1</v>
      </c>
      <c r="D55" s="10" t="s">
        <v>97</v>
      </c>
      <c r="E55" s="12" t="s">
        <v>84</v>
      </c>
      <c r="F55" s="149"/>
      <c r="G55" s="26"/>
      <c r="H55" s="58"/>
      <c r="I55" s="44"/>
      <c r="J55" s="75"/>
      <c r="K55" s="10"/>
      <c r="L55" s="11"/>
      <c r="M55" s="10"/>
      <c r="N55" s="12"/>
      <c r="O55" s="92"/>
      <c r="P55" s="26"/>
      <c r="Q55" s="95"/>
      <c r="R55" s="44"/>
      <c r="S55" s="75"/>
      <c r="T55" s="14"/>
      <c r="U55" s="12"/>
      <c r="V55" s="10"/>
      <c r="W55" s="12"/>
      <c r="X55" s="145"/>
      <c r="Y55" s="26"/>
      <c r="Z55" s="58"/>
      <c r="AA55" s="44"/>
    </row>
    <row r="56" spans="1:27" x14ac:dyDescent="0.25">
      <c r="A56" s="75"/>
      <c r="B56" s="10" t="s">
        <v>117</v>
      </c>
      <c r="C56" s="11">
        <v>1</v>
      </c>
      <c r="D56" s="10" t="s">
        <v>97</v>
      </c>
      <c r="E56" s="12" t="s">
        <v>84</v>
      </c>
      <c r="F56" s="149"/>
      <c r="G56" s="22"/>
      <c r="H56" s="58"/>
      <c r="I56" s="44"/>
      <c r="J56" s="75"/>
      <c r="K56" s="10"/>
      <c r="L56" s="11"/>
      <c r="M56" s="10"/>
      <c r="N56" s="12"/>
      <c r="O56" s="149"/>
      <c r="P56" s="26"/>
      <c r="Q56" s="95"/>
      <c r="R56" s="23"/>
      <c r="S56" s="75"/>
      <c r="T56" s="14"/>
      <c r="U56" s="12"/>
      <c r="V56" s="10"/>
      <c r="W56" s="12"/>
      <c r="X56" s="145"/>
      <c r="Y56" s="26"/>
      <c r="Z56" s="58"/>
      <c r="AA56" s="44"/>
    </row>
    <row r="57" spans="1:27" x14ac:dyDescent="0.25">
      <c r="A57" s="75"/>
      <c r="B57" s="10" t="s">
        <v>99</v>
      </c>
      <c r="C57" s="11">
        <v>1</v>
      </c>
      <c r="D57" s="10" t="s">
        <v>242</v>
      </c>
      <c r="E57" s="12" t="s">
        <v>84</v>
      </c>
      <c r="F57" s="149">
        <f>C57*300</f>
        <v>300</v>
      </c>
      <c r="G57" s="22">
        <f>C57*4</f>
        <v>4</v>
      </c>
      <c r="H57" s="58"/>
      <c r="I57" s="44"/>
      <c r="J57" s="75"/>
      <c r="K57" s="14" t="s">
        <v>25</v>
      </c>
      <c r="L57" s="12">
        <v>1</v>
      </c>
      <c r="M57" s="14" t="s">
        <v>350</v>
      </c>
      <c r="N57" s="12" t="s">
        <v>27</v>
      </c>
      <c r="O57" s="153">
        <f>L57*139</f>
        <v>139</v>
      </c>
      <c r="P57" s="26"/>
      <c r="Q57" s="95">
        <v>44662</v>
      </c>
      <c r="R57" s="23" t="s">
        <v>336</v>
      </c>
      <c r="S57" s="75"/>
      <c r="T57" s="14"/>
      <c r="U57" s="12"/>
      <c r="V57" s="10"/>
      <c r="W57" s="12"/>
      <c r="X57" s="145"/>
      <c r="Y57" s="26"/>
      <c r="Z57" s="58"/>
      <c r="AA57" s="44"/>
    </row>
    <row r="58" spans="1:27" x14ac:dyDescent="0.25">
      <c r="A58" s="75"/>
      <c r="B58" s="14" t="s">
        <v>93</v>
      </c>
      <c r="C58" s="12">
        <v>1</v>
      </c>
      <c r="D58" s="14" t="s">
        <v>94</v>
      </c>
      <c r="E58" s="12"/>
      <c r="F58" s="149">
        <f>C58*350</f>
        <v>350</v>
      </c>
      <c r="G58" s="22">
        <f>C58*2</f>
        <v>2</v>
      </c>
      <c r="H58" s="58"/>
      <c r="I58" s="44"/>
      <c r="J58" s="75"/>
      <c r="K58" s="10" t="s">
        <v>28</v>
      </c>
      <c r="L58" s="11">
        <v>1</v>
      </c>
      <c r="M58" s="10" t="s">
        <v>334</v>
      </c>
      <c r="N58" s="12" t="s">
        <v>29</v>
      </c>
      <c r="O58" s="149">
        <f>L58*55</f>
        <v>55</v>
      </c>
      <c r="P58" s="26"/>
      <c r="Q58" s="95">
        <v>44662</v>
      </c>
      <c r="R58" s="23" t="s">
        <v>336</v>
      </c>
      <c r="S58" s="75"/>
      <c r="T58" s="14"/>
      <c r="U58" s="12"/>
      <c r="V58" s="10"/>
      <c r="W58" s="12"/>
      <c r="X58" s="145"/>
      <c r="Y58" s="26"/>
      <c r="Z58" s="58"/>
      <c r="AA58" s="44"/>
    </row>
    <row r="59" spans="1:27" x14ac:dyDescent="0.25">
      <c r="A59" s="75"/>
      <c r="B59" s="10"/>
      <c r="C59" s="11"/>
      <c r="D59" s="32"/>
      <c r="E59" s="12"/>
      <c r="F59" s="149"/>
      <c r="G59" s="22"/>
      <c r="H59" s="58"/>
      <c r="I59" s="44"/>
      <c r="J59" s="75"/>
      <c r="K59" s="10" t="s">
        <v>472</v>
      </c>
      <c r="L59" s="11">
        <v>1</v>
      </c>
      <c r="M59" s="10" t="s">
        <v>473</v>
      </c>
      <c r="N59" s="12" t="s">
        <v>32</v>
      </c>
      <c r="O59" s="149">
        <f>L59*1000</f>
        <v>1000</v>
      </c>
      <c r="P59" s="26"/>
      <c r="Q59" s="57">
        <v>44757</v>
      </c>
      <c r="R59" s="23" t="s">
        <v>336</v>
      </c>
      <c r="S59" s="75"/>
      <c r="T59" s="14"/>
      <c r="U59" s="12"/>
      <c r="V59" s="10"/>
      <c r="W59" s="12"/>
      <c r="X59" s="145"/>
      <c r="Y59" s="26"/>
      <c r="Z59" s="58"/>
      <c r="AA59" s="44"/>
    </row>
    <row r="60" spans="1:27" x14ac:dyDescent="0.25">
      <c r="A60" s="75"/>
      <c r="B60" s="10" t="s">
        <v>95</v>
      </c>
      <c r="C60" s="11">
        <v>1</v>
      </c>
      <c r="D60" s="10" t="s">
        <v>100</v>
      </c>
      <c r="E60" s="12" t="s">
        <v>84</v>
      </c>
      <c r="F60" s="149">
        <f>C60*12*76*11.16/144*2.15</f>
        <v>151.96200000000002</v>
      </c>
      <c r="G60" s="26"/>
      <c r="H60" s="58"/>
      <c r="I60" s="44"/>
      <c r="J60" s="75"/>
      <c r="K60" s="14" t="s">
        <v>472</v>
      </c>
      <c r="L60" s="12">
        <v>1</v>
      </c>
      <c r="M60" s="10" t="s">
        <v>474</v>
      </c>
      <c r="N60" s="12" t="s">
        <v>475</v>
      </c>
      <c r="O60" s="149">
        <f>L60*46</f>
        <v>46</v>
      </c>
      <c r="P60" s="26"/>
      <c r="Q60" s="58">
        <v>44757</v>
      </c>
      <c r="R60" s="44" t="s">
        <v>336</v>
      </c>
      <c r="S60" s="75"/>
      <c r="T60" s="14"/>
      <c r="U60" s="12"/>
      <c r="V60" s="10"/>
      <c r="W60" s="12"/>
      <c r="X60" s="145"/>
      <c r="Y60" s="26"/>
      <c r="Z60" s="58"/>
      <c r="AA60" s="44"/>
    </row>
    <row r="61" spans="1:27" x14ac:dyDescent="0.25">
      <c r="A61" s="75"/>
      <c r="B61" s="10" t="s">
        <v>96</v>
      </c>
      <c r="C61" s="11">
        <v>1</v>
      </c>
      <c r="D61" s="10" t="s">
        <v>97</v>
      </c>
      <c r="E61" s="12" t="s">
        <v>84</v>
      </c>
      <c r="F61" s="111">
        <f>C61*855</f>
        <v>855</v>
      </c>
      <c r="G61" s="26"/>
      <c r="H61" s="58"/>
      <c r="I61" s="44"/>
      <c r="J61" s="75"/>
      <c r="K61" s="14"/>
      <c r="L61" s="12"/>
      <c r="M61" s="10"/>
      <c r="N61" s="12"/>
      <c r="O61" s="149"/>
      <c r="P61" s="26"/>
      <c r="Q61" s="58"/>
      <c r="R61" s="44"/>
      <c r="S61" s="75"/>
      <c r="T61" s="14"/>
      <c r="U61" s="12"/>
      <c r="V61" s="10"/>
      <c r="W61" s="12"/>
      <c r="X61" s="149"/>
      <c r="Y61" s="26"/>
      <c r="Z61" s="58"/>
      <c r="AA61" s="44"/>
    </row>
    <row r="62" spans="1:27" x14ac:dyDescent="0.25">
      <c r="A62" s="75"/>
      <c r="B62" s="10" t="s">
        <v>98</v>
      </c>
      <c r="C62" s="11">
        <v>1</v>
      </c>
      <c r="D62" s="10" t="s">
        <v>97</v>
      </c>
      <c r="E62" s="12" t="s">
        <v>84</v>
      </c>
      <c r="F62" s="145">
        <f>C62*900</f>
        <v>900</v>
      </c>
      <c r="G62" s="26"/>
      <c r="H62" s="58"/>
      <c r="I62" s="44"/>
      <c r="J62" s="75"/>
      <c r="K62" s="598" t="s">
        <v>555</v>
      </c>
      <c r="L62" s="599"/>
      <c r="M62" s="599"/>
      <c r="N62" s="599"/>
      <c r="O62" s="599"/>
      <c r="P62" s="599"/>
      <c r="Q62" s="599"/>
      <c r="R62" s="600"/>
      <c r="S62" s="75"/>
      <c r="T62" s="14"/>
      <c r="U62" s="12"/>
      <c r="V62" s="10"/>
      <c r="W62" s="12"/>
      <c r="X62" s="145"/>
      <c r="Y62" s="26"/>
      <c r="Z62" s="58"/>
      <c r="AA62" s="44"/>
    </row>
    <row r="63" spans="1:27" x14ac:dyDescent="0.25">
      <c r="A63" s="75"/>
      <c r="B63" s="10" t="s">
        <v>99</v>
      </c>
      <c r="C63" s="11">
        <v>1</v>
      </c>
      <c r="D63" s="10" t="s">
        <v>242</v>
      </c>
      <c r="E63" s="12" t="s">
        <v>84</v>
      </c>
      <c r="F63" s="149">
        <f>C63*300</f>
        <v>300</v>
      </c>
      <c r="G63" s="22">
        <f>C63*4</f>
        <v>4</v>
      </c>
      <c r="H63" s="58"/>
      <c r="I63" s="44"/>
      <c r="J63" s="75"/>
      <c r="K63" s="601"/>
      <c r="L63" s="602"/>
      <c r="M63" s="602"/>
      <c r="N63" s="602"/>
      <c r="O63" s="602"/>
      <c r="P63" s="602"/>
      <c r="Q63" s="602"/>
      <c r="R63" s="603"/>
      <c r="S63" s="75"/>
      <c r="T63" s="14"/>
      <c r="U63" s="12"/>
      <c r="V63" s="10"/>
      <c r="W63" s="12"/>
      <c r="X63" s="111"/>
      <c r="Y63" s="26"/>
      <c r="Z63" s="58"/>
      <c r="AA63" s="44"/>
    </row>
    <row r="64" spans="1:27" x14ac:dyDescent="0.25">
      <c r="A64" s="75"/>
      <c r="B64" s="14" t="s">
        <v>93</v>
      </c>
      <c r="C64" s="12">
        <v>1</v>
      </c>
      <c r="D64" s="14" t="s">
        <v>94</v>
      </c>
      <c r="E64" s="12"/>
      <c r="F64" s="149">
        <f>C64*350</f>
        <v>350</v>
      </c>
      <c r="G64" s="22">
        <f>C64*2</f>
        <v>2</v>
      </c>
      <c r="H64" s="58"/>
      <c r="I64" s="44"/>
      <c r="J64" s="75"/>
      <c r="K64" s="14"/>
      <c r="L64" s="12"/>
      <c r="M64" s="10"/>
      <c r="N64" s="12"/>
      <c r="O64" s="92"/>
      <c r="P64" s="26"/>
      <c r="Q64" s="58"/>
      <c r="R64" s="44"/>
      <c r="S64" s="75"/>
      <c r="T64" s="14"/>
      <c r="U64" s="12"/>
      <c r="V64" s="10"/>
      <c r="W64" s="12"/>
      <c r="X64" s="111"/>
      <c r="Y64" s="26"/>
      <c r="Z64" s="58"/>
      <c r="AA64" s="44"/>
    </row>
    <row r="65" spans="1:27" x14ac:dyDescent="0.25">
      <c r="A65" s="75"/>
      <c r="B65" s="10"/>
      <c r="C65" s="11"/>
      <c r="D65" s="10"/>
      <c r="E65" s="12"/>
      <c r="F65" s="149"/>
      <c r="G65" s="26"/>
      <c r="H65" s="58"/>
      <c r="I65" s="44"/>
      <c r="J65" s="75"/>
      <c r="K65" s="14" t="s">
        <v>555</v>
      </c>
      <c r="L65" s="12">
        <v>1</v>
      </c>
      <c r="M65" s="10" t="s">
        <v>33</v>
      </c>
      <c r="N65" s="12" t="s">
        <v>27</v>
      </c>
      <c r="O65" s="153">
        <f>L65*195</f>
        <v>195</v>
      </c>
      <c r="P65" s="16"/>
      <c r="Q65" s="95">
        <v>44797</v>
      </c>
      <c r="R65" s="23" t="s">
        <v>336</v>
      </c>
      <c r="S65" s="75"/>
      <c r="T65" s="14"/>
      <c r="U65" s="12"/>
      <c r="V65" s="10"/>
      <c r="W65" s="12"/>
      <c r="X65" s="111"/>
      <c r="Y65" s="26"/>
      <c r="Z65" s="58"/>
      <c r="AA65" s="44"/>
    </row>
    <row r="66" spans="1:27" x14ac:dyDescent="0.25">
      <c r="A66" s="75"/>
      <c r="B66" s="10" t="s">
        <v>118</v>
      </c>
      <c r="C66" s="11">
        <v>1</v>
      </c>
      <c r="D66" s="10" t="s">
        <v>122</v>
      </c>
      <c r="E66" s="12" t="s">
        <v>84</v>
      </c>
      <c r="F66" s="111">
        <f>C66*12*95*11.16/144*2.15</f>
        <v>189.95249999999999</v>
      </c>
      <c r="G66" s="26"/>
      <c r="H66" s="58"/>
      <c r="I66" s="44"/>
      <c r="J66" s="75"/>
      <c r="K66" s="14" t="s">
        <v>555</v>
      </c>
      <c r="L66" s="11">
        <v>1</v>
      </c>
      <c r="M66" s="14" t="s">
        <v>26</v>
      </c>
      <c r="N66" s="12" t="s">
        <v>27</v>
      </c>
      <c r="O66" s="153">
        <f>L66*265</f>
        <v>265</v>
      </c>
      <c r="P66" s="96"/>
      <c r="Q66" s="95">
        <v>44797</v>
      </c>
      <c r="R66" s="23" t="s">
        <v>336</v>
      </c>
      <c r="S66" s="75"/>
      <c r="T66" s="10"/>
      <c r="U66" s="11"/>
      <c r="V66" s="10"/>
      <c r="W66" s="12"/>
      <c r="X66" s="92"/>
      <c r="Y66" s="26"/>
      <c r="Z66" s="58"/>
      <c r="AA66" s="44"/>
    </row>
    <row r="67" spans="1:27" x14ac:dyDescent="0.25">
      <c r="A67" s="75"/>
      <c r="B67" s="10" t="s">
        <v>119</v>
      </c>
      <c r="C67" s="11">
        <v>1</v>
      </c>
      <c r="D67" s="10" t="s">
        <v>97</v>
      </c>
      <c r="E67" s="12" t="s">
        <v>84</v>
      </c>
      <c r="F67" s="92">
        <f>C67*1000</f>
        <v>1000</v>
      </c>
      <c r="G67" s="44"/>
      <c r="H67" s="58"/>
      <c r="I67" s="44"/>
      <c r="J67" s="75"/>
      <c r="K67" s="14" t="s">
        <v>555</v>
      </c>
      <c r="L67" s="11">
        <v>1</v>
      </c>
      <c r="M67" s="14" t="s">
        <v>30</v>
      </c>
      <c r="N67" s="12" t="s">
        <v>27</v>
      </c>
      <c r="O67" s="153">
        <f>L67*320</f>
        <v>320</v>
      </c>
      <c r="P67" s="96"/>
      <c r="Q67" s="95">
        <v>44797</v>
      </c>
      <c r="R67" s="23" t="s">
        <v>336</v>
      </c>
      <c r="S67" s="75"/>
      <c r="T67" s="10"/>
      <c r="U67" s="11"/>
      <c r="V67" s="10"/>
      <c r="W67" s="12"/>
      <c r="X67" s="92"/>
      <c r="Y67" s="26"/>
      <c r="Z67" s="58"/>
      <c r="AA67" s="44"/>
    </row>
    <row r="68" spans="1:27" x14ac:dyDescent="0.25">
      <c r="A68" s="75"/>
      <c r="B68" s="10" t="s">
        <v>120</v>
      </c>
      <c r="C68" s="11">
        <v>1</v>
      </c>
      <c r="D68" s="10" t="s">
        <v>97</v>
      </c>
      <c r="E68" s="12" t="s">
        <v>84</v>
      </c>
      <c r="F68" s="92">
        <f>C68*1050</f>
        <v>1050</v>
      </c>
      <c r="G68" s="44"/>
      <c r="H68" s="58"/>
      <c r="I68" s="44"/>
      <c r="J68" s="75"/>
      <c r="K68" s="14" t="s">
        <v>555</v>
      </c>
      <c r="L68" s="12">
        <v>1</v>
      </c>
      <c r="M68" s="14" t="s">
        <v>39</v>
      </c>
      <c r="N68" s="12" t="s">
        <v>27</v>
      </c>
      <c r="O68" s="153"/>
      <c r="P68" s="153"/>
      <c r="Q68" s="95">
        <v>44757</v>
      </c>
      <c r="R68" s="23" t="s">
        <v>336</v>
      </c>
      <c r="S68" s="75"/>
      <c r="T68" s="23"/>
      <c r="U68" s="12"/>
      <c r="V68" s="23"/>
      <c r="W68" s="12"/>
      <c r="X68" s="92"/>
      <c r="Y68" s="26"/>
      <c r="Z68" s="58"/>
      <c r="AA68" s="44"/>
    </row>
    <row r="69" spans="1:27" x14ac:dyDescent="0.25">
      <c r="A69" s="75"/>
      <c r="B69" s="10" t="s">
        <v>99</v>
      </c>
      <c r="C69" s="11">
        <v>1</v>
      </c>
      <c r="D69" s="10" t="s">
        <v>242</v>
      </c>
      <c r="E69" s="12" t="s">
        <v>84</v>
      </c>
      <c r="F69" s="149">
        <f>C69*350</f>
        <v>350</v>
      </c>
      <c r="G69" s="22">
        <f>C69*4</f>
        <v>4</v>
      </c>
      <c r="H69" s="58"/>
      <c r="I69" s="44"/>
      <c r="J69" s="75"/>
      <c r="K69" s="14" t="s">
        <v>555</v>
      </c>
      <c r="L69" s="11">
        <v>1</v>
      </c>
      <c r="M69" s="14" t="s">
        <v>42</v>
      </c>
      <c r="N69" s="12" t="s">
        <v>27</v>
      </c>
      <c r="O69" s="153"/>
      <c r="P69" s="24"/>
      <c r="Q69" s="95">
        <v>44757</v>
      </c>
      <c r="R69" s="23" t="s">
        <v>336</v>
      </c>
      <c r="S69" s="75"/>
      <c r="T69" s="10"/>
      <c r="U69" s="11"/>
      <c r="V69" s="10"/>
      <c r="W69" s="12"/>
      <c r="X69" s="92"/>
      <c r="Y69" s="26"/>
      <c r="Z69" s="58"/>
      <c r="AA69" s="44"/>
    </row>
    <row r="70" spans="1:27" x14ac:dyDescent="0.25">
      <c r="A70" s="75"/>
      <c r="B70" s="14" t="s">
        <v>93</v>
      </c>
      <c r="C70" s="12">
        <v>1</v>
      </c>
      <c r="D70" s="14" t="s">
        <v>94</v>
      </c>
      <c r="E70" s="12"/>
      <c r="F70" s="149">
        <f>C70*350</f>
        <v>350</v>
      </c>
      <c r="G70" s="22">
        <f>C70*2</f>
        <v>2</v>
      </c>
      <c r="H70" s="58"/>
      <c r="I70" s="44"/>
      <c r="J70" s="75"/>
      <c r="K70" s="10"/>
      <c r="L70" s="11"/>
      <c r="M70" s="10"/>
      <c r="N70" s="12"/>
      <c r="O70" s="149"/>
      <c r="P70" s="26"/>
      <c r="Q70" s="57"/>
      <c r="R70" s="23"/>
      <c r="S70" s="75"/>
      <c r="T70" s="10"/>
      <c r="U70" s="11"/>
      <c r="V70" s="10"/>
      <c r="W70" s="12"/>
      <c r="X70" s="92"/>
      <c r="Y70" s="26"/>
      <c r="Z70" s="58"/>
      <c r="AA70" s="44"/>
    </row>
    <row r="71" spans="1:27" x14ac:dyDescent="0.25">
      <c r="A71" s="75"/>
      <c r="B71" s="10"/>
      <c r="C71" s="11"/>
      <c r="D71" s="10"/>
      <c r="E71" s="12"/>
      <c r="F71" s="156"/>
      <c r="G71" s="44"/>
      <c r="H71" s="58"/>
      <c r="I71" s="44"/>
      <c r="J71" s="75"/>
      <c r="K71" s="14"/>
      <c r="L71" s="12"/>
      <c r="M71" s="14"/>
      <c r="N71" s="12"/>
      <c r="O71" s="153"/>
      <c r="P71" s="26"/>
      <c r="Q71" s="57"/>
      <c r="R71" s="23"/>
      <c r="S71" s="75"/>
      <c r="T71" s="23"/>
      <c r="U71" s="12"/>
      <c r="V71" s="23"/>
      <c r="W71" s="12"/>
      <c r="X71" s="96"/>
      <c r="Y71" s="13"/>
      <c r="Z71" s="58"/>
      <c r="AA71" s="44"/>
    </row>
    <row r="72" spans="1:27" ht="19.899999999999999" customHeight="1" x14ac:dyDescent="0.25">
      <c r="A72" s="75"/>
      <c r="B72" s="611"/>
      <c r="C72" s="612"/>
      <c r="D72" s="612"/>
      <c r="E72" s="612"/>
      <c r="F72" s="612"/>
      <c r="G72" s="612"/>
      <c r="H72" s="612"/>
      <c r="I72" s="613"/>
      <c r="J72" s="75"/>
      <c r="K72" s="611"/>
      <c r="L72" s="612"/>
      <c r="M72" s="612"/>
      <c r="N72" s="612"/>
      <c r="O72" s="612"/>
      <c r="P72" s="612"/>
      <c r="Q72" s="612"/>
      <c r="R72" s="613"/>
      <c r="S72" s="75"/>
      <c r="T72" s="611"/>
      <c r="U72" s="612"/>
      <c r="V72" s="612"/>
      <c r="W72" s="612"/>
      <c r="X72" s="612"/>
      <c r="Y72" s="612"/>
      <c r="Z72" s="612"/>
      <c r="AA72" s="613"/>
    </row>
  </sheetData>
  <mergeCells count="21">
    <mergeCell ref="F30:I35"/>
    <mergeCell ref="O30:R35"/>
    <mergeCell ref="X30:AA35"/>
    <mergeCell ref="B72:I72"/>
    <mergeCell ref="K72:R72"/>
    <mergeCell ref="T72:AA72"/>
    <mergeCell ref="B36:I36"/>
    <mergeCell ref="K36:R36"/>
    <mergeCell ref="T36:AA36"/>
    <mergeCell ref="F47:I52"/>
    <mergeCell ref="O47:R52"/>
    <mergeCell ref="B53:I53"/>
    <mergeCell ref="K53:R53"/>
    <mergeCell ref="T53:AA53"/>
    <mergeCell ref="K62:R63"/>
    <mergeCell ref="B1:I1"/>
    <mergeCell ref="K1:R1"/>
    <mergeCell ref="T1:AA1"/>
    <mergeCell ref="B19:I19"/>
    <mergeCell ref="K19:R19"/>
    <mergeCell ref="T19:AA19"/>
  </mergeCells>
  <phoneticPr fontId="21" type="noConversion"/>
  <conditionalFormatting sqref="H3:H18 Q3:Q18 Z3:Z18 H20:H29 Q20:Q29 Z20:Z29 Z37:Z43 H37:H46 Q37:Q46 Q54:Q58">
    <cfRule type="expression" dxfId="11" priority="2">
      <formula>H3&lt;TODAY()-30</formula>
    </cfRule>
  </conditionalFormatting>
  <conditionalFormatting sqref="Q65:Q69">
    <cfRule type="expression" dxfId="10" priority="1">
      <formula>Q65&lt;TODAY()-30</formula>
    </cfRule>
  </conditionalFormatting>
  <printOptions horizontalCentered="1"/>
  <pageMargins left="0.25" right="0.25" top="0.75" bottom="0.75" header="0.3" footer="0.3"/>
  <pageSetup scale="39" fitToHeight="0" orientation="landscape" r:id="rId1"/>
  <headerFooter>
    <oddFooter>&amp;Z&amp;F&amp;RPage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pageSetUpPr fitToPage="1"/>
  </sheetPr>
  <dimension ref="A1:AA105"/>
  <sheetViews>
    <sheetView showGridLines="0" showWhiteSpace="0" topLeftCell="A35" zoomScale="80" zoomScaleNormal="80" workbookViewId="0">
      <selection activeCell="K54" sqref="K54:R60"/>
    </sheetView>
  </sheetViews>
  <sheetFormatPr defaultRowHeight="15" x14ac:dyDescent="0.25"/>
  <cols>
    <col min="2" max="2" width="19.5703125" bestFit="1" customWidth="1"/>
    <col min="3" max="3" width="5.140625" customWidth="1"/>
    <col min="4" max="4" width="34.42578125" bestFit="1" customWidth="1"/>
    <col min="5" max="5" width="21.5703125" bestFit="1" customWidth="1"/>
    <col min="6" max="6" width="6" style="157" bestFit="1" customWidth="1"/>
    <col min="7" max="7" width="7.85546875" customWidth="1"/>
    <col min="8" max="8" width="9.42578125" bestFit="1" customWidth="1"/>
    <col min="9" max="9" width="10.7109375" bestFit="1" customWidth="1"/>
    <col min="10" max="10" width="4.28515625" customWidth="1"/>
    <col min="11" max="11" width="17.28515625" bestFit="1" customWidth="1"/>
    <col min="12" max="12" width="5.140625" bestFit="1" customWidth="1"/>
    <col min="13" max="13" width="17.42578125" customWidth="1"/>
    <col min="14" max="14" width="21.5703125" bestFit="1" customWidth="1"/>
    <col min="15" max="15" width="6" style="157" bestFit="1" customWidth="1"/>
    <col min="16" max="16" width="7.85546875" bestFit="1" customWidth="1"/>
    <col min="17" max="17" width="9.42578125" style="91" bestFit="1" customWidth="1"/>
    <col min="18" max="18" width="10.7109375" bestFit="1" customWidth="1"/>
    <col min="19" max="19" width="4.28515625" customWidth="1"/>
    <col min="20" max="20" width="17.28515625" bestFit="1" customWidth="1"/>
    <col min="21" max="21" width="5.140625" bestFit="1" customWidth="1"/>
    <col min="22" max="22" width="35.140625" bestFit="1" customWidth="1"/>
    <col min="23" max="23" width="21.5703125" bestFit="1" customWidth="1"/>
    <col min="24" max="24" width="6" style="157" bestFit="1" customWidth="1"/>
    <col min="25" max="25" width="7.85546875" bestFit="1" customWidth="1"/>
    <col min="26" max="26" width="9.42578125" style="91" bestFit="1" customWidth="1"/>
    <col min="27" max="27" width="11.5703125" bestFit="1" customWidth="1"/>
  </cols>
  <sheetData>
    <row r="1" spans="1:27" ht="19.899999999999999" customHeight="1" x14ac:dyDescent="0.25">
      <c r="A1" s="77"/>
      <c r="B1" s="618" t="s">
        <v>285</v>
      </c>
      <c r="C1" s="619"/>
      <c r="D1" s="619"/>
      <c r="E1" s="619"/>
      <c r="F1" s="619"/>
      <c r="G1" s="619"/>
      <c r="H1" s="619"/>
      <c r="I1" s="619"/>
      <c r="J1" s="75"/>
      <c r="K1" s="618" t="s">
        <v>285</v>
      </c>
      <c r="L1" s="619"/>
      <c r="M1" s="619"/>
      <c r="N1" s="619"/>
      <c r="O1" s="619"/>
      <c r="P1" s="619"/>
      <c r="Q1" s="619"/>
      <c r="R1" s="619"/>
      <c r="S1" s="75"/>
      <c r="T1" s="618" t="s">
        <v>286</v>
      </c>
      <c r="U1" s="619"/>
      <c r="V1" s="619"/>
      <c r="W1" s="619"/>
      <c r="X1" s="619"/>
      <c r="Y1" s="619"/>
      <c r="Z1" s="619"/>
      <c r="AA1" s="619"/>
    </row>
    <row r="2" spans="1:27" ht="23.25" x14ac:dyDescent="0.35">
      <c r="A2" s="78"/>
      <c r="B2" s="578" t="s">
        <v>244</v>
      </c>
      <c r="C2" s="578"/>
      <c r="D2" s="578"/>
      <c r="E2" s="578"/>
      <c r="F2" s="578"/>
      <c r="G2" s="578"/>
      <c r="H2" s="578"/>
      <c r="I2" s="578"/>
      <c r="J2" s="78"/>
      <c r="K2" s="578" t="s">
        <v>245</v>
      </c>
      <c r="L2" s="578"/>
      <c r="M2" s="578"/>
      <c r="N2" s="578"/>
      <c r="O2" s="578"/>
      <c r="P2" s="578"/>
      <c r="Q2" s="578"/>
      <c r="R2" s="578"/>
      <c r="S2" s="78"/>
      <c r="T2" s="578" t="s">
        <v>246</v>
      </c>
      <c r="U2" s="578"/>
      <c r="V2" s="578"/>
      <c r="W2" s="578"/>
      <c r="X2" s="578"/>
      <c r="Y2" s="578"/>
      <c r="Z2" s="578"/>
      <c r="AA2" s="578"/>
    </row>
    <row r="3" spans="1:27" ht="16.5" thickBot="1" x14ac:dyDescent="0.3">
      <c r="A3" s="75"/>
      <c r="B3" s="6" t="s">
        <v>0</v>
      </c>
      <c r="C3" s="7" t="s">
        <v>1</v>
      </c>
      <c r="D3" s="7" t="s">
        <v>2</v>
      </c>
      <c r="E3" s="7" t="s">
        <v>24</v>
      </c>
      <c r="F3" s="154" t="s">
        <v>7</v>
      </c>
      <c r="G3" s="81" t="s">
        <v>9</v>
      </c>
      <c r="H3" s="7" t="s">
        <v>133</v>
      </c>
      <c r="I3" s="46" t="s">
        <v>134</v>
      </c>
      <c r="J3" s="75"/>
      <c r="K3" s="27" t="s">
        <v>0</v>
      </c>
      <c r="L3" s="28" t="s">
        <v>1</v>
      </c>
      <c r="M3" s="28" t="s">
        <v>2</v>
      </c>
      <c r="N3" s="28" t="s">
        <v>24</v>
      </c>
      <c r="O3" s="155" t="s">
        <v>7</v>
      </c>
      <c r="P3" s="45" t="s">
        <v>9</v>
      </c>
      <c r="Q3" s="89" t="s">
        <v>133</v>
      </c>
      <c r="R3" s="46" t="s">
        <v>134</v>
      </c>
      <c r="S3" s="75"/>
      <c r="T3" s="27" t="s">
        <v>0</v>
      </c>
      <c r="U3" s="28" t="s">
        <v>1</v>
      </c>
      <c r="V3" s="28" t="s">
        <v>2</v>
      </c>
      <c r="W3" s="28" t="s">
        <v>24</v>
      </c>
      <c r="X3" s="155" t="s">
        <v>7</v>
      </c>
      <c r="Y3" s="45" t="s">
        <v>9</v>
      </c>
      <c r="Z3" s="89" t="s">
        <v>133</v>
      </c>
      <c r="AA3" s="46" t="s">
        <v>134</v>
      </c>
    </row>
    <row r="4" spans="1:27" x14ac:dyDescent="0.25">
      <c r="A4" s="75"/>
      <c r="B4" s="10" t="s">
        <v>25</v>
      </c>
      <c r="C4" s="11">
        <v>1</v>
      </c>
      <c r="D4" s="10" t="s">
        <v>33</v>
      </c>
      <c r="E4" s="88" t="s">
        <v>74</v>
      </c>
      <c r="F4" s="151">
        <f>C4*57</f>
        <v>57</v>
      </c>
      <c r="G4" s="152"/>
      <c r="H4" s="95">
        <v>44774</v>
      </c>
      <c r="I4" s="32" t="s">
        <v>284</v>
      </c>
      <c r="J4" s="75"/>
      <c r="K4" s="23" t="s">
        <v>181</v>
      </c>
      <c r="L4" s="12">
        <v>1</v>
      </c>
      <c r="M4" s="23" t="s">
        <v>184</v>
      </c>
      <c r="N4" s="12" t="s">
        <v>74</v>
      </c>
      <c r="O4" s="145">
        <f>L4*60</f>
        <v>60</v>
      </c>
      <c r="P4" s="93"/>
      <c r="Q4" s="95">
        <v>44651</v>
      </c>
      <c r="R4" s="32" t="s">
        <v>284</v>
      </c>
      <c r="S4" s="75"/>
      <c r="T4" s="10" t="s">
        <v>25</v>
      </c>
      <c r="U4" s="11">
        <v>1</v>
      </c>
      <c r="V4" s="10" t="s">
        <v>140</v>
      </c>
      <c r="W4" s="12" t="s">
        <v>74</v>
      </c>
      <c r="X4" s="145">
        <f>U4*72</f>
        <v>72</v>
      </c>
      <c r="Y4" s="26"/>
      <c r="Z4" s="95">
        <v>44782</v>
      </c>
      <c r="AA4" s="32" t="s">
        <v>284</v>
      </c>
    </row>
    <row r="5" spans="1:27" x14ac:dyDescent="0.25">
      <c r="A5" s="75"/>
      <c r="B5" s="14" t="s">
        <v>25</v>
      </c>
      <c r="C5" s="12">
        <v>1</v>
      </c>
      <c r="D5" s="14" t="s">
        <v>26</v>
      </c>
      <c r="E5" s="88" t="s">
        <v>74</v>
      </c>
      <c r="F5" s="153">
        <f>C5*85</f>
        <v>85</v>
      </c>
      <c r="G5" s="96"/>
      <c r="H5" s="95">
        <v>44658</v>
      </c>
      <c r="I5" s="32" t="s">
        <v>284</v>
      </c>
      <c r="J5" s="75"/>
      <c r="K5" s="23" t="s">
        <v>181</v>
      </c>
      <c r="L5" s="12">
        <v>1</v>
      </c>
      <c r="M5" s="23" t="s">
        <v>185</v>
      </c>
      <c r="N5" s="12" t="s">
        <v>74</v>
      </c>
      <c r="O5" s="145">
        <f>L5*72</f>
        <v>72</v>
      </c>
      <c r="P5" s="26"/>
      <c r="Q5" s="95">
        <v>44651</v>
      </c>
      <c r="R5" s="32" t="s">
        <v>284</v>
      </c>
      <c r="S5" s="75"/>
      <c r="T5" s="10" t="s">
        <v>25</v>
      </c>
      <c r="U5" s="11">
        <v>1</v>
      </c>
      <c r="V5" s="10" t="s">
        <v>142</v>
      </c>
      <c r="W5" s="12" t="s">
        <v>74</v>
      </c>
      <c r="X5" s="145">
        <f>U5*99</f>
        <v>99</v>
      </c>
      <c r="Y5" s="26"/>
      <c r="Z5" s="95">
        <v>44782</v>
      </c>
      <c r="AA5" s="32" t="s">
        <v>284</v>
      </c>
    </row>
    <row r="6" spans="1:27" x14ac:dyDescent="0.25">
      <c r="A6" s="75"/>
      <c r="B6" s="14" t="s">
        <v>25</v>
      </c>
      <c r="C6" s="12">
        <v>1</v>
      </c>
      <c r="D6" s="14" t="s">
        <v>30</v>
      </c>
      <c r="E6" s="88" t="s">
        <v>74</v>
      </c>
      <c r="F6" s="153">
        <f>C6*91</f>
        <v>91</v>
      </c>
      <c r="G6" s="96"/>
      <c r="H6" s="95">
        <v>44798</v>
      </c>
      <c r="I6" s="32" t="s">
        <v>284</v>
      </c>
      <c r="J6" s="75"/>
      <c r="K6" s="23" t="s">
        <v>181</v>
      </c>
      <c r="L6" s="12">
        <v>1</v>
      </c>
      <c r="M6" s="23" t="s">
        <v>183</v>
      </c>
      <c r="N6" s="12" t="s">
        <v>74</v>
      </c>
      <c r="O6" s="145">
        <f>L6*97</f>
        <v>97</v>
      </c>
      <c r="P6" s="26"/>
      <c r="Q6" s="95">
        <v>44774</v>
      </c>
      <c r="R6" s="32" t="s">
        <v>284</v>
      </c>
      <c r="S6" s="75"/>
      <c r="T6" s="10" t="s">
        <v>25</v>
      </c>
      <c r="U6" s="11">
        <v>1</v>
      </c>
      <c r="V6" s="10" t="s">
        <v>144</v>
      </c>
      <c r="W6" s="12" t="s">
        <v>74</v>
      </c>
      <c r="X6" s="145">
        <f>U6*108</f>
        <v>108</v>
      </c>
      <c r="Y6" s="26"/>
      <c r="Z6" s="95">
        <v>44782</v>
      </c>
      <c r="AA6" s="32" t="s">
        <v>284</v>
      </c>
    </row>
    <row r="7" spans="1:27" x14ac:dyDescent="0.25">
      <c r="A7" s="75"/>
      <c r="B7" s="14" t="s">
        <v>25</v>
      </c>
      <c r="C7" s="12">
        <v>1</v>
      </c>
      <c r="D7" s="14" t="s">
        <v>39</v>
      </c>
      <c r="E7" s="88" t="s">
        <v>74</v>
      </c>
      <c r="F7" s="153">
        <f>C7*145</f>
        <v>145</v>
      </c>
      <c r="G7" s="153"/>
      <c r="H7" s="95">
        <v>44819</v>
      </c>
      <c r="I7" s="32" t="s">
        <v>284</v>
      </c>
      <c r="J7" s="75"/>
      <c r="K7" s="23" t="s">
        <v>181</v>
      </c>
      <c r="L7" s="12">
        <v>1</v>
      </c>
      <c r="M7" s="23" t="s">
        <v>182</v>
      </c>
      <c r="N7" s="12" t="s">
        <v>74</v>
      </c>
      <c r="O7" s="149">
        <f>L7*155</f>
        <v>155</v>
      </c>
      <c r="P7" s="22"/>
      <c r="Q7" s="95">
        <v>44819</v>
      </c>
      <c r="R7" s="32" t="s">
        <v>284</v>
      </c>
      <c r="S7" s="75"/>
      <c r="T7" s="10" t="s">
        <v>25</v>
      </c>
      <c r="U7" s="11">
        <v>1</v>
      </c>
      <c r="V7" s="10" t="s">
        <v>146</v>
      </c>
      <c r="W7" s="12" t="s">
        <v>74</v>
      </c>
      <c r="X7" s="149">
        <f>U7*175</f>
        <v>175</v>
      </c>
      <c r="Y7" s="145"/>
      <c r="Z7" s="95">
        <v>44782</v>
      </c>
      <c r="AA7" s="32" t="s">
        <v>284</v>
      </c>
    </row>
    <row r="8" spans="1:27" x14ac:dyDescent="0.25">
      <c r="A8" s="75"/>
      <c r="B8" s="14" t="s">
        <v>25</v>
      </c>
      <c r="C8" s="12">
        <v>1</v>
      </c>
      <c r="D8" s="14" t="s">
        <v>42</v>
      </c>
      <c r="E8" s="88" t="s">
        <v>74</v>
      </c>
      <c r="F8" s="153">
        <f>C8*199</f>
        <v>199</v>
      </c>
      <c r="G8" s="153"/>
      <c r="H8" s="95">
        <v>44798</v>
      </c>
      <c r="I8" s="32" t="s">
        <v>284</v>
      </c>
      <c r="J8" s="75"/>
      <c r="K8" s="23" t="s">
        <v>181</v>
      </c>
      <c r="L8" s="12">
        <v>1</v>
      </c>
      <c r="M8" s="23" t="s">
        <v>186</v>
      </c>
      <c r="N8" s="12" t="s">
        <v>74</v>
      </c>
      <c r="O8" s="149">
        <f>L8*230</f>
        <v>230</v>
      </c>
      <c r="P8" s="22"/>
      <c r="Q8" s="95">
        <v>44798</v>
      </c>
      <c r="R8" s="32" t="s">
        <v>284</v>
      </c>
      <c r="S8" s="75"/>
      <c r="T8" s="10" t="s">
        <v>25</v>
      </c>
      <c r="U8" s="11">
        <v>1</v>
      </c>
      <c r="V8" s="10" t="s">
        <v>148</v>
      </c>
      <c r="W8" s="12" t="s">
        <v>74</v>
      </c>
      <c r="X8" s="149">
        <f>U8*302</f>
        <v>302</v>
      </c>
      <c r="Y8" s="145"/>
      <c r="Z8" s="95">
        <v>44782</v>
      </c>
      <c r="AA8" s="32" t="s">
        <v>284</v>
      </c>
    </row>
    <row r="9" spans="1:27" x14ac:dyDescent="0.25">
      <c r="A9" s="75"/>
      <c r="B9" s="14" t="s">
        <v>25</v>
      </c>
      <c r="C9" s="12">
        <v>1</v>
      </c>
      <c r="D9" s="14" t="s">
        <v>44</v>
      </c>
      <c r="E9" s="88" t="s">
        <v>74</v>
      </c>
      <c r="F9" s="153">
        <f>C9*260</f>
        <v>260</v>
      </c>
      <c r="G9" s="153"/>
      <c r="H9" s="95">
        <v>44658</v>
      </c>
      <c r="I9" s="32" t="s">
        <v>284</v>
      </c>
      <c r="J9" s="75"/>
      <c r="K9" s="23" t="s">
        <v>181</v>
      </c>
      <c r="L9" s="12">
        <v>1</v>
      </c>
      <c r="M9" s="23" t="s">
        <v>187</v>
      </c>
      <c r="N9" s="12" t="s">
        <v>74</v>
      </c>
      <c r="O9" s="149">
        <f>L9*145</f>
        <v>145</v>
      </c>
      <c r="P9" s="22"/>
      <c r="Q9" s="95">
        <v>44487</v>
      </c>
      <c r="R9" s="32" t="s">
        <v>284</v>
      </c>
      <c r="S9" s="75"/>
      <c r="T9" s="10" t="s">
        <v>25</v>
      </c>
      <c r="U9" s="11">
        <v>1</v>
      </c>
      <c r="V9" s="10" t="s">
        <v>159</v>
      </c>
      <c r="W9" s="12" t="s">
        <v>74</v>
      </c>
      <c r="X9" s="149">
        <f>U9*199</f>
        <v>199</v>
      </c>
      <c r="Y9" s="53"/>
      <c r="Z9" s="95">
        <v>44487</v>
      </c>
      <c r="AA9" s="32" t="s">
        <v>284</v>
      </c>
    </row>
    <row r="10" spans="1:27" x14ac:dyDescent="0.25">
      <c r="A10" s="75"/>
      <c r="B10" s="14" t="s">
        <v>25</v>
      </c>
      <c r="C10" s="12">
        <v>1</v>
      </c>
      <c r="D10" s="14" t="s">
        <v>47</v>
      </c>
      <c r="E10" s="88" t="s">
        <v>74</v>
      </c>
      <c r="F10" s="153">
        <f>C10*301</f>
        <v>301</v>
      </c>
      <c r="G10" s="153"/>
      <c r="H10" s="95">
        <v>44798</v>
      </c>
      <c r="I10" s="32" t="s">
        <v>284</v>
      </c>
      <c r="J10" s="75"/>
      <c r="K10" s="23" t="s">
        <v>181</v>
      </c>
      <c r="L10" s="12">
        <v>1</v>
      </c>
      <c r="M10" s="23" t="s">
        <v>188</v>
      </c>
      <c r="N10" s="12" t="s">
        <v>74</v>
      </c>
      <c r="O10" s="149">
        <f>L10*407</f>
        <v>407</v>
      </c>
      <c r="P10" s="145"/>
      <c r="Q10" s="95">
        <v>44782</v>
      </c>
      <c r="R10" s="32" t="s">
        <v>284</v>
      </c>
      <c r="S10" s="75"/>
      <c r="T10" s="10" t="s">
        <v>25</v>
      </c>
      <c r="U10" s="11">
        <v>1</v>
      </c>
      <c r="V10" s="10" t="s">
        <v>161</v>
      </c>
      <c r="W10" s="12" t="s">
        <v>74</v>
      </c>
      <c r="X10" s="149">
        <f>U10*444</f>
        <v>444</v>
      </c>
      <c r="Y10" s="145"/>
      <c r="Z10" s="95">
        <v>44782</v>
      </c>
      <c r="AA10" s="32" t="s">
        <v>284</v>
      </c>
    </row>
    <row r="11" spans="1:27" x14ac:dyDescent="0.25">
      <c r="A11" s="75"/>
      <c r="B11" s="14" t="s">
        <v>25</v>
      </c>
      <c r="C11" s="12">
        <v>1</v>
      </c>
      <c r="D11" s="14" t="s">
        <v>50</v>
      </c>
      <c r="E11" s="88" t="s">
        <v>74</v>
      </c>
      <c r="F11" s="153">
        <f>C11*602</f>
        <v>602</v>
      </c>
      <c r="G11" s="153"/>
      <c r="H11" s="95">
        <v>44757</v>
      </c>
      <c r="I11" s="32" t="s">
        <v>284</v>
      </c>
      <c r="J11" s="75"/>
      <c r="K11" s="23" t="s">
        <v>181</v>
      </c>
      <c r="L11" s="12">
        <v>1</v>
      </c>
      <c r="M11" s="23" t="s">
        <v>189</v>
      </c>
      <c r="N11" s="12" t="s">
        <v>74</v>
      </c>
      <c r="O11" s="111">
        <f>L11*824</f>
        <v>824</v>
      </c>
      <c r="P11" s="26"/>
      <c r="Q11" s="95">
        <v>44757</v>
      </c>
      <c r="R11" s="32" t="s">
        <v>284</v>
      </c>
      <c r="S11" s="75"/>
      <c r="T11" s="10" t="s">
        <v>25</v>
      </c>
      <c r="U11" s="11">
        <v>1</v>
      </c>
      <c r="V11" s="10" t="s">
        <v>163</v>
      </c>
      <c r="W11" s="12" t="s">
        <v>74</v>
      </c>
      <c r="X11" s="111">
        <f>U11*732</f>
        <v>732</v>
      </c>
      <c r="Y11" s="93"/>
      <c r="Z11" s="95">
        <v>44782</v>
      </c>
      <c r="AA11" s="32" t="s">
        <v>284</v>
      </c>
    </row>
    <row r="12" spans="1:27" x14ac:dyDescent="0.25">
      <c r="A12" s="75"/>
      <c r="B12" s="14" t="s">
        <v>25</v>
      </c>
      <c r="C12" s="12">
        <v>1</v>
      </c>
      <c r="D12" s="14" t="s">
        <v>52</v>
      </c>
      <c r="E12" s="88" t="s">
        <v>74</v>
      </c>
      <c r="F12" s="153">
        <f>C12*873</f>
        <v>873</v>
      </c>
      <c r="G12" s="96"/>
      <c r="H12" s="95">
        <v>44819</v>
      </c>
      <c r="I12" s="32" t="s">
        <v>284</v>
      </c>
      <c r="J12" s="75"/>
      <c r="K12" s="23" t="s">
        <v>181</v>
      </c>
      <c r="L12" s="12">
        <v>1</v>
      </c>
      <c r="M12" s="23" t="s">
        <v>190</v>
      </c>
      <c r="N12" s="88" t="s">
        <v>74</v>
      </c>
      <c r="O12" s="149">
        <f>L12*946</f>
        <v>946</v>
      </c>
      <c r="P12" s="93"/>
      <c r="Q12" s="95">
        <v>44819</v>
      </c>
      <c r="R12" s="32" t="s">
        <v>284</v>
      </c>
      <c r="S12" s="75"/>
      <c r="T12" s="10" t="s">
        <v>25</v>
      </c>
      <c r="U12" s="11">
        <v>1</v>
      </c>
      <c r="V12" s="10" t="s">
        <v>165</v>
      </c>
      <c r="W12" s="12" t="s">
        <v>74</v>
      </c>
      <c r="X12" s="149">
        <f>U12*1120</f>
        <v>1120</v>
      </c>
      <c r="Y12" s="93"/>
      <c r="Z12" s="95">
        <v>44651</v>
      </c>
      <c r="AA12" s="32" t="s">
        <v>284</v>
      </c>
    </row>
    <row r="13" spans="1:27" x14ac:dyDescent="0.25">
      <c r="A13" s="75"/>
      <c r="B13" s="14" t="s">
        <v>25</v>
      </c>
      <c r="C13" s="12">
        <v>1</v>
      </c>
      <c r="D13" s="14" t="s">
        <v>55</v>
      </c>
      <c r="E13" s="88" t="s">
        <v>74</v>
      </c>
      <c r="F13" s="96">
        <f>C13*1475</f>
        <v>1475</v>
      </c>
      <c r="G13" s="96"/>
      <c r="H13" s="95">
        <v>44658</v>
      </c>
      <c r="I13" s="32" t="s">
        <v>284</v>
      </c>
      <c r="J13" s="75"/>
      <c r="K13" s="23" t="s">
        <v>181</v>
      </c>
      <c r="L13" s="12">
        <v>1</v>
      </c>
      <c r="M13" s="23" t="s">
        <v>191</v>
      </c>
      <c r="N13" s="88" t="s">
        <v>74</v>
      </c>
      <c r="O13" s="92">
        <f>L13*1238</f>
        <v>1238</v>
      </c>
      <c r="P13" s="93"/>
      <c r="Q13" s="95">
        <v>44651</v>
      </c>
      <c r="R13" s="32" t="s">
        <v>284</v>
      </c>
      <c r="S13" s="75"/>
      <c r="T13" s="10" t="s">
        <v>25</v>
      </c>
      <c r="U13" s="11">
        <v>1</v>
      </c>
      <c r="V13" s="10" t="s">
        <v>167</v>
      </c>
      <c r="W13" s="12" t="s">
        <v>74</v>
      </c>
      <c r="X13" s="92">
        <f>U13*1666</f>
        <v>1666</v>
      </c>
      <c r="Y13" s="93"/>
      <c r="Z13" s="95">
        <v>44651</v>
      </c>
      <c r="AA13" s="32" t="s">
        <v>284</v>
      </c>
    </row>
    <row r="14" spans="1:27" x14ac:dyDescent="0.25">
      <c r="A14" s="75"/>
      <c r="B14" s="14" t="s">
        <v>25</v>
      </c>
      <c r="C14" s="12">
        <v>1</v>
      </c>
      <c r="D14" s="14" t="s">
        <v>58</v>
      </c>
      <c r="E14" s="88" t="s">
        <v>74</v>
      </c>
      <c r="F14" s="96">
        <f>C14*1200</f>
        <v>1200</v>
      </c>
      <c r="G14" s="96"/>
      <c r="H14" s="95">
        <v>44770</v>
      </c>
      <c r="I14" s="32" t="s">
        <v>284</v>
      </c>
      <c r="J14" s="75"/>
      <c r="K14" s="23" t="s">
        <v>181</v>
      </c>
      <c r="L14" s="12">
        <v>1</v>
      </c>
      <c r="M14" s="23" t="s">
        <v>192</v>
      </c>
      <c r="N14" s="88" t="s">
        <v>74</v>
      </c>
      <c r="O14" s="92">
        <f>L14*1710</f>
        <v>1710</v>
      </c>
      <c r="P14" s="93"/>
      <c r="Q14" s="95">
        <v>44651</v>
      </c>
      <c r="R14" s="32" t="s">
        <v>284</v>
      </c>
      <c r="S14" s="75"/>
      <c r="T14" s="10" t="s">
        <v>25</v>
      </c>
      <c r="U14" s="11">
        <v>1</v>
      </c>
      <c r="V14" s="10" t="s">
        <v>169</v>
      </c>
      <c r="W14" s="12" t="s">
        <v>74</v>
      </c>
      <c r="X14" s="92">
        <f>U14*1750</f>
        <v>1750</v>
      </c>
      <c r="Y14" s="93"/>
      <c r="Z14" s="95">
        <v>44651</v>
      </c>
      <c r="AA14" s="32" t="s">
        <v>284</v>
      </c>
    </row>
    <row r="15" spans="1:27" x14ac:dyDescent="0.25">
      <c r="A15" s="75"/>
      <c r="B15" s="14" t="s">
        <v>25</v>
      </c>
      <c r="C15" s="12">
        <v>1</v>
      </c>
      <c r="D15" s="14" t="s">
        <v>60</v>
      </c>
      <c r="E15" s="88" t="s">
        <v>74</v>
      </c>
      <c r="F15" s="153">
        <f>C15*1720</f>
        <v>1720</v>
      </c>
      <c r="G15" s="96"/>
      <c r="H15" s="95">
        <v>44819</v>
      </c>
      <c r="I15" s="32" t="s">
        <v>284</v>
      </c>
      <c r="J15" s="75"/>
      <c r="K15" s="23" t="s">
        <v>181</v>
      </c>
      <c r="L15" s="12">
        <v>1</v>
      </c>
      <c r="M15" s="23" t="s">
        <v>193</v>
      </c>
      <c r="N15" s="88" t="s">
        <v>74</v>
      </c>
      <c r="O15" s="149">
        <f>L15*2420</f>
        <v>2420</v>
      </c>
      <c r="P15" s="93"/>
      <c r="Q15" s="95">
        <v>44819</v>
      </c>
      <c r="R15" s="32" t="s">
        <v>284</v>
      </c>
      <c r="S15" s="75"/>
      <c r="T15" s="10" t="s">
        <v>25</v>
      </c>
      <c r="U15" s="11">
        <v>1</v>
      </c>
      <c r="V15" s="10" t="s">
        <v>171</v>
      </c>
      <c r="W15" s="12" t="s">
        <v>74</v>
      </c>
      <c r="X15" s="149">
        <f>U15*2230</f>
        <v>2230</v>
      </c>
      <c r="Y15" s="93"/>
      <c r="Z15" s="95">
        <v>44651</v>
      </c>
      <c r="AA15" s="32" t="s">
        <v>284</v>
      </c>
    </row>
    <row r="16" spans="1:27" x14ac:dyDescent="0.25">
      <c r="A16" s="75"/>
      <c r="B16" s="14" t="s">
        <v>25</v>
      </c>
      <c r="C16" s="12">
        <v>1</v>
      </c>
      <c r="D16" s="14" t="s">
        <v>63</v>
      </c>
      <c r="E16" s="88" t="s">
        <v>74</v>
      </c>
      <c r="F16" s="96">
        <f>C16*1690</f>
        <v>1690</v>
      </c>
      <c r="G16" s="96"/>
      <c r="H16" s="95">
        <v>44658</v>
      </c>
      <c r="I16" s="32" t="s">
        <v>284</v>
      </c>
      <c r="J16" s="75"/>
      <c r="K16" s="23" t="s">
        <v>181</v>
      </c>
      <c r="L16" s="12">
        <v>1</v>
      </c>
      <c r="M16" s="23" t="s">
        <v>194</v>
      </c>
      <c r="N16" s="88" t="s">
        <v>74</v>
      </c>
      <c r="O16" s="92">
        <f>L16*2675</f>
        <v>2675</v>
      </c>
      <c r="P16" s="93"/>
      <c r="Q16" s="95">
        <v>44651</v>
      </c>
      <c r="R16" s="32" t="s">
        <v>284</v>
      </c>
      <c r="S16" s="75"/>
      <c r="T16" s="10" t="s">
        <v>25</v>
      </c>
      <c r="U16" s="11">
        <v>1</v>
      </c>
      <c r="V16" s="10" t="s">
        <v>173</v>
      </c>
      <c r="W16" s="12" t="s">
        <v>74</v>
      </c>
      <c r="X16" s="92">
        <f>U16*2545</f>
        <v>2545</v>
      </c>
      <c r="Y16" s="93"/>
      <c r="Z16" s="95">
        <v>44757</v>
      </c>
      <c r="AA16" s="32" t="s">
        <v>284</v>
      </c>
    </row>
    <row r="17" spans="1:27" x14ac:dyDescent="0.25">
      <c r="A17" s="75"/>
      <c r="B17" s="14" t="s">
        <v>25</v>
      </c>
      <c r="C17" s="12">
        <v>1</v>
      </c>
      <c r="D17" s="14" t="s">
        <v>66</v>
      </c>
      <c r="E17" s="88" t="s">
        <v>74</v>
      </c>
      <c r="F17" s="96">
        <f>C17*2505</f>
        <v>2505</v>
      </c>
      <c r="G17" s="96"/>
      <c r="H17" s="95">
        <v>44819</v>
      </c>
      <c r="I17" s="32" t="s">
        <v>284</v>
      </c>
      <c r="J17" s="75"/>
      <c r="K17" s="23" t="s">
        <v>181</v>
      </c>
      <c r="L17" s="12">
        <v>1</v>
      </c>
      <c r="M17" s="23" t="s">
        <v>195</v>
      </c>
      <c r="N17" s="88" t="s">
        <v>74</v>
      </c>
      <c r="O17" s="92">
        <f>L17*4020</f>
        <v>4020</v>
      </c>
      <c r="P17" s="93"/>
      <c r="Q17" s="95">
        <v>44819</v>
      </c>
      <c r="R17" s="32" t="s">
        <v>284</v>
      </c>
      <c r="S17" s="75"/>
      <c r="T17" s="10" t="s">
        <v>25</v>
      </c>
      <c r="U17" s="11">
        <v>1</v>
      </c>
      <c r="V17" s="10" t="s">
        <v>175</v>
      </c>
      <c r="W17" s="12" t="s">
        <v>74</v>
      </c>
      <c r="X17" s="92">
        <f>U17*3100</f>
        <v>3100</v>
      </c>
      <c r="Y17" s="93"/>
      <c r="Z17" s="95">
        <v>44651</v>
      </c>
      <c r="AA17" s="32" t="s">
        <v>284</v>
      </c>
    </row>
    <row r="18" spans="1:27" x14ac:dyDescent="0.25">
      <c r="A18" s="75"/>
      <c r="B18" s="14" t="s">
        <v>25</v>
      </c>
      <c r="C18" s="12">
        <v>1</v>
      </c>
      <c r="D18" s="14" t="s">
        <v>69</v>
      </c>
      <c r="E18" s="88" t="s">
        <v>74</v>
      </c>
      <c r="F18" s="96">
        <f>C18*3095</f>
        <v>3095</v>
      </c>
      <c r="G18" s="96"/>
      <c r="H18" s="95">
        <v>44819</v>
      </c>
      <c r="I18" s="32" t="s">
        <v>284</v>
      </c>
      <c r="J18" s="75"/>
      <c r="K18" s="23" t="s">
        <v>181</v>
      </c>
      <c r="L18" s="12">
        <v>1</v>
      </c>
      <c r="M18" s="23" t="s">
        <v>196</v>
      </c>
      <c r="N18" s="88" t="s">
        <v>74</v>
      </c>
      <c r="O18" s="92">
        <f>L18*5850</f>
        <v>5850</v>
      </c>
      <c r="P18" s="93"/>
      <c r="Q18" s="95">
        <v>44819</v>
      </c>
      <c r="R18" s="32" t="s">
        <v>284</v>
      </c>
      <c r="S18" s="75"/>
      <c r="T18" s="10" t="s">
        <v>25</v>
      </c>
      <c r="U18" s="11">
        <v>1</v>
      </c>
      <c r="V18" s="10" t="s">
        <v>177</v>
      </c>
      <c r="W18" s="12" t="s">
        <v>74</v>
      </c>
      <c r="X18" s="92">
        <v>3595</v>
      </c>
      <c r="Y18" s="93"/>
      <c r="Z18" s="95">
        <v>44782</v>
      </c>
      <c r="AA18" s="32" t="s">
        <v>284</v>
      </c>
    </row>
    <row r="19" spans="1:27" x14ac:dyDescent="0.25">
      <c r="A19" s="75"/>
      <c r="B19" s="14" t="s">
        <v>25</v>
      </c>
      <c r="C19" s="12">
        <v>1</v>
      </c>
      <c r="D19" s="14" t="s">
        <v>71</v>
      </c>
      <c r="E19" s="12" t="s">
        <v>74</v>
      </c>
      <c r="F19" s="96">
        <f>C19*5115</f>
        <v>5115</v>
      </c>
      <c r="G19" s="13"/>
      <c r="H19" s="95">
        <v>44487</v>
      </c>
      <c r="I19" s="32" t="s">
        <v>284</v>
      </c>
      <c r="J19" s="75"/>
      <c r="K19" s="14" t="s">
        <v>181</v>
      </c>
      <c r="L19" s="12">
        <v>1</v>
      </c>
      <c r="M19" s="14" t="s">
        <v>197</v>
      </c>
      <c r="N19" s="12" t="s">
        <v>74</v>
      </c>
      <c r="O19" s="92">
        <f>L19*9585</f>
        <v>9585</v>
      </c>
      <c r="P19" s="26"/>
      <c r="Q19" s="95">
        <v>44487</v>
      </c>
      <c r="R19" s="32" t="s">
        <v>284</v>
      </c>
      <c r="S19" s="75"/>
      <c r="T19" s="10" t="s">
        <v>25</v>
      </c>
      <c r="U19" s="11">
        <v>1</v>
      </c>
      <c r="V19" s="10" t="s">
        <v>179</v>
      </c>
      <c r="W19" s="12" t="s">
        <v>74</v>
      </c>
      <c r="X19" s="92">
        <f>U19*7330</f>
        <v>7330</v>
      </c>
      <c r="Y19" s="26"/>
      <c r="Z19" s="95">
        <v>44487</v>
      </c>
      <c r="AA19" s="32" t="s">
        <v>284</v>
      </c>
    </row>
    <row r="20" spans="1:27" ht="19.899999999999999" customHeight="1" x14ac:dyDescent="0.35">
      <c r="A20" s="75"/>
      <c r="B20" s="578" t="s">
        <v>278</v>
      </c>
      <c r="C20" s="578"/>
      <c r="D20" s="578"/>
      <c r="E20" s="578"/>
      <c r="F20" s="578"/>
      <c r="G20" s="578"/>
      <c r="H20" s="578"/>
      <c r="I20" s="578"/>
      <c r="J20" s="75"/>
      <c r="K20" s="578" t="s">
        <v>247</v>
      </c>
      <c r="L20" s="578"/>
      <c r="M20" s="578"/>
      <c r="N20" s="578"/>
      <c r="O20" s="578"/>
      <c r="P20" s="578"/>
      <c r="Q20" s="578"/>
      <c r="R20" s="578"/>
      <c r="S20" s="75"/>
      <c r="T20" s="579" t="s">
        <v>279</v>
      </c>
      <c r="U20" s="580"/>
      <c r="V20" s="580"/>
      <c r="W20" s="580"/>
      <c r="X20" s="580"/>
      <c r="Y20" s="580"/>
      <c r="Z20" s="580"/>
      <c r="AA20" s="581"/>
    </row>
    <row r="21" spans="1:27" x14ac:dyDescent="0.25">
      <c r="A21" s="75"/>
      <c r="B21" s="10" t="s">
        <v>31</v>
      </c>
      <c r="C21" s="11">
        <v>1</v>
      </c>
      <c r="D21" s="10" t="s">
        <v>37</v>
      </c>
      <c r="E21" s="12" t="s">
        <v>76</v>
      </c>
      <c r="F21" s="145">
        <f>C21*5</f>
        <v>5</v>
      </c>
      <c r="G21" s="26"/>
      <c r="H21" s="95">
        <v>44487</v>
      </c>
      <c r="I21" s="32" t="s">
        <v>284</v>
      </c>
      <c r="J21" s="75"/>
      <c r="K21" s="10" t="s">
        <v>28</v>
      </c>
      <c r="L21" s="11">
        <v>1</v>
      </c>
      <c r="M21" s="10" t="s">
        <v>36</v>
      </c>
      <c r="N21" s="12" t="s">
        <v>75</v>
      </c>
      <c r="O21" s="149">
        <f>L21*15</f>
        <v>15</v>
      </c>
      <c r="P21" s="22"/>
      <c r="Q21" s="95">
        <v>44782</v>
      </c>
      <c r="R21" s="32" t="s">
        <v>284</v>
      </c>
      <c r="S21" s="75"/>
      <c r="T21" s="10" t="s">
        <v>28</v>
      </c>
      <c r="U21" s="11">
        <v>1</v>
      </c>
      <c r="V21" s="10" t="s">
        <v>141</v>
      </c>
      <c r="W21" s="88" t="s">
        <v>75</v>
      </c>
      <c r="X21" s="149">
        <f>U21*33</f>
        <v>33</v>
      </c>
      <c r="Y21" s="145"/>
      <c r="Z21" s="95">
        <v>44757</v>
      </c>
      <c r="AA21" s="32" t="s">
        <v>284</v>
      </c>
    </row>
    <row r="22" spans="1:27" x14ac:dyDescent="0.25">
      <c r="A22" s="75"/>
      <c r="B22" s="10" t="s">
        <v>31</v>
      </c>
      <c r="C22" s="11">
        <v>1</v>
      </c>
      <c r="D22" s="10" t="s">
        <v>135</v>
      </c>
      <c r="E22" s="12" t="s">
        <v>76</v>
      </c>
      <c r="F22" s="145">
        <v>9</v>
      </c>
      <c r="G22" s="26"/>
      <c r="H22" s="95">
        <v>44782</v>
      </c>
      <c r="I22" s="32" t="s">
        <v>284</v>
      </c>
      <c r="J22" s="75"/>
      <c r="K22" s="10" t="s">
        <v>28</v>
      </c>
      <c r="L22" s="11">
        <v>1</v>
      </c>
      <c r="M22" s="10" t="s">
        <v>34</v>
      </c>
      <c r="N22" s="12" t="s">
        <v>75</v>
      </c>
      <c r="O22" s="149">
        <f>L22*25</f>
        <v>25</v>
      </c>
      <c r="P22" s="22"/>
      <c r="Q22" s="95">
        <v>44782</v>
      </c>
      <c r="R22" s="32" t="s">
        <v>284</v>
      </c>
      <c r="S22" s="75"/>
      <c r="T22" s="10" t="s">
        <v>28</v>
      </c>
      <c r="U22" s="11">
        <v>1</v>
      </c>
      <c r="V22" s="10" t="s">
        <v>143</v>
      </c>
      <c r="W22" s="88" t="s">
        <v>75</v>
      </c>
      <c r="X22" s="149">
        <f>U22*53</f>
        <v>53</v>
      </c>
      <c r="Y22" s="145"/>
      <c r="Z22" s="95">
        <v>44651</v>
      </c>
      <c r="AA22" s="32" t="s">
        <v>284</v>
      </c>
    </row>
    <row r="23" spans="1:27" x14ac:dyDescent="0.25">
      <c r="A23" s="75"/>
      <c r="B23" s="10" t="s">
        <v>31</v>
      </c>
      <c r="C23" s="11">
        <v>1</v>
      </c>
      <c r="D23" s="10" t="s">
        <v>38</v>
      </c>
      <c r="E23" s="12" t="s">
        <v>76</v>
      </c>
      <c r="F23" s="149">
        <f>C23*12</f>
        <v>12</v>
      </c>
      <c r="G23" s="145"/>
      <c r="H23" s="95">
        <v>44798</v>
      </c>
      <c r="I23" s="32" t="s">
        <v>284</v>
      </c>
      <c r="J23" s="75"/>
      <c r="K23" s="10" t="s">
        <v>28</v>
      </c>
      <c r="L23" s="11">
        <v>1</v>
      </c>
      <c r="M23" s="10" t="s">
        <v>35</v>
      </c>
      <c r="N23" s="12" t="s">
        <v>75</v>
      </c>
      <c r="O23" s="149">
        <f>L23*40</f>
        <v>40</v>
      </c>
      <c r="P23" s="22"/>
      <c r="Q23" s="95">
        <v>44782</v>
      </c>
      <c r="R23" s="32" t="s">
        <v>284</v>
      </c>
      <c r="S23" s="75"/>
      <c r="T23" s="10" t="s">
        <v>28</v>
      </c>
      <c r="U23" s="11">
        <v>1</v>
      </c>
      <c r="V23" s="10" t="s">
        <v>145</v>
      </c>
      <c r="W23" s="88" t="s">
        <v>75</v>
      </c>
      <c r="X23" s="149">
        <f>U23*69</f>
        <v>69</v>
      </c>
      <c r="Y23" s="145"/>
      <c r="Z23" s="95">
        <v>44757</v>
      </c>
      <c r="AA23" s="32" t="s">
        <v>284</v>
      </c>
    </row>
    <row r="24" spans="1:27" x14ac:dyDescent="0.25">
      <c r="A24" s="75"/>
      <c r="B24" s="10" t="s">
        <v>31</v>
      </c>
      <c r="C24" s="11">
        <v>1</v>
      </c>
      <c r="D24" s="10" t="s">
        <v>41</v>
      </c>
      <c r="E24" s="12" t="s">
        <v>76</v>
      </c>
      <c r="F24" s="149">
        <f>C24*31</f>
        <v>31</v>
      </c>
      <c r="G24" s="22"/>
      <c r="H24" s="95">
        <v>44757</v>
      </c>
      <c r="I24" s="32" t="s">
        <v>284</v>
      </c>
      <c r="J24" s="75"/>
      <c r="K24" s="41" t="s">
        <v>28</v>
      </c>
      <c r="L24" s="42">
        <v>1</v>
      </c>
      <c r="M24" s="41" t="s">
        <v>40</v>
      </c>
      <c r="N24" s="88" t="s">
        <v>75</v>
      </c>
      <c r="O24" s="149">
        <f>L24*75</f>
        <v>75</v>
      </c>
      <c r="P24" s="145"/>
      <c r="Q24" s="95">
        <v>44782</v>
      </c>
      <c r="R24" s="32" t="s">
        <v>284</v>
      </c>
      <c r="S24" s="75"/>
      <c r="T24" s="10" t="s">
        <v>28</v>
      </c>
      <c r="U24" s="11">
        <v>1</v>
      </c>
      <c r="V24" s="10" t="s">
        <v>147</v>
      </c>
      <c r="W24" s="88" t="s">
        <v>75</v>
      </c>
      <c r="X24" s="149">
        <f>U24*144</f>
        <v>144</v>
      </c>
      <c r="Y24" s="145"/>
      <c r="Z24" s="95">
        <v>44651</v>
      </c>
      <c r="AA24" s="32" t="s">
        <v>284</v>
      </c>
    </row>
    <row r="25" spans="1:27" x14ac:dyDescent="0.25">
      <c r="A25" s="75"/>
      <c r="B25" s="10" t="s">
        <v>31</v>
      </c>
      <c r="C25" s="11">
        <v>1</v>
      </c>
      <c r="D25" s="10" t="s">
        <v>136</v>
      </c>
      <c r="E25" s="12" t="s">
        <v>76</v>
      </c>
      <c r="F25" s="149">
        <f>C25*57</f>
        <v>57</v>
      </c>
      <c r="G25" s="22"/>
      <c r="H25" s="95">
        <v>44782</v>
      </c>
      <c r="I25" s="32" t="s">
        <v>284</v>
      </c>
      <c r="J25" s="75"/>
      <c r="K25" s="10" t="s">
        <v>28</v>
      </c>
      <c r="L25" s="11">
        <v>1</v>
      </c>
      <c r="M25" s="10" t="s">
        <v>43</v>
      </c>
      <c r="N25" s="12" t="s">
        <v>75</v>
      </c>
      <c r="O25" s="149">
        <f>L25*105</f>
        <v>105</v>
      </c>
      <c r="P25" s="22"/>
      <c r="Q25" s="95">
        <v>44782</v>
      </c>
      <c r="R25" s="32" t="s">
        <v>284</v>
      </c>
      <c r="S25" s="75"/>
      <c r="T25" s="10" t="s">
        <v>28</v>
      </c>
      <c r="U25" s="11">
        <v>1</v>
      </c>
      <c r="V25" s="10" t="s">
        <v>149</v>
      </c>
      <c r="W25" s="88" t="s">
        <v>75</v>
      </c>
      <c r="X25" s="149">
        <f>U25*220</f>
        <v>220</v>
      </c>
      <c r="Y25" s="145"/>
      <c r="Z25" s="95">
        <v>44651</v>
      </c>
      <c r="AA25" s="32" t="s">
        <v>284</v>
      </c>
    </row>
    <row r="26" spans="1:27" x14ac:dyDescent="0.25">
      <c r="A26" s="75"/>
      <c r="B26" s="10" t="s">
        <v>31</v>
      </c>
      <c r="C26" s="11">
        <v>1</v>
      </c>
      <c r="D26" s="10" t="s">
        <v>46</v>
      </c>
      <c r="E26" s="12" t="s">
        <v>76</v>
      </c>
      <c r="F26" s="149">
        <f>C26*150</f>
        <v>150</v>
      </c>
      <c r="G26" s="26"/>
      <c r="H26" s="95">
        <v>44487</v>
      </c>
      <c r="I26" s="32" t="s">
        <v>284</v>
      </c>
      <c r="J26" s="75"/>
      <c r="K26" s="10" t="s">
        <v>28</v>
      </c>
      <c r="L26" s="11">
        <v>1</v>
      </c>
      <c r="M26" s="10" t="s">
        <v>45</v>
      </c>
      <c r="N26" s="12" t="s">
        <v>75</v>
      </c>
      <c r="O26" s="111">
        <f>L26*155</f>
        <v>155</v>
      </c>
      <c r="P26" s="26"/>
      <c r="Q26" s="95">
        <v>44487</v>
      </c>
      <c r="R26" s="32" t="s">
        <v>284</v>
      </c>
      <c r="S26" s="75"/>
      <c r="T26" s="10" t="s">
        <v>28</v>
      </c>
      <c r="U26" s="11">
        <v>1</v>
      </c>
      <c r="V26" s="10" t="s">
        <v>160</v>
      </c>
      <c r="W26" s="12" t="s">
        <v>75</v>
      </c>
      <c r="X26" s="111">
        <f>U26*238</f>
        <v>238</v>
      </c>
      <c r="Y26" s="26"/>
      <c r="Z26" s="95">
        <v>44487</v>
      </c>
      <c r="AA26" s="32" t="s">
        <v>284</v>
      </c>
    </row>
    <row r="27" spans="1:27" x14ac:dyDescent="0.25">
      <c r="A27" s="75"/>
      <c r="B27" s="10" t="s">
        <v>31</v>
      </c>
      <c r="C27" s="11">
        <v>1</v>
      </c>
      <c r="D27" s="10" t="s">
        <v>49</v>
      </c>
      <c r="E27" s="12" t="s">
        <v>76</v>
      </c>
      <c r="F27" s="92">
        <f>C27*174</f>
        <v>174</v>
      </c>
      <c r="G27" s="26"/>
      <c r="H27" s="95">
        <v>44774</v>
      </c>
      <c r="I27" s="32" t="s">
        <v>284</v>
      </c>
      <c r="J27" s="75"/>
      <c r="K27" s="10" t="s">
        <v>28</v>
      </c>
      <c r="L27" s="11">
        <v>1</v>
      </c>
      <c r="M27" s="10" t="s">
        <v>48</v>
      </c>
      <c r="N27" s="12" t="s">
        <v>75</v>
      </c>
      <c r="O27" s="145">
        <f>L27*180</f>
        <v>180</v>
      </c>
      <c r="P27" s="26"/>
      <c r="Q27" s="95">
        <v>44782</v>
      </c>
      <c r="R27" s="32" t="s">
        <v>284</v>
      </c>
      <c r="S27" s="75"/>
      <c r="T27" s="10" t="s">
        <v>28</v>
      </c>
      <c r="U27" s="11">
        <v>1</v>
      </c>
      <c r="V27" s="10" t="s">
        <v>162</v>
      </c>
      <c r="W27" s="12" t="s">
        <v>75</v>
      </c>
      <c r="X27" s="145">
        <f>U27*368</f>
        <v>368</v>
      </c>
      <c r="Y27" s="26"/>
      <c r="Z27" s="95">
        <v>44651</v>
      </c>
      <c r="AA27" s="32" t="s">
        <v>284</v>
      </c>
    </row>
    <row r="28" spans="1:27" x14ac:dyDescent="0.25">
      <c r="A28" s="75"/>
      <c r="B28" s="10" t="s">
        <v>31</v>
      </c>
      <c r="C28" s="11">
        <v>1</v>
      </c>
      <c r="D28" s="10" t="s">
        <v>137</v>
      </c>
      <c r="E28" s="12" t="s">
        <v>76</v>
      </c>
      <c r="F28" s="149">
        <f>C28*238</f>
        <v>238</v>
      </c>
      <c r="G28" s="26"/>
      <c r="H28" s="95">
        <v>44487</v>
      </c>
      <c r="I28" s="32" t="s">
        <v>284</v>
      </c>
      <c r="J28" s="75"/>
      <c r="K28" s="10" t="s">
        <v>28</v>
      </c>
      <c r="L28" s="11">
        <v>1</v>
      </c>
      <c r="M28" s="10" t="s">
        <v>51</v>
      </c>
      <c r="N28" s="12" t="s">
        <v>75</v>
      </c>
      <c r="O28" s="145">
        <f>L28*284</f>
        <v>284</v>
      </c>
      <c r="P28" s="26"/>
      <c r="Q28" s="95">
        <v>44757</v>
      </c>
      <c r="R28" s="32" t="s">
        <v>284</v>
      </c>
      <c r="S28" s="75"/>
      <c r="T28" s="10" t="s">
        <v>28</v>
      </c>
      <c r="U28" s="11">
        <v>1</v>
      </c>
      <c r="V28" s="10" t="s">
        <v>164</v>
      </c>
      <c r="W28" s="12" t="s">
        <v>75</v>
      </c>
      <c r="X28" s="145">
        <f>U28*569</f>
        <v>569</v>
      </c>
      <c r="Y28" s="93"/>
      <c r="Z28" s="95">
        <v>44651</v>
      </c>
      <c r="AA28" s="32" t="s">
        <v>284</v>
      </c>
    </row>
    <row r="29" spans="1:27" x14ac:dyDescent="0.25">
      <c r="A29" s="75"/>
      <c r="B29" s="10" t="s">
        <v>31</v>
      </c>
      <c r="C29" s="11">
        <v>1</v>
      </c>
      <c r="D29" s="10" t="s">
        <v>54</v>
      </c>
      <c r="E29" s="12" t="s">
        <v>76</v>
      </c>
      <c r="F29" s="92">
        <f>C29*519</f>
        <v>519</v>
      </c>
      <c r="G29" s="26"/>
      <c r="H29" s="95">
        <v>44487</v>
      </c>
      <c r="I29" s="32" t="s">
        <v>284</v>
      </c>
      <c r="J29" s="75"/>
      <c r="K29" s="10" t="s">
        <v>28</v>
      </c>
      <c r="L29" s="11">
        <v>1</v>
      </c>
      <c r="M29" s="10" t="s">
        <v>53</v>
      </c>
      <c r="N29" s="12" t="s">
        <v>75</v>
      </c>
      <c r="O29" s="149">
        <f>L29*330</f>
        <v>330</v>
      </c>
      <c r="P29" s="93"/>
      <c r="Q29" s="95">
        <v>44798</v>
      </c>
      <c r="R29" s="32" t="s">
        <v>284</v>
      </c>
      <c r="S29" s="75"/>
      <c r="T29" s="10" t="s">
        <v>28</v>
      </c>
      <c r="U29" s="11">
        <v>1</v>
      </c>
      <c r="V29" s="10" t="s">
        <v>166</v>
      </c>
      <c r="W29" s="88" t="s">
        <v>75</v>
      </c>
      <c r="X29" s="149">
        <f>U29*969</f>
        <v>969</v>
      </c>
      <c r="Y29" s="93"/>
      <c r="Z29" s="95">
        <v>44651</v>
      </c>
      <c r="AA29" s="32" t="s">
        <v>284</v>
      </c>
    </row>
    <row r="30" spans="1:27" x14ac:dyDescent="0.25">
      <c r="A30" s="75"/>
      <c r="B30" s="10" t="s">
        <v>31</v>
      </c>
      <c r="C30" s="11">
        <v>1</v>
      </c>
      <c r="D30" s="10" t="s">
        <v>57</v>
      </c>
      <c r="E30" s="12" t="s">
        <v>76</v>
      </c>
      <c r="F30" s="92">
        <v>824</v>
      </c>
      <c r="G30" s="93"/>
      <c r="H30" s="95">
        <v>44651</v>
      </c>
      <c r="I30" s="32" t="s">
        <v>284</v>
      </c>
      <c r="J30" s="75"/>
      <c r="K30" s="10" t="s">
        <v>28</v>
      </c>
      <c r="L30" s="11">
        <v>1</v>
      </c>
      <c r="M30" s="10" t="s">
        <v>56</v>
      </c>
      <c r="N30" s="12" t="s">
        <v>75</v>
      </c>
      <c r="O30" s="92">
        <f>L30*482</f>
        <v>482</v>
      </c>
      <c r="P30" s="93"/>
      <c r="Q30" s="95">
        <v>44651</v>
      </c>
      <c r="R30" s="32" t="s">
        <v>284</v>
      </c>
      <c r="S30" s="75"/>
      <c r="T30" s="10" t="s">
        <v>28</v>
      </c>
      <c r="U30" s="11">
        <v>1</v>
      </c>
      <c r="V30" s="10" t="s">
        <v>168</v>
      </c>
      <c r="W30" s="88" t="s">
        <v>75</v>
      </c>
      <c r="X30" s="92">
        <f>U30*1178</f>
        <v>1178</v>
      </c>
      <c r="Y30" s="93"/>
      <c r="Z30" s="95">
        <v>44651</v>
      </c>
      <c r="AA30" s="32" t="s">
        <v>284</v>
      </c>
    </row>
    <row r="31" spans="1:27" x14ac:dyDescent="0.25">
      <c r="A31" s="75"/>
      <c r="B31" s="10" t="s">
        <v>31</v>
      </c>
      <c r="C31" s="11">
        <v>1</v>
      </c>
      <c r="D31" s="10" t="s">
        <v>138</v>
      </c>
      <c r="E31" s="12" t="s">
        <v>76</v>
      </c>
      <c r="F31" s="568" t="s">
        <v>282</v>
      </c>
      <c r="G31" s="569"/>
      <c r="H31" s="569"/>
      <c r="I31" s="570"/>
      <c r="J31" s="75"/>
      <c r="K31" s="10" t="s">
        <v>399</v>
      </c>
      <c r="L31" s="11">
        <v>1</v>
      </c>
      <c r="M31" s="10" t="s">
        <v>405</v>
      </c>
      <c r="N31" s="12" t="s">
        <v>80</v>
      </c>
      <c r="O31" s="568" t="s">
        <v>283</v>
      </c>
      <c r="P31" s="569"/>
      <c r="Q31" s="569"/>
      <c r="R31" s="570"/>
      <c r="S31" s="75"/>
      <c r="T31" s="10" t="s">
        <v>399</v>
      </c>
      <c r="U31" s="11">
        <v>1</v>
      </c>
      <c r="V31" s="10" t="s">
        <v>408</v>
      </c>
      <c r="W31" s="12" t="s">
        <v>80</v>
      </c>
      <c r="X31" s="568" t="s">
        <v>283</v>
      </c>
      <c r="Y31" s="569"/>
      <c r="Z31" s="569"/>
      <c r="AA31" s="570"/>
    </row>
    <row r="32" spans="1:27" x14ac:dyDescent="0.25">
      <c r="A32" s="75"/>
      <c r="B32" s="10" t="s">
        <v>31</v>
      </c>
      <c r="C32" s="11">
        <v>1</v>
      </c>
      <c r="D32" s="10" t="s">
        <v>62</v>
      </c>
      <c r="E32" s="12" t="s">
        <v>76</v>
      </c>
      <c r="F32" s="571"/>
      <c r="G32" s="572"/>
      <c r="H32" s="572"/>
      <c r="I32" s="573"/>
      <c r="J32" s="75"/>
      <c r="K32" s="10" t="s">
        <v>400</v>
      </c>
      <c r="L32" s="11">
        <v>1</v>
      </c>
      <c r="M32" s="10" t="s">
        <v>406</v>
      </c>
      <c r="N32" s="12" t="s">
        <v>80</v>
      </c>
      <c r="O32" s="571"/>
      <c r="P32" s="572"/>
      <c r="Q32" s="572"/>
      <c r="R32" s="573"/>
      <c r="S32" s="75"/>
      <c r="T32" s="10" t="s">
        <v>400</v>
      </c>
      <c r="U32" s="11">
        <v>1</v>
      </c>
      <c r="V32" s="10" t="s">
        <v>409</v>
      </c>
      <c r="W32" s="12" t="s">
        <v>80</v>
      </c>
      <c r="X32" s="571"/>
      <c r="Y32" s="572"/>
      <c r="Z32" s="572"/>
      <c r="AA32" s="573"/>
    </row>
    <row r="33" spans="1:27" x14ac:dyDescent="0.25">
      <c r="A33" s="75"/>
      <c r="B33" s="10" t="s">
        <v>31</v>
      </c>
      <c r="C33" s="11">
        <v>1</v>
      </c>
      <c r="D33" s="10" t="s">
        <v>65</v>
      </c>
      <c r="E33" s="12" t="s">
        <v>76</v>
      </c>
      <c r="F33" s="571"/>
      <c r="G33" s="572"/>
      <c r="H33" s="572"/>
      <c r="I33" s="573"/>
      <c r="J33" s="75"/>
      <c r="K33" s="10" t="s">
        <v>401</v>
      </c>
      <c r="L33" s="11">
        <v>1</v>
      </c>
      <c r="M33" s="10" t="s">
        <v>407</v>
      </c>
      <c r="N33" s="12" t="s">
        <v>80</v>
      </c>
      <c r="O33" s="571"/>
      <c r="P33" s="572"/>
      <c r="Q33" s="572"/>
      <c r="R33" s="573"/>
      <c r="S33" s="75"/>
      <c r="T33" s="10" t="s">
        <v>401</v>
      </c>
      <c r="U33" s="11">
        <v>1</v>
      </c>
      <c r="V33" s="10" t="s">
        <v>410</v>
      </c>
      <c r="W33" s="12" t="s">
        <v>80</v>
      </c>
      <c r="X33" s="571"/>
      <c r="Y33" s="572"/>
      <c r="Z33" s="572"/>
      <c r="AA33" s="573"/>
    </row>
    <row r="34" spans="1:27" x14ac:dyDescent="0.25">
      <c r="A34" s="75"/>
      <c r="B34" s="10" t="s">
        <v>31</v>
      </c>
      <c r="C34" s="11">
        <v>1</v>
      </c>
      <c r="D34" s="10" t="s">
        <v>68</v>
      </c>
      <c r="E34" s="12" t="s">
        <v>76</v>
      </c>
      <c r="F34" s="571"/>
      <c r="G34" s="572"/>
      <c r="H34" s="572"/>
      <c r="I34" s="573"/>
      <c r="J34" s="75"/>
      <c r="K34" s="10" t="s">
        <v>402</v>
      </c>
      <c r="L34" s="11">
        <v>1</v>
      </c>
      <c r="M34" s="10" t="s">
        <v>121</v>
      </c>
      <c r="N34" s="12" t="s">
        <v>80</v>
      </c>
      <c r="O34" s="571"/>
      <c r="P34" s="572"/>
      <c r="Q34" s="572"/>
      <c r="R34" s="573"/>
      <c r="S34" s="75"/>
      <c r="T34" s="10" t="s">
        <v>402</v>
      </c>
      <c r="U34" s="11">
        <v>1</v>
      </c>
      <c r="V34" s="10" t="s">
        <v>411</v>
      </c>
      <c r="W34" s="12" t="s">
        <v>80</v>
      </c>
      <c r="X34" s="571"/>
      <c r="Y34" s="572"/>
      <c r="Z34" s="572"/>
      <c r="AA34" s="573"/>
    </row>
    <row r="35" spans="1:27" x14ac:dyDescent="0.25">
      <c r="A35" s="75"/>
      <c r="B35" s="10" t="s">
        <v>31</v>
      </c>
      <c r="C35" s="11">
        <v>1</v>
      </c>
      <c r="D35" s="10" t="s">
        <v>139</v>
      </c>
      <c r="E35" s="12" t="s">
        <v>76</v>
      </c>
      <c r="F35" s="571"/>
      <c r="G35" s="572"/>
      <c r="H35" s="572"/>
      <c r="I35" s="573"/>
      <c r="J35" s="75"/>
      <c r="K35" s="10" t="s">
        <v>403</v>
      </c>
      <c r="L35" s="11">
        <v>1</v>
      </c>
      <c r="M35" s="10" t="s">
        <v>100</v>
      </c>
      <c r="N35" s="12" t="s">
        <v>80</v>
      </c>
      <c r="O35" s="571"/>
      <c r="P35" s="572"/>
      <c r="Q35" s="572"/>
      <c r="R35" s="573"/>
      <c r="S35" s="75"/>
      <c r="T35" s="10" t="s">
        <v>403</v>
      </c>
      <c r="U35" s="11">
        <v>1</v>
      </c>
      <c r="V35" s="10" t="s">
        <v>412</v>
      </c>
      <c r="W35" s="12" t="s">
        <v>80</v>
      </c>
      <c r="X35" s="571"/>
      <c r="Y35" s="572"/>
      <c r="Z35" s="572"/>
      <c r="AA35" s="573"/>
    </row>
    <row r="36" spans="1:27" x14ac:dyDescent="0.25">
      <c r="A36" s="75"/>
      <c r="B36" s="10" t="s">
        <v>31</v>
      </c>
      <c r="C36" s="11">
        <v>1</v>
      </c>
      <c r="D36" s="10" t="s">
        <v>73</v>
      </c>
      <c r="E36" s="12" t="s">
        <v>76</v>
      </c>
      <c r="F36" s="574"/>
      <c r="G36" s="575"/>
      <c r="H36" s="575"/>
      <c r="I36" s="576"/>
      <c r="J36" s="75"/>
      <c r="K36" s="10" t="s">
        <v>404</v>
      </c>
      <c r="L36" s="11">
        <v>1</v>
      </c>
      <c r="M36" s="10" t="s">
        <v>122</v>
      </c>
      <c r="N36" s="12" t="s">
        <v>80</v>
      </c>
      <c r="O36" s="574"/>
      <c r="P36" s="575"/>
      <c r="Q36" s="575"/>
      <c r="R36" s="576"/>
      <c r="S36" s="75"/>
      <c r="T36" s="10" t="s">
        <v>404</v>
      </c>
      <c r="U36" s="11">
        <v>1</v>
      </c>
      <c r="V36" s="10" t="s">
        <v>413</v>
      </c>
      <c r="W36" s="12" t="s">
        <v>80</v>
      </c>
      <c r="X36" s="574"/>
      <c r="Y36" s="575"/>
      <c r="Z36" s="575"/>
      <c r="AA36" s="576"/>
    </row>
    <row r="37" spans="1:27" ht="19.899999999999999" customHeight="1" x14ac:dyDescent="0.35">
      <c r="A37" s="75"/>
      <c r="B37" s="579" t="s">
        <v>248</v>
      </c>
      <c r="C37" s="580"/>
      <c r="D37" s="580"/>
      <c r="E37" s="580"/>
      <c r="F37" s="580"/>
      <c r="G37" s="580"/>
      <c r="H37" s="580"/>
      <c r="I37" s="581"/>
      <c r="J37" s="75"/>
      <c r="K37" s="579" t="s">
        <v>280</v>
      </c>
      <c r="L37" s="580"/>
      <c r="M37" s="580"/>
      <c r="N37" s="580"/>
      <c r="O37" s="580"/>
      <c r="P37" s="580"/>
      <c r="Q37" s="580"/>
      <c r="R37" s="581"/>
      <c r="S37" s="75"/>
      <c r="T37" s="579" t="s">
        <v>281</v>
      </c>
      <c r="U37" s="580"/>
      <c r="V37" s="580"/>
      <c r="W37" s="580"/>
      <c r="X37" s="580"/>
      <c r="Y37" s="580"/>
      <c r="Z37" s="580"/>
      <c r="AA37" s="581"/>
    </row>
    <row r="38" spans="1:27" x14ac:dyDescent="0.25">
      <c r="A38" s="75"/>
      <c r="B38" s="10" t="s">
        <v>28</v>
      </c>
      <c r="C38" s="11">
        <v>1</v>
      </c>
      <c r="D38" s="10" t="s">
        <v>36</v>
      </c>
      <c r="E38" s="12" t="s">
        <v>274</v>
      </c>
      <c r="F38" s="145"/>
      <c r="G38" s="26"/>
      <c r="H38" s="95"/>
      <c r="I38" s="32"/>
      <c r="J38" s="75"/>
      <c r="K38" s="10" t="s">
        <v>28</v>
      </c>
      <c r="L38" s="11">
        <v>1</v>
      </c>
      <c r="M38" s="10" t="s">
        <v>141</v>
      </c>
      <c r="N38" s="12" t="s">
        <v>274</v>
      </c>
      <c r="O38" s="145"/>
      <c r="P38" s="26"/>
      <c r="Q38" s="95"/>
      <c r="R38" s="23"/>
      <c r="S38" s="75"/>
      <c r="T38" s="14" t="s">
        <v>198</v>
      </c>
      <c r="U38" s="12">
        <v>1</v>
      </c>
      <c r="V38" s="10" t="s">
        <v>199</v>
      </c>
      <c r="W38" s="12" t="s">
        <v>74</v>
      </c>
      <c r="X38" s="92">
        <f>U38*2</f>
        <v>2</v>
      </c>
      <c r="Y38" s="26"/>
      <c r="Z38" s="95">
        <v>44404</v>
      </c>
      <c r="AA38" s="13" t="s">
        <v>158</v>
      </c>
    </row>
    <row r="39" spans="1:27" x14ac:dyDescent="0.25">
      <c r="A39" s="75"/>
      <c r="B39" s="10" t="s">
        <v>28</v>
      </c>
      <c r="C39" s="11">
        <v>1</v>
      </c>
      <c r="D39" s="10" t="s">
        <v>34</v>
      </c>
      <c r="E39" s="12" t="s">
        <v>274</v>
      </c>
      <c r="F39" s="145"/>
      <c r="G39" s="26"/>
      <c r="H39" s="95"/>
      <c r="I39" s="23"/>
      <c r="J39" s="75"/>
      <c r="K39" s="10" t="s">
        <v>28</v>
      </c>
      <c r="L39" s="11">
        <v>1</v>
      </c>
      <c r="M39" s="10" t="s">
        <v>143</v>
      </c>
      <c r="N39" s="12" t="s">
        <v>274</v>
      </c>
      <c r="O39" s="145"/>
      <c r="P39" s="26"/>
      <c r="Q39" s="95"/>
      <c r="R39" s="23"/>
      <c r="S39" s="75"/>
      <c r="T39" s="14" t="s">
        <v>198</v>
      </c>
      <c r="U39" s="12">
        <v>1</v>
      </c>
      <c r="V39" s="10" t="s">
        <v>200</v>
      </c>
      <c r="W39" s="12" t="s">
        <v>74</v>
      </c>
      <c r="X39" s="92"/>
      <c r="Y39" s="26"/>
      <c r="Z39" s="95"/>
      <c r="AA39" s="13"/>
    </row>
    <row r="40" spans="1:27" x14ac:dyDescent="0.25">
      <c r="A40" s="75"/>
      <c r="B40" s="10" t="s">
        <v>28</v>
      </c>
      <c r="C40" s="11">
        <v>1</v>
      </c>
      <c r="D40" s="10" t="s">
        <v>35</v>
      </c>
      <c r="E40" s="12" t="s">
        <v>274</v>
      </c>
      <c r="F40" s="145"/>
      <c r="G40" s="22"/>
      <c r="H40" s="95"/>
      <c r="I40" s="23"/>
      <c r="J40" s="75"/>
      <c r="K40" s="10" t="s">
        <v>28</v>
      </c>
      <c r="L40" s="11">
        <v>1</v>
      </c>
      <c r="M40" s="10" t="s">
        <v>145</v>
      </c>
      <c r="N40" s="12" t="s">
        <v>274</v>
      </c>
      <c r="O40" s="145">
        <f>L40*79</f>
        <v>79</v>
      </c>
      <c r="P40" s="22"/>
      <c r="Q40" s="95">
        <v>44742</v>
      </c>
      <c r="R40" s="23" t="s">
        <v>284</v>
      </c>
      <c r="S40" s="75"/>
      <c r="T40" s="14" t="s">
        <v>198</v>
      </c>
      <c r="U40" s="12">
        <v>1</v>
      </c>
      <c r="V40" s="10" t="s">
        <v>201</v>
      </c>
      <c r="W40" s="12" t="s">
        <v>74</v>
      </c>
      <c r="X40" s="92">
        <f>U40*3</f>
        <v>3</v>
      </c>
      <c r="Y40" s="26"/>
      <c r="Z40" s="95">
        <v>44404</v>
      </c>
      <c r="AA40" s="13" t="s">
        <v>158</v>
      </c>
    </row>
    <row r="41" spans="1:27" x14ac:dyDescent="0.25">
      <c r="A41" s="75"/>
      <c r="B41" s="10" t="s">
        <v>28</v>
      </c>
      <c r="C41" s="11">
        <v>1</v>
      </c>
      <c r="D41" s="10" t="s">
        <v>40</v>
      </c>
      <c r="E41" s="12" t="s">
        <v>274</v>
      </c>
      <c r="F41" s="149"/>
      <c r="G41" s="22"/>
      <c r="H41" s="95"/>
      <c r="I41" s="23"/>
      <c r="J41" s="75"/>
      <c r="K41" s="10" t="s">
        <v>28</v>
      </c>
      <c r="L41" s="11">
        <v>1</v>
      </c>
      <c r="M41" s="10" t="s">
        <v>147</v>
      </c>
      <c r="N41" s="12" t="s">
        <v>274</v>
      </c>
      <c r="O41" s="149"/>
      <c r="P41" s="22"/>
      <c r="Q41" s="95"/>
      <c r="R41" s="23"/>
      <c r="S41" s="75"/>
      <c r="T41" s="14" t="s">
        <v>198</v>
      </c>
      <c r="U41" s="12">
        <v>1</v>
      </c>
      <c r="V41" s="10" t="s">
        <v>202</v>
      </c>
      <c r="W41" s="12" t="s">
        <v>74</v>
      </c>
      <c r="X41" s="92">
        <f>U41*4</f>
        <v>4</v>
      </c>
      <c r="Y41" s="26"/>
      <c r="Z41" s="95">
        <v>44404</v>
      </c>
      <c r="AA41" s="13" t="s">
        <v>158</v>
      </c>
    </row>
    <row r="42" spans="1:27" x14ac:dyDescent="0.25">
      <c r="A42" s="75"/>
      <c r="B42" s="10" t="s">
        <v>28</v>
      </c>
      <c r="C42" s="11">
        <v>1</v>
      </c>
      <c r="D42" s="10" t="s">
        <v>43</v>
      </c>
      <c r="E42" s="12" t="s">
        <v>274</v>
      </c>
      <c r="F42" s="149"/>
      <c r="G42" s="22"/>
      <c r="H42" s="95"/>
      <c r="I42" s="23"/>
      <c r="J42" s="75"/>
      <c r="K42" s="10" t="s">
        <v>28</v>
      </c>
      <c r="L42" s="11">
        <v>1</v>
      </c>
      <c r="M42" s="10" t="s">
        <v>149</v>
      </c>
      <c r="N42" s="12" t="s">
        <v>274</v>
      </c>
      <c r="O42" s="149"/>
      <c r="P42" s="22"/>
      <c r="Q42" s="95"/>
      <c r="R42" s="23"/>
      <c r="S42" s="75"/>
      <c r="T42" s="14" t="s">
        <v>198</v>
      </c>
      <c r="U42" s="12">
        <v>1</v>
      </c>
      <c r="V42" s="10" t="s">
        <v>203</v>
      </c>
      <c r="W42" s="12" t="s">
        <v>74</v>
      </c>
      <c r="X42" s="92">
        <f>U42*5</f>
        <v>5</v>
      </c>
      <c r="Y42" s="26"/>
      <c r="Z42" s="95">
        <v>44404</v>
      </c>
      <c r="AA42" s="13" t="s">
        <v>158</v>
      </c>
    </row>
    <row r="43" spans="1:27" x14ac:dyDescent="0.25">
      <c r="A43" s="75"/>
      <c r="B43" s="10" t="s">
        <v>28</v>
      </c>
      <c r="C43" s="11">
        <v>1</v>
      </c>
      <c r="D43" s="10" t="s">
        <v>45</v>
      </c>
      <c r="E43" s="12" t="s">
        <v>274</v>
      </c>
      <c r="F43" s="111"/>
      <c r="G43" s="26"/>
      <c r="H43" s="95"/>
      <c r="I43" s="23"/>
      <c r="J43" s="75"/>
      <c r="K43" s="10" t="s">
        <v>28</v>
      </c>
      <c r="L43" s="11">
        <v>1</v>
      </c>
      <c r="M43" s="10" t="s">
        <v>160</v>
      </c>
      <c r="N43" s="12" t="s">
        <v>274</v>
      </c>
      <c r="O43" s="149"/>
      <c r="P43" s="22"/>
      <c r="Q43" s="95"/>
      <c r="R43" s="23"/>
      <c r="S43" s="75"/>
      <c r="T43" s="14" t="s">
        <v>198</v>
      </c>
      <c r="U43" s="12">
        <v>1</v>
      </c>
      <c r="V43" s="10" t="s">
        <v>204</v>
      </c>
      <c r="W43" s="12" t="s">
        <v>74</v>
      </c>
      <c r="X43" s="92">
        <v>9</v>
      </c>
      <c r="Y43" s="26"/>
      <c r="Z43" s="95">
        <v>44727</v>
      </c>
      <c r="AA43" s="13" t="s">
        <v>436</v>
      </c>
    </row>
    <row r="44" spans="1:27" x14ac:dyDescent="0.25">
      <c r="A44" s="75"/>
      <c r="B44" s="10" t="s">
        <v>28</v>
      </c>
      <c r="C44" s="11">
        <v>1</v>
      </c>
      <c r="D44" s="10" t="s">
        <v>48</v>
      </c>
      <c r="E44" s="12" t="s">
        <v>274</v>
      </c>
      <c r="F44" s="92"/>
      <c r="G44" s="26"/>
      <c r="H44" s="95"/>
      <c r="I44" s="23"/>
      <c r="J44" s="75"/>
      <c r="K44" s="10" t="s">
        <v>28</v>
      </c>
      <c r="L44" s="11">
        <v>1</v>
      </c>
      <c r="M44" s="10" t="s">
        <v>162</v>
      </c>
      <c r="N44" s="12" t="s">
        <v>274</v>
      </c>
      <c r="O44" s="149"/>
      <c r="P44" s="22"/>
      <c r="Q44" s="95"/>
      <c r="R44" s="23"/>
      <c r="S44" s="75"/>
      <c r="T44" s="14" t="s">
        <v>198</v>
      </c>
      <c r="U44" s="12">
        <v>1</v>
      </c>
      <c r="V44" s="10" t="s">
        <v>347</v>
      </c>
      <c r="W44" s="12" t="s">
        <v>74</v>
      </c>
      <c r="X44" s="149"/>
      <c r="Y44" s="22"/>
      <c r="Z44" s="60"/>
      <c r="AA44" s="23"/>
    </row>
    <row r="45" spans="1:27" x14ac:dyDescent="0.25">
      <c r="A45" s="75"/>
      <c r="B45" s="10" t="s">
        <v>28</v>
      </c>
      <c r="C45" s="11">
        <v>1</v>
      </c>
      <c r="D45" s="10" t="s">
        <v>51</v>
      </c>
      <c r="E45" s="12" t="s">
        <v>274</v>
      </c>
      <c r="F45" s="92"/>
      <c r="G45" s="26"/>
      <c r="H45" s="95"/>
      <c r="I45" s="23"/>
      <c r="J45" s="75"/>
      <c r="K45" s="10" t="s">
        <v>28</v>
      </c>
      <c r="L45" s="11">
        <v>1</v>
      </c>
      <c r="M45" s="10" t="s">
        <v>164</v>
      </c>
      <c r="N45" s="12" t="s">
        <v>274</v>
      </c>
      <c r="O45" s="145"/>
      <c r="P45" s="26"/>
      <c r="Q45" s="95"/>
      <c r="R45" s="23"/>
      <c r="S45" s="75"/>
      <c r="T45" s="14" t="s">
        <v>198</v>
      </c>
      <c r="U45" s="12">
        <v>1</v>
      </c>
      <c r="V45" s="10" t="s">
        <v>232</v>
      </c>
      <c r="W45" s="12" t="s">
        <v>74</v>
      </c>
      <c r="X45" s="145"/>
      <c r="Y45" s="26"/>
      <c r="Z45" s="60"/>
      <c r="AA45" s="23"/>
    </row>
    <row r="46" spans="1:27" x14ac:dyDescent="0.25">
      <c r="A46" s="75"/>
      <c r="B46" s="10" t="s">
        <v>28</v>
      </c>
      <c r="C46" s="11">
        <v>1</v>
      </c>
      <c r="D46" s="10" t="s">
        <v>53</v>
      </c>
      <c r="E46" s="12" t="s">
        <v>274</v>
      </c>
      <c r="F46" s="92"/>
      <c r="G46" s="26"/>
      <c r="H46" s="95"/>
      <c r="I46" s="23"/>
      <c r="J46" s="75"/>
      <c r="K46" s="10" t="s">
        <v>28</v>
      </c>
      <c r="L46" s="11">
        <v>1</v>
      </c>
      <c r="M46" s="10" t="s">
        <v>166</v>
      </c>
      <c r="N46" s="12" t="s">
        <v>274</v>
      </c>
      <c r="O46" s="92"/>
      <c r="P46" s="26"/>
      <c r="Q46" s="95"/>
      <c r="R46" s="23"/>
      <c r="S46" s="75"/>
      <c r="T46" s="14" t="s">
        <v>198</v>
      </c>
      <c r="U46" s="12">
        <v>1</v>
      </c>
      <c r="V46" s="10" t="s">
        <v>348</v>
      </c>
      <c r="W46" s="12" t="s">
        <v>74</v>
      </c>
      <c r="X46" s="92"/>
      <c r="Y46" s="26"/>
      <c r="Z46" s="60"/>
      <c r="AA46" s="23"/>
    </row>
    <row r="47" spans="1:27" x14ac:dyDescent="0.25">
      <c r="A47" s="75"/>
      <c r="B47" s="10" t="s">
        <v>28</v>
      </c>
      <c r="C47" s="11">
        <v>1</v>
      </c>
      <c r="D47" s="10" t="s">
        <v>56</v>
      </c>
      <c r="E47" s="12" t="s">
        <v>274</v>
      </c>
      <c r="F47" s="92"/>
      <c r="G47" s="26"/>
      <c r="H47" s="95"/>
      <c r="I47" s="23"/>
      <c r="J47" s="75"/>
      <c r="K47" s="10" t="s">
        <v>28</v>
      </c>
      <c r="L47" s="11">
        <v>1</v>
      </c>
      <c r="M47" s="10" t="s">
        <v>168</v>
      </c>
      <c r="N47" s="12" t="s">
        <v>274</v>
      </c>
      <c r="O47" s="92"/>
      <c r="P47" s="26"/>
      <c r="Q47" s="95"/>
      <c r="R47" s="23"/>
      <c r="S47" s="75"/>
      <c r="T47" s="14" t="s">
        <v>198</v>
      </c>
      <c r="U47" s="12">
        <v>1</v>
      </c>
      <c r="V47" s="10" t="s">
        <v>349</v>
      </c>
      <c r="W47" s="12" t="s">
        <v>74</v>
      </c>
      <c r="X47" s="92"/>
      <c r="Y47" s="26"/>
      <c r="Z47" s="60"/>
      <c r="AA47" s="23"/>
    </row>
    <row r="48" spans="1:27" x14ac:dyDescent="0.25">
      <c r="A48" s="75"/>
      <c r="B48" s="10" t="s">
        <v>28</v>
      </c>
      <c r="C48" s="11">
        <v>1</v>
      </c>
      <c r="D48" s="10" t="s">
        <v>59</v>
      </c>
      <c r="E48" s="12" t="s">
        <v>274</v>
      </c>
      <c r="F48" s="568" t="s">
        <v>283</v>
      </c>
      <c r="G48" s="569"/>
      <c r="H48" s="569"/>
      <c r="I48" s="570"/>
      <c r="J48" s="75"/>
      <c r="K48" s="10" t="s">
        <v>28</v>
      </c>
      <c r="L48" s="11">
        <v>1</v>
      </c>
      <c r="M48" s="10" t="s">
        <v>170</v>
      </c>
      <c r="N48" s="12" t="s">
        <v>274</v>
      </c>
      <c r="O48" s="568" t="s">
        <v>283</v>
      </c>
      <c r="P48" s="569"/>
      <c r="Q48" s="569"/>
      <c r="R48" s="570"/>
      <c r="S48" s="75"/>
      <c r="T48" s="10"/>
      <c r="U48" s="11"/>
      <c r="V48" s="10"/>
      <c r="W48" s="12"/>
      <c r="X48" s="92"/>
      <c r="Y48" s="26"/>
      <c r="Z48" s="60"/>
      <c r="AA48" s="23"/>
    </row>
    <row r="49" spans="1:27" x14ac:dyDescent="0.25">
      <c r="A49" s="75"/>
      <c r="B49" s="10" t="s">
        <v>28</v>
      </c>
      <c r="C49" s="11">
        <v>1</v>
      </c>
      <c r="D49" s="10" t="s">
        <v>61</v>
      </c>
      <c r="E49" s="12" t="s">
        <v>274</v>
      </c>
      <c r="F49" s="571"/>
      <c r="G49" s="572"/>
      <c r="H49" s="572"/>
      <c r="I49" s="573"/>
      <c r="J49" s="75"/>
      <c r="K49" s="10" t="s">
        <v>28</v>
      </c>
      <c r="L49" s="11">
        <v>1</v>
      </c>
      <c r="M49" s="10" t="s">
        <v>172</v>
      </c>
      <c r="N49" s="12" t="s">
        <v>274</v>
      </c>
      <c r="O49" s="571"/>
      <c r="P49" s="572"/>
      <c r="Q49" s="572"/>
      <c r="R49" s="573"/>
      <c r="S49" s="75"/>
      <c r="T49" s="10"/>
      <c r="U49" s="11"/>
      <c r="V49" s="10"/>
      <c r="W49" s="12"/>
      <c r="X49" s="92"/>
      <c r="Y49" s="26"/>
      <c r="Z49" s="60"/>
      <c r="AA49" s="23"/>
    </row>
    <row r="50" spans="1:27" x14ac:dyDescent="0.25">
      <c r="A50" s="75"/>
      <c r="B50" s="10" t="s">
        <v>28</v>
      </c>
      <c r="C50" s="11">
        <v>1</v>
      </c>
      <c r="D50" s="10" t="s">
        <v>64</v>
      </c>
      <c r="E50" s="12" t="s">
        <v>274</v>
      </c>
      <c r="F50" s="571"/>
      <c r="G50" s="572"/>
      <c r="H50" s="572"/>
      <c r="I50" s="573"/>
      <c r="J50" s="75"/>
      <c r="K50" s="10" t="s">
        <v>28</v>
      </c>
      <c r="L50" s="11">
        <v>1</v>
      </c>
      <c r="M50" s="10" t="s">
        <v>174</v>
      </c>
      <c r="N50" s="12" t="s">
        <v>274</v>
      </c>
      <c r="O50" s="571"/>
      <c r="P50" s="572"/>
      <c r="Q50" s="572"/>
      <c r="R50" s="573"/>
      <c r="S50" s="75"/>
      <c r="T50" s="10"/>
      <c r="U50" s="11"/>
      <c r="V50" s="10"/>
      <c r="W50" s="12"/>
      <c r="X50" s="92"/>
      <c r="Y50" s="26"/>
      <c r="Z50" s="60"/>
      <c r="AA50" s="23"/>
    </row>
    <row r="51" spans="1:27" x14ac:dyDescent="0.25">
      <c r="A51" s="75"/>
      <c r="B51" s="10" t="s">
        <v>28</v>
      </c>
      <c r="C51" s="11">
        <v>1</v>
      </c>
      <c r="D51" s="10" t="s">
        <v>67</v>
      </c>
      <c r="E51" s="12" t="s">
        <v>274</v>
      </c>
      <c r="F51" s="571"/>
      <c r="G51" s="572"/>
      <c r="H51" s="572"/>
      <c r="I51" s="573"/>
      <c r="J51" s="75"/>
      <c r="K51" s="10" t="s">
        <v>28</v>
      </c>
      <c r="L51" s="11">
        <v>1</v>
      </c>
      <c r="M51" s="10" t="s">
        <v>176</v>
      </c>
      <c r="N51" s="12" t="s">
        <v>274</v>
      </c>
      <c r="O51" s="571"/>
      <c r="P51" s="572"/>
      <c r="Q51" s="572"/>
      <c r="R51" s="573"/>
      <c r="S51" s="75"/>
      <c r="T51" s="10"/>
      <c r="U51" s="11"/>
      <c r="V51" s="10"/>
      <c r="W51" s="12"/>
      <c r="X51" s="92"/>
      <c r="Y51" s="26"/>
      <c r="Z51" s="60"/>
      <c r="AA51" s="23"/>
    </row>
    <row r="52" spans="1:27" x14ac:dyDescent="0.25">
      <c r="A52" s="75"/>
      <c r="B52" s="10" t="s">
        <v>28</v>
      </c>
      <c r="C52" s="11">
        <v>1</v>
      </c>
      <c r="D52" s="10" t="s">
        <v>70</v>
      </c>
      <c r="E52" s="12" t="s">
        <v>274</v>
      </c>
      <c r="F52" s="571"/>
      <c r="G52" s="572"/>
      <c r="H52" s="572"/>
      <c r="I52" s="573"/>
      <c r="J52" s="75"/>
      <c r="K52" s="10" t="s">
        <v>28</v>
      </c>
      <c r="L52" s="11">
        <v>1</v>
      </c>
      <c r="M52" s="10" t="s">
        <v>178</v>
      </c>
      <c r="N52" s="12" t="s">
        <v>274</v>
      </c>
      <c r="O52" s="571"/>
      <c r="P52" s="572"/>
      <c r="Q52" s="572"/>
      <c r="R52" s="573"/>
      <c r="S52" s="75"/>
      <c r="T52" s="10"/>
      <c r="U52" s="11"/>
      <c r="V52" s="10"/>
      <c r="W52" s="12"/>
      <c r="X52" s="92"/>
      <c r="Y52" s="26"/>
      <c r="Z52" s="60"/>
      <c r="AA52" s="23"/>
    </row>
    <row r="53" spans="1:27" x14ac:dyDescent="0.25">
      <c r="A53" s="75"/>
      <c r="B53" s="10" t="s">
        <v>28</v>
      </c>
      <c r="C53" s="11">
        <v>1</v>
      </c>
      <c r="D53" s="10" t="s">
        <v>72</v>
      </c>
      <c r="E53" s="12" t="s">
        <v>274</v>
      </c>
      <c r="F53" s="574"/>
      <c r="G53" s="575"/>
      <c r="H53" s="575"/>
      <c r="I53" s="576"/>
      <c r="J53" s="75"/>
      <c r="K53" s="10" t="s">
        <v>28</v>
      </c>
      <c r="L53" s="11">
        <v>1</v>
      </c>
      <c r="M53" s="10" t="s">
        <v>180</v>
      </c>
      <c r="N53" s="12" t="s">
        <v>274</v>
      </c>
      <c r="O53" s="574"/>
      <c r="P53" s="575"/>
      <c r="Q53" s="575"/>
      <c r="R53" s="576"/>
      <c r="S53" s="75"/>
      <c r="T53" s="10"/>
      <c r="U53" s="11"/>
      <c r="V53" s="10"/>
      <c r="W53" s="12"/>
      <c r="X53" s="92"/>
      <c r="Y53" s="26"/>
      <c r="Z53" s="60"/>
      <c r="AA53" s="23"/>
    </row>
    <row r="54" spans="1:27" ht="23.25" x14ac:dyDescent="0.35">
      <c r="A54" s="78"/>
      <c r="B54" s="597" t="s">
        <v>354</v>
      </c>
      <c r="C54" s="597"/>
      <c r="D54" s="597"/>
      <c r="E54" s="597"/>
      <c r="F54" s="597"/>
      <c r="G54" s="597"/>
      <c r="H54" s="597"/>
      <c r="I54" s="597"/>
      <c r="J54" s="78"/>
      <c r="K54" s="616" t="s">
        <v>332</v>
      </c>
      <c r="L54" s="620"/>
      <c r="M54" s="620"/>
      <c r="N54" s="620"/>
      <c r="O54" s="620"/>
      <c r="P54" s="620"/>
      <c r="Q54" s="620"/>
      <c r="R54" s="620"/>
      <c r="S54" s="78"/>
      <c r="T54" s="615"/>
      <c r="U54" s="621"/>
      <c r="V54" s="621"/>
      <c r="W54" s="621"/>
      <c r="X54" s="621"/>
      <c r="Y54" s="621"/>
      <c r="Z54" s="621"/>
      <c r="AA54" s="621"/>
    </row>
    <row r="55" spans="1:27" x14ac:dyDescent="0.25">
      <c r="A55" s="75"/>
      <c r="B55" s="10" t="s">
        <v>115</v>
      </c>
      <c r="C55" s="11">
        <v>1</v>
      </c>
      <c r="D55" s="10" t="s">
        <v>121</v>
      </c>
      <c r="E55" s="12" t="s">
        <v>80</v>
      </c>
      <c r="F55" s="149"/>
      <c r="G55" s="26"/>
      <c r="H55" s="95"/>
      <c r="I55" s="44"/>
      <c r="J55" s="75"/>
      <c r="K55" s="10" t="s">
        <v>25</v>
      </c>
      <c r="L55" s="11">
        <v>1</v>
      </c>
      <c r="M55" s="10" t="s">
        <v>331</v>
      </c>
      <c r="N55" s="12" t="s">
        <v>74</v>
      </c>
      <c r="O55" s="149">
        <f>L55*169</f>
        <v>169</v>
      </c>
      <c r="P55" s="22"/>
      <c r="Q55" s="95">
        <v>44651</v>
      </c>
      <c r="R55" s="32" t="s">
        <v>284</v>
      </c>
      <c r="S55" s="75"/>
      <c r="T55" s="14"/>
      <c r="U55" s="12"/>
      <c r="V55" s="10"/>
      <c r="W55" s="12"/>
      <c r="X55" s="149"/>
      <c r="Y55" s="22"/>
      <c r="Z55" s="59"/>
      <c r="AA55" s="32"/>
    </row>
    <row r="56" spans="1:27" x14ac:dyDescent="0.25">
      <c r="A56" s="75"/>
      <c r="B56" s="10" t="s">
        <v>116</v>
      </c>
      <c r="C56" s="11">
        <v>1</v>
      </c>
      <c r="D56" s="10" t="s">
        <v>97</v>
      </c>
      <c r="E56" s="12" t="s">
        <v>80</v>
      </c>
      <c r="F56" s="149"/>
      <c r="G56" s="26"/>
      <c r="H56" s="95"/>
      <c r="I56" s="44"/>
      <c r="J56" s="75"/>
      <c r="K56" s="23" t="s">
        <v>181</v>
      </c>
      <c r="L56" s="12">
        <v>1</v>
      </c>
      <c r="M56" s="23" t="s">
        <v>333</v>
      </c>
      <c r="N56" s="12" t="s">
        <v>74</v>
      </c>
      <c r="O56" s="149">
        <f>L56*140</f>
        <v>140</v>
      </c>
      <c r="P56" s="26"/>
      <c r="Q56" s="95">
        <v>44651</v>
      </c>
      <c r="R56" s="32" t="s">
        <v>284</v>
      </c>
      <c r="S56" s="75"/>
      <c r="T56" s="14"/>
      <c r="U56" s="12"/>
      <c r="V56" s="10"/>
      <c r="W56" s="12"/>
      <c r="X56" s="149"/>
      <c r="Y56" s="26"/>
      <c r="Z56" s="59"/>
      <c r="AA56" s="32"/>
    </row>
    <row r="57" spans="1:27" x14ac:dyDescent="0.25">
      <c r="A57" s="75"/>
      <c r="B57" s="10" t="s">
        <v>117</v>
      </c>
      <c r="C57" s="11">
        <v>1</v>
      </c>
      <c r="D57" s="10" t="s">
        <v>97</v>
      </c>
      <c r="E57" s="12" t="s">
        <v>80</v>
      </c>
      <c r="F57" s="149"/>
      <c r="G57" s="22"/>
      <c r="H57" s="95"/>
      <c r="I57" s="44"/>
      <c r="J57" s="75"/>
      <c r="K57" s="10" t="s">
        <v>28</v>
      </c>
      <c r="L57" s="11">
        <v>1</v>
      </c>
      <c r="M57" s="10" t="s">
        <v>334</v>
      </c>
      <c r="N57" s="12" t="s">
        <v>75</v>
      </c>
      <c r="O57" s="149">
        <f>L57*65</f>
        <v>65</v>
      </c>
      <c r="P57" s="26"/>
      <c r="Q57" s="95">
        <v>44651</v>
      </c>
      <c r="R57" s="32" t="s">
        <v>284</v>
      </c>
      <c r="S57" s="75"/>
      <c r="T57" s="14"/>
      <c r="U57" s="12"/>
      <c r="V57" s="10"/>
      <c r="W57" s="12"/>
      <c r="X57" s="149"/>
      <c r="Y57" s="26"/>
      <c r="Z57" s="59"/>
      <c r="AA57" s="32"/>
    </row>
    <row r="58" spans="1:27" x14ac:dyDescent="0.25">
      <c r="A58" s="75"/>
      <c r="B58" s="10" t="s">
        <v>99</v>
      </c>
      <c r="C58" s="11">
        <v>1</v>
      </c>
      <c r="D58" s="10" t="s">
        <v>242</v>
      </c>
      <c r="E58" s="12" t="s">
        <v>80</v>
      </c>
      <c r="F58" s="149">
        <f>C58*300</f>
        <v>300</v>
      </c>
      <c r="G58" s="22">
        <f>C58*4</f>
        <v>4</v>
      </c>
      <c r="H58" s="95"/>
      <c r="I58" s="44"/>
      <c r="J58" s="75"/>
      <c r="K58" s="23"/>
      <c r="L58" s="12"/>
      <c r="M58" s="23"/>
      <c r="N58" s="12"/>
      <c r="O58" s="92"/>
      <c r="P58" s="26"/>
      <c r="Q58" s="90"/>
      <c r="R58" s="44"/>
      <c r="S58" s="75"/>
      <c r="T58" s="14"/>
      <c r="U58" s="12"/>
      <c r="V58" s="10"/>
      <c r="W58" s="12"/>
      <c r="X58" s="92"/>
      <c r="Y58" s="26"/>
      <c r="Z58" s="90"/>
      <c r="AA58" s="44"/>
    </row>
    <row r="59" spans="1:27" x14ac:dyDescent="0.25">
      <c r="A59" s="75"/>
      <c r="B59" s="14" t="s">
        <v>93</v>
      </c>
      <c r="C59" s="12">
        <v>1</v>
      </c>
      <c r="D59" s="14" t="s">
        <v>94</v>
      </c>
      <c r="E59" s="12"/>
      <c r="F59" s="149">
        <f>C59*350</f>
        <v>350</v>
      </c>
      <c r="G59" s="22">
        <f>C59*2</f>
        <v>2</v>
      </c>
      <c r="H59" s="95"/>
      <c r="I59" s="44"/>
      <c r="J59" s="75"/>
      <c r="K59" s="32"/>
      <c r="L59" s="11"/>
      <c r="M59" s="32"/>
      <c r="N59" s="12"/>
      <c r="O59" s="92"/>
      <c r="P59" s="26"/>
      <c r="Q59" s="90"/>
      <c r="R59" s="44"/>
      <c r="S59" s="75"/>
      <c r="T59" s="14"/>
      <c r="U59" s="12"/>
      <c r="V59" s="10"/>
      <c r="W59" s="12"/>
      <c r="X59" s="92"/>
      <c r="Y59" s="26"/>
      <c r="Z59" s="90"/>
      <c r="AA59" s="44"/>
    </row>
    <row r="60" spans="1:27" x14ac:dyDescent="0.25">
      <c r="A60" s="75"/>
      <c r="B60" s="10"/>
      <c r="C60" s="11"/>
      <c r="D60" s="32"/>
      <c r="E60" s="12"/>
      <c r="F60" s="149"/>
      <c r="G60" s="22"/>
      <c r="H60" s="95"/>
      <c r="I60" s="44"/>
      <c r="J60" s="75"/>
      <c r="K60" s="10"/>
      <c r="L60" s="11"/>
      <c r="M60" s="10"/>
      <c r="N60" s="12"/>
      <c r="O60" s="92"/>
      <c r="P60" s="26"/>
      <c r="Q60" s="90"/>
      <c r="R60" s="44"/>
      <c r="S60" s="75"/>
      <c r="T60" s="14"/>
      <c r="U60" s="12"/>
      <c r="V60" s="10"/>
      <c r="W60" s="12"/>
      <c r="X60" s="92"/>
      <c r="Y60" s="26"/>
      <c r="Z60" s="90"/>
      <c r="AA60" s="44"/>
    </row>
    <row r="61" spans="1:27" x14ac:dyDescent="0.25">
      <c r="A61" s="75"/>
      <c r="B61" s="10" t="s">
        <v>95</v>
      </c>
      <c r="C61" s="11">
        <v>1</v>
      </c>
      <c r="D61" s="10" t="s">
        <v>100</v>
      </c>
      <c r="E61" s="12" t="s">
        <v>80</v>
      </c>
      <c r="F61" s="149"/>
      <c r="G61" s="26"/>
      <c r="H61" s="95"/>
      <c r="I61" s="44"/>
      <c r="J61" s="75"/>
      <c r="K61" s="10"/>
      <c r="L61" s="11"/>
      <c r="M61" s="10"/>
      <c r="N61" s="12"/>
      <c r="O61" s="145"/>
      <c r="P61" s="26"/>
      <c r="Q61" s="90"/>
      <c r="R61" s="44"/>
      <c r="S61" s="75"/>
      <c r="T61" s="14"/>
      <c r="U61" s="12"/>
      <c r="V61" s="10"/>
      <c r="W61" s="12"/>
      <c r="X61" s="145"/>
      <c r="Y61" s="26"/>
      <c r="Z61" s="90"/>
      <c r="AA61" s="44"/>
    </row>
    <row r="62" spans="1:27" x14ac:dyDescent="0.25">
      <c r="A62" s="75"/>
      <c r="B62" s="10" t="s">
        <v>96</v>
      </c>
      <c r="C62" s="11">
        <v>1</v>
      </c>
      <c r="D62" s="10" t="s">
        <v>97</v>
      </c>
      <c r="E62" s="12" t="s">
        <v>80</v>
      </c>
      <c r="F62" s="111">
        <f>C62*1090</f>
        <v>1090</v>
      </c>
      <c r="G62" s="26"/>
      <c r="H62" s="95"/>
      <c r="I62" s="44"/>
      <c r="J62" s="75"/>
      <c r="K62" s="23"/>
      <c r="L62" s="12"/>
      <c r="M62" s="23"/>
      <c r="N62" s="12"/>
      <c r="O62" s="149"/>
      <c r="P62" s="26"/>
      <c r="Q62" s="90"/>
      <c r="R62" s="44"/>
      <c r="S62" s="75"/>
      <c r="T62" s="14"/>
      <c r="U62" s="12"/>
      <c r="V62" s="10"/>
      <c r="W62" s="12"/>
      <c r="X62" s="149"/>
      <c r="Y62" s="26"/>
      <c r="Z62" s="90"/>
      <c r="AA62" s="44"/>
    </row>
    <row r="63" spans="1:27" x14ac:dyDescent="0.25">
      <c r="A63" s="75"/>
      <c r="B63" s="10" t="s">
        <v>98</v>
      </c>
      <c r="C63" s="11">
        <v>1</v>
      </c>
      <c r="D63" s="10" t="s">
        <v>97</v>
      </c>
      <c r="E63" s="12" t="s">
        <v>80</v>
      </c>
      <c r="F63" s="145">
        <f>C63*1155</f>
        <v>1155</v>
      </c>
      <c r="G63" s="26"/>
      <c r="H63" s="95"/>
      <c r="I63" s="44"/>
      <c r="J63" s="75"/>
      <c r="K63" s="10"/>
      <c r="L63" s="11"/>
      <c r="M63" s="10"/>
      <c r="N63" s="12"/>
      <c r="O63" s="92"/>
      <c r="P63" s="26"/>
      <c r="Q63" s="90"/>
      <c r="R63" s="44"/>
      <c r="S63" s="75"/>
      <c r="T63" s="14"/>
      <c r="U63" s="12"/>
      <c r="V63" s="10"/>
      <c r="W63" s="12"/>
      <c r="X63" s="92"/>
      <c r="Y63" s="26"/>
      <c r="Z63" s="90"/>
      <c r="AA63" s="44"/>
    </row>
    <row r="64" spans="1:27" x14ac:dyDescent="0.25">
      <c r="A64" s="75"/>
      <c r="B64" s="10" t="s">
        <v>99</v>
      </c>
      <c r="C64" s="11">
        <v>1</v>
      </c>
      <c r="D64" s="10" t="s">
        <v>242</v>
      </c>
      <c r="E64" s="12" t="s">
        <v>80</v>
      </c>
      <c r="F64" s="145">
        <f>C64*350</f>
        <v>350</v>
      </c>
      <c r="G64" s="26">
        <f>C64*4</f>
        <v>4</v>
      </c>
      <c r="H64" s="95"/>
      <c r="I64" s="44"/>
      <c r="J64" s="75"/>
      <c r="K64" s="10"/>
      <c r="L64" s="11"/>
      <c r="M64" s="10"/>
      <c r="N64" s="12"/>
      <c r="O64" s="92"/>
      <c r="P64" s="26"/>
      <c r="Q64" s="90"/>
      <c r="R64" s="44"/>
      <c r="S64" s="75"/>
      <c r="T64" s="14"/>
      <c r="U64" s="12"/>
      <c r="V64" s="10"/>
      <c r="W64" s="12"/>
      <c r="X64" s="92"/>
      <c r="Y64" s="26"/>
      <c r="Z64" s="90"/>
      <c r="AA64" s="44"/>
    </row>
    <row r="65" spans="1:27" x14ac:dyDescent="0.25">
      <c r="A65" s="75"/>
      <c r="B65" s="14" t="s">
        <v>93</v>
      </c>
      <c r="C65" s="12">
        <v>1</v>
      </c>
      <c r="D65" s="14" t="s">
        <v>94</v>
      </c>
      <c r="E65" s="12"/>
      <c r="F65" s="149">
        <f>C65*350</f>
        <v>350</v>
      </c>
      <c r="G65" s="26">
        <f>C65*2</f>
        <v>2</v>
      </c>
      <c r="H65" s="95"/>
      <c r="I65" s="44"/>
      <c r="J65" s="75"/>
      <c r="K65" s="10"/>
      <c r="L65" s="11"/>
      <c r="M65" s="10"/>
      <c r="N65" s="12"/>
      <c r="O65" s="92"/>
      <c r="P65" s="26"/>
      <c r="Q65" s="90"/>
      <c r="R65" s="44"/>
      <c r="S65" s="75"/>
      <c r="T65" s="14"/>
      <c r="U65" s="12"/>
      <c r="V65" s="10"/>
      <c r="W65" s="12"/>
      <c r="X65" s="92"/>
      <c r="Y65" s="26"/>
      <c r="Z65" s="90"/>
      <c r="AA65" s="44"/>
    </row>
    <row r="66" spans="1:27" x14ac:dyDescent="0.25">
      <c r="A66" s="75"/>
      <c r="B66" s="10"/>
      <c r="C66" s="11"/>
      <c r="D66" s="10"/>
      <c r="E66" s="12"/>
      <c r="F66" s="149"/>
      <c r="G66" s="26"/>
      <c r="H66" s="95"/>
      <c r="I66" s="44"/>
      <c r="J66" s="75"/>
      <c r="K66" s="23"/>
      <c r="L66" s="12"/>
      <c r="M66" s="23"/>
      <c r="N66" s="12"/>
      <c r="O66" s="92"/>
      <c r="P66" s="26"/>
      <c r="Q66" s="90"/>
      <c r="R66" s="44"/>
      <c r="S66" s="75"/>
      <c r="T66" s="14"/>
      <c r="U66" s="12"/>
      <c r="V66" s="10"/>
      <c r="W66" s="12"/>
      <c r="X66" s="92"/>
      <c r="Y66" s="26"/>
      <c r="Z66" s="90"/>
      <c r="AA66" s="44"/>
    </row>
    <row r="67" spans="1:27" x14ac:dyDescent="0.25">
      <c r="A67" s="75"/>
      <c r="B67" s="10" t="s">
        <v>118</v>
      </c>
      <c r="C67" s="11">
        <v>1</v>
      </c>
      <c r="D67" s="10" t="s">
        <v>122</v>
      </c>
      <c r="E67" s="12" t="s">
        <v>80</v>
      </c>
      <c r="F67" s="92"/>
      <c r="G67" s="26"/>
      <c r="H67" s="95"/>
      <c r="I67" s="44"/>
      <c r="J67" s="75"/>
      <c r="K67" s="10"/>
      <c r="L67" s="11"/>
      <c r="M67" s="10"/>
      <c r="N67" s="12"/>
      <c r="O67" s="92"/>
      <c r="P67" s="26"/>
      <c r="Q67" s="90"/>
      <c r="R67" s="44"/>
      <c r="S67" s="75"/>
      <c r="T67" s="10"/>
      <c r="U67" s="11"/>
      <c r="V67" s="10"/>
      <c r="W67" s="12"/>
      <c r="X67" s="92"/>
      <c r="Y67" s="26"/>
      <c r="Z67" s="90"/>
      <c r="AA67" s="44"/>
    </row>
    <row r="68" spans="1:27" x14ac:dyDescent="0.25">
      <c r="A68" s="75"/>
      <c r="B68" s="10" t="s">
        <v>119</v>
      </c>
      <c r="C68" s="11">
        <v>1</v>
      </c>
      <c r="D68" s="10" t="s">
        <v>97</v>
      </c>
      <c r="E68" s="12" t="s">
        <v>80</v>
      </c>
      <c r="F68" s="92"/>
      <c r="G68" s="44"/>
      <c r="H68" s="95"/>
      <c r="I68" s="44"/>
      <c r="J68" s="75"/>
      <c r="K68" s="10"/>
      <c r="L68" s="11"/>
      <c r="M68" s="10"/>
      <c r="N68" s="12"/>
      <c r="O68" s="92"/>
      <c r="P68" s="26"/>
      <c r="Q68" s="90"/>
      <c r="R68" s="44"/>
      <c r="S68" s="75"/>
      <c r="T68" s="10"/>
      <c r="U68" s="11"/>
      <c r="V68" s="10"/>
      <c r="W68" s="12"/>
      <c r="X68" s="92"/>
      <c r="Y68" s="26"/>
      <c r="Z68" s="90"/>
      <c r="AA68" s="44"/>
    </row>
    <row r="69" spans="1:27" x14ac:dyDescent="0.25">
      <c r="A69" s="75"/>
      <c r="B69" s="10" t="s">
        <v>120</v>
      </c>
      <c r="C69" s="11">
        <v>1</v>
      </c>
      <c r="D69" s="10" t="s">
        <v>97</v>
      </c>
      <c r="E69" s="12" t="s">
        <v>80</v>
      </c>
      <c r="F69" s="92"/>
      <c r="G69" s="44"/>
      <c r="H69" s="95"/>
      <c r="I69" s="44"/>
      <c r="J69" s="75"/>
      <c r="K69" s="23"/>
      <c r="L69" s="12"/>
      <c r="M69" s="23"/>
      <c r="N69" s="12"/>
      <c r="O69" s="92"/>
      <c r="P69" s="26"/>
      <c r="Q69" s="90"/>
      <c r="R69" s="44"/>
      <c r="S69" s="75"/>
      <c r="T69" s="23"/>
      <c r="U69" s="12"/>
      <c r="V69" s="23"/>
      <c r="W69" s="12"/>
      <c r="X69" s="92"/>
      <c r="Y69" s="26"/>
      <c r="Z69" s="90"/>
      <c r="AA69" s="44"/>
    </row>
    <row r="70" spans="1:27" x14ac:dyDescent="0.25">
      <c r="A70" s="75"/>
      <c r="B70" s="10" t="s">
        <v>99</v>
      </c>
      <c r="C70" s="11">
        <v>1</v>
      </c>
      <c r="D70" s="10" t="s">
        <v>242</v>
      </c>
      <c r="E70" s="12" t="s">
        <v>80</v>
      </c>
      <c r="F70" s="92">
        <f>C70*350</f>
        <v>350</v>
      </c>
      <c r="G70" s="23">
        <f>C70*4</f>
        <v>4</v>
      </c>
      <c r="H70" s="95"/>
      <c r="I70" s="44"/>
      <c r="J70" s="75"/>
      <c r="K70" s="10"/>
      <c r="L70" s="11"/>
      <c r="M70" s="10"/>
      <c r="N70" s="12"/>
      <c r="O70" s="92"/>
      <c r="P70" s="26"/>
      <c r="Q70" s="90"/>
      <c r="R70" s="44"/>
      <c r="S70" s="75"/>
      <c r="T70" s="10"/>
      <c r="U70" s="11"/>
      <c r="V70" s="10"/>
      <c r="W70" s="12"/>
      <c r="X70" s="92"/>
      <c r="Y70" s="26"/>
      <c r="Z70" s="90"/>
      <c r="AA70" s="44"/>
    </row>
    <row r="71" spans="1:27" x14ac:dyDescent="0.25">
      <c r="A71" s="75"/>
      <c r="B71" s="14" t="s">
        <v>93</v>
      </c>
      <c r="C71" s="12">
        <v>1</v>
      </c>
      <c r="D71" s="14" t="s">
        <v>94</v>
      </c>
      <c r="E71" s="12"/>
      <c r="F71" s="106">
        <f>C71*350</f>
        <v>350</v>
      </c>
      <c r="G71" s="23">
        <f>C71*2</f>
        <v>2</v>
      </c>
      <c r="H71" s="95"/>
      <c r="I71" s="44"/>
      <c r="J71" s="75"/>
      <c r="K71" s="10"/>
      <c r="L71" s="11"/>
      <c r="M71" s="10"/>
      <c r="N71" s="12"/>
      <c r="O71" s="92"/>
      <c r="P71" s="26"/>
      <c r="Q71" s="90"/>
      <c r="R71" s="44"/>
      <c r="S71" s="75"/>
      <c r="T71" s="10"/>
      <c r="U71" s="11"/>
      <c r="V71" s="10"/>
      <c r="W71" s="12"/>
      <c r="X71" s="92"/>
      <c r="Y71" s="26"/>
      <c r="Z71" s="90"/>
      <c r="AA71" s="44"/>
    </row>
    <row r="72" spans="1:27" x14ac:dyDescent="0.25">
      <c r="A72" s="75"/>
      <c r="B72" s="10"/>
      <c r="C72" s="11"/>
      <c r="D72" s="10"/>
      <c r="E72" s="12"/>
      <c r="F72" s="156"/>
      <c r="G72" s="44"/>
      <c r="H72" s="95"/>
      <c r="I72" s="44"/>
      <c r="J72" s="75"/>
      <c r="K72" s="23"/>
      <c r="L72" s="12"/>
      <c r="M72" s="23"/>
      <c r="N72" s="12"/>
      <c r="O72" s="96"/>
      <c r="P72" s="13"/>
      <c r="Q72" s="90"/>
      <c r="R72" s="44"/>
      <c r="S72" s="75"/>
      <c r="T72" s="23"/>
      <c r="U72" s="12"/>
      <c r="V72" s="23"/>
      <c r="W72" s="12"/>
      <c r="X72" s="96"/>
      <c r="Y72" s="13"/>
      <c r="Z72" s="90"/>
      <c r="AA72" s="44"/>
    </row>
    <row r="73" spans="1:27" ht="19.899999999999999" customHeight="1" x14ac:dyDescent="0.25">
      <c r="A73" s="75"/>
      <c r="B73" s="611"/>
      <c r="C73" s="612"/>
      <c r="D73" s="612"/>
      <c r="E73" s="612"/>
      <c r="F73" s="612"/>
      <c r="G73" s="612"/>
      <c r="H73" s="612"/>
      <c r="I73" s="613"/>
      <c r="J73" s="75"/>
      <c r="K73" s="611"/>
      <c r="L73" s="612"/>
      <c r="M73" s="612"/>
      <c r="N73" s="612"/>
      <c r="O73" s="612"/>
      <c r="P73" s="612"/>
      <c r="Q73" s="612"/>
      <c r="R73" s="613"/>
      <c r="S73" s="75"/>
      <c r="T73" s="611"/>
      <c r="U73" s="612"/>
      <c r="V73" s="612"/>
      <c r="W73" s="612"/>
      <c r="X73" s="612"/>
      <c r="Y73" s="612"/>
      <c r="Z73" s="612"/>
      <c r="AA73" s="613"/>
    </row>
    <row r="96" spans="20:23" x14ac:dyDescent="0.25">
      <c r="T96" s="158"/>
      <c r="U96" s="159"/>
      <c r="V96" s="158"/>
      <c r="W96" s="159"/>
    </row>
    <row r="97" spans="20:23" x14ac:dyDescent="0.25">
      <c r="T97" s="158"/>
      <c r="U97" s="159"/>
      <c r="V97" s="158"/>
      <c r="W97" s="159"/>
    </row>
    <row r="98" spans="20:23" x14ac:dyDescent="0.25">
      <c r="T98" s="158"/>
      <c r="U98" s="159"/>
      <c r="V98" s="158"/>
      <c r="W98" s="159"/>
    </row>
    <row r="99" spans="20:23" x14ac:dyDescent="0.25">
      <c r="T99" s="158"/>
      <c r="U99" s="159"/>
      <c r="V99" s="158"/>
      <c r="W99" s="159"/>
    </row>
    <row r="100" spans="20:23" x14ac:dyDescent="0.25">
      <c r="T100" s="158"/>
      <c r="U100" s="159"/>
      <c r="V100" s="158"/>
      <c r="W100" s="159"/>
    </row>
    <row r="101" spans="20:23" x14ac:dyDescent="0.25">
      <c r="T101" s="158"/>
      <c r="U101" s="159"/>
      <c r="V101" s="158"/>
      <c r="W101" s="159"/>
    </row>
    <row r="102" spans="20:23" x14ac:dyDescent="0.25">
      <c r="T102" s="158"/>
      <c r="U102" s="159"/>
      <c r="V102" s="158"/>
      <c r="W102" s="159"/>
    </row>
    <row r="103" spans="20:23" x14ac:dyDescent="0.25">
      <c r="T103" s="158"/>
      <c r="U103" s="159"/>
      <c r="V103" s="158"/>
      <c r="W103" s="159"/>
    </row>
    <row r="104" spans="20:23" x14ac:dyDescent="0.25">
      <c r="T104" s="158"/>
      <c r="U104" s="159"/>
      <c r="V104" s="158"/>
      <c r="W104" s="159"/>
    </row>
    <row r="105" spans="20:23" x14ac:dyDescent="0.25">
      <c r="T105" s="158"/>
      <c r="U105" s="159"/>
      <c r="V105" s="158"/>
      <c r="W105" s="159"/>
    </row>
  </sheetData>
  <mergeCells count="23">
    <mergeCell ref="B73:I73"/>
    <mergeCell ref="K73:R73"/>
    <mergeCell ref="T73:AA73"/>
    <mergeCell ref="B37:I37"/>
    <mergeCell ref="K37:R37"/>
    <mergeCell ref="T37:AA37"/>
    <mergeCell ref="F48:I53"/>
    <mergeCell ref="O48:R53"/>
    <mergeCell ref="B54:I54"/>
    <mergeCell ref="K54:R54"/>
    <mergeCell ref="T54:AA54"/>
    <mergeCell ref="B20:I20"/>
    <mergeCell ref="K20:R20"/>
    <mergeCell ref="T20:AA20"/>
    <mergeCell ref="F31:I36"/>
    <mergeCell ref="O31:R36"/>
    <mergeCell ref="X31:AA36"/>
    <mergeCell ref="B1:I1"/>
    <mergeCell ref="K1:R1"/>
    <mergeCell ref="T1:AA1"/>
    <mergeCell ref="B2:I2"/>
    <mergeCell ref="K2:R2"/>
    <mergeCell ref="T2:AA2"/>
  </mergeCells>
  <conditionalFormatting sqref="H4:H19 Q4:Q19 Z4:Z19 H21:H30 Q21:Q30 Z21:Z30 Z38:Z43 H38:H47 Q38:Q47 Q55:Q57 H55:H72">
    <cfRule type="expression" dxfId="9" priority="1">
      <formula>H4&lt;TODAY()-30</formula>
    </cfRule>
  </conditionalFormatting>
  <printOptions horizontalCentered="1"/>
  <pageMargins left="0.25" right="0.25" top="0.75" bottom="0.75" header="0.3" footer="0.3"/>
  <pageSetup scale="40" fitToHeight="0" orientation="landscape" r:id="rId1"/>
  <headerFooter>
    <oddFooter>&amp;Z&amp;F&amp;RPage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72"/>
  <sheetViews>
    <sheetView showGridLines="0" showWhiteSpace="0" topLeftCell="A35" zoomScale="85" zoomScaleNormal="85" workbookViewId="0">
      <selection sqref="A1:F72"/>
    </sheetView>
  </sheetViews>
  <sheetFormatPr defaultRowHeight="15" x14ac:dyDescent="0.25"/>
  <cols>
    <col min="1" max="1" width="25" style="1" bestFit="1" customWidth="1"/>
    <col min="2" max="2" width="5.140625" style="1" bestFit="1" customWidth="1"/>
    <col min="3" max="3" width="44.140625" bestFit="1" customWidth="1"/>
    <col min="4" max="4" width="19.5703125" bestFit="1" customWidth="1"/>
    <col min="5" max="5" width="10.85546875" bestFit="1" customWidth="1"/>
    <col min="6" max="6" width="7.85546875" bestFit="1" customWidth="1"/>
  </cols>
  <sheetData>
    <row r="1" spans="1:6" ht="19.899999999999999" customHeight="1" x14ac:dyDescent="0.25">
      <c r="A1" s="37"/>
      <c r="B1" s="38"/>
      <c r="C1" s="19"/>
      <c r="D1" s="19"/>
      <c r="E1" s="19"/>
      <c r="F1" s="20"/>
    </row>
    <row r="2" spans="1:6" ht="19.899999999999999" customHeight="1" x14ac:dyDescent="0.3">
      <c r="A2" s="594" t="s">
        <v>123</v>
      </c>
      <c r="B2" s="595"/>
      <c r="C2" s="595"/>
      <c r="D2" s="595"/>
      <c r="E2" s="595"/>
      <c r="F2" s="596"/>
    </row>
    <row r="3" spans="1:6" ht="24.95" customHeight="1" x14ac:dyDescent="0.25">
      <c r="A3" s="29"/>
      <c r="B3" s="30"/>
      <c r="C3" s="31"/>
      <c r="D3" s="31"/>
      <c r="E3" s="31"/>
      <c r="F3" s="31"/>
    </row>
    <row r="4" spans="1:6" ht="16.5" thickBot="1" x14ac:dyDescent="0.3">
      <c r="A4" s="27" t="s">
        <v>0</v>
      </c>
      <c r="B4" s="28" t="s">
        <v>1</v>
      </c>
      <c r="C4" s="28" t="s">
        <v>2</v>
      </c>
      <c r="D4" s="28" t="s">
        <v>24</v>
      </c>
      <c r="E4" s="9" t="s">
        <v>7</v>
      </c>
      <c r="F4" s="8" t="s">
        <v>9</v>
      </c>
    </row>
    <row r="5" spans="1:6" x14ac:dyDescent="0.25">
      <c r="A5" s="10"/>
      <c r="B5" s="11"/>
      <c r="C5" s="10"/>
      <c r="D5" s="12"/>
      <c r="E5" s="22"/>
      <c r="F5" s="13"/>
    </row>
    <row r="6" spans="1:6" ht="15.75" x14ac:dyDescent="0.25">
      <c r="A6" s="591" t="s">
        <v>371</v>
      </c>
      <c r="B6" s="592"/>
      <c r="C6" s="592"/>
      <c r="D6" s="592"/>
      <c r="E6" s="592"/>
      <c r="F6" s="593"/>
    </row>
    <row r="7" spans="1:6" x14ac:dyDescent="0.25">
      <c r="A7" s="10"/>
      <c r="B7" s="11"/>
      <c r="C7" s="10"/>
      <c r="D7" s="12"/>
      <c r="E7" s="22"/>
      <c r="F7" s="13"/>
    </row>
    <row r="8" spans="1:6" x14ac:dyDescent="0.25">
      <c r="A8" s="39" t="s">
        <v>124</v>
      </c>
      <c r="B8" s="12">
        <v>12</v>
      </c>
      <c r="C8" s="43" t="s">
        <v>366</v>
      </c>
      <c r="D8" s="137" t="s">
        <v>125</v>
      </c>
      <c r="E8" s="138">
        <v>300</v>
      </c>
      <c r="F8" s="51">
        <v>6</v>
      </c>
    </row>
    <row r="9" spans="1:6" x14ac:dyDescent="0.25">
      <c r="A9" s="41" t="s">
        <v>126</v>
      </c>
      <c r="B9" s="42">
        <v>1</v>
      </c>
      <c r="C9" s="34" t="s">
        <v>227</v>
      </c>
      <c r="D9" s="11" t="s">
        <v>129</v>
      </c>
      <c r="E9" s="40"/>
      <c r="F9" s="13"/>
    </row>
    <row r="10" spans="1:6" x14ac:dyDescent="0.25">
      <c r="A10" s="10" t="s">
        <v>127</v>
      </c>
      <c r="B10" s="11">
        <v>1</v>
      </c>
      <c r="C10" s="10"/>
      <c r="D10" s="11" t="s">
        <v>129</v>
      </c>
      <c r="E10" s="22">
        <v>275</v>
      </c>
      <c r="F10" s="13"/>
    </row>
    <row r="11" spans="1:6" x14ac:dyDescent="0.25">
      <c r="A11" s="10"/>
      <c r="B11" s="11"/>
      <c r="C11" s="10"/>
      <c r="D11" s="12"/>
      <c r="E11" s="22"/>
      <c r="F11" s="13"/>
    </row>
    <row r="12" spans="1:6" x14ac:dyDescent="0.25">
      <c r="A12" s="10" t="s">
        <v>128</v>
      </c>
      <c r="B12" s="11">
        <v>1</v>
      </c>
      <c r="C12" s="73" t="s">
        <v>226</v>
      </c>
      <c r="D12" s="11" t="s">
        <v>129</v>
      </c>
      <c r="E12" s="22"/>
      <c r="F12" s="13"/>
    </row>
    <row r="13" spans="1:6" x14ac:dyDescent="0.25">
      <c r="A13" s="33" t="s">
        <v>130</v>
      </c>
      <c r="B13" s="11">
        <v>1</v>
      </c>
      <c r="C13" s="34" t="s">
        <v>132</v>
      </c>
      <c r="D13" s="52" t="s">
        <v>131</v>
      </c>
      <c r="E13" s="139">
        <v>800</v>
      </c>
      <c r="F13" s="13"/>
    </row>
    <row r="14" spans="1:6" x14ac:dyDescent="0.25">
      <c r="A14" s="14"/>
      <c r="B14" s="12"/>
      <c r="C14" s="23"/>
      <c r="D14" s="12"/>
      <c r="E14" s="22"/>
      <c r="F14" s="24"/>
    </row>
    <row r="15" spans="1:6" x14ac:dyDescent="0.25">
      <c r="A15" s="10" t="s">
        <v>205</v>
      </c>
      <c r="B15" s="52">
        <v>2</v>
      </c>
      <c r="C15" s="34" t="s">
        <v>206</v>
      </c>
      <c r="D15" s="52" t="s">
        <v>129</v>
      </c>
      <c r="E15" s="139">
        <v>143</v>
      </c>
      <c r="F15" s="24"/>
    </row>
    <row r="16" spans="1:6" ht="30" x14ac:dyDescent="0.25">
      <c r="A16" s="10"/>
      <c r="B16" s="52">
        <v>1</v>
      </c>
      <c r="C16" s="36" t="s">
        <v>571</v>
      </c>
      <c r="D16" s="52" t="s">
        <v>91</v>
      </c>
      <c r="E16" s="139">
        <f>B16*1100</f>
        <v>1100</v>
      </c>
      <c r="F16" s="24"/>
    </row>
    <row r="17" spans="1:6" x14ac:dyDescent="0.25">
      <c r="A17" s="10"/>
      <c r="B17" s="11"/>
      <c r="C17" s="10"/>
      <c r="D17" s="12"/>
      <c r="E17" s="22"/>
      <c r="F17" s="13"/>
    </row>
    <row r="18" spans="1:6" ht="15.75" x14ac:dyDescent="0.25">
      <c r="A18" s="591" t="s">
        <v>372</v>
      </c>
      <c r="B18" s="592"/>
      <c r="C18" s="592"/>
      <c r="D18" s="592"/>
      <c r="E18" s="592"/>
      <c r="F18" s="593"/>
    </row>
    <row r="19" spans="1:6" x14ac:dyDescent="0.25">
      <c r="A19" s="10"/>
      <c r="B19" s="11"/>
      <c r="C19" s="10"/>
      <c r="D19" s="12"/>
      <c r="E19" s="22"/>
      <c r="F19" s="13"/>
    </row>
    <row r="20" spans="1:6" ht="30" x14ac:dyDescent="0.25">
      <c r="A20" s="36" t="s">
        <v>290</v>
      </c>
      <c r="B20" s="52">
        <v>1</v>
      </c>
      <c r="C20" s="36" t="s">
        <v>291</v>
      </c>
      <c r="D20" s="48" t="s">
        <v>84</v>
      </c>
      <c r="E20" s="22"/>
      <c r="F20" s="13"/>
    </row>
    <row r="21" spans="1:6" ht="45" x14ac:dyDescent="0.25">
      <c r="A21" s="36" t="s">
        <v>292</v>
      </c>
      <c r="B21" s="52">
        <v>1</v>
      </c>
      <c r="C21" s="36" t="s">
        <v>293</v>
      </c>
      <c r="D21" s="48" t="s">
        <v>84</v>
      </c>
      <c r="E21" s="22"/>
      <c r="F21" s="13"/>
    </row>
    <row r="22" spans="1:6" x14ac:dyDescent="0.25">
      <c r="A22" s="10"/>
      <c r="B22" s="11"/>
      <c r="C22" s="10"/>
      <c r="D22" s="12"/>
      <c r="E22" s="22"/>
      <c r="F22" s="13"/>
    </row>
    <row r="23" spans="1:6" ht="30" x14ac:dyDescent="0.25">
      <c r="A23" s="33" t="s">
        <v>110</v>
      </c>
      <c r="B23" s="11">
        <v>1</v>
      </c>
      <c r="C23" s="36" t="s">
        <v>106</v>
      </c>
      <c r="D23" s="12"/>
      <c r="E23" s="22"/>
      <c r="F23" s="24"/>
    </row>
    <row r="24" spans="1:6" ht="30" x14ac:dyDescent="0.25">
      <c r="A24" s="33" t="s">
        <v>111</v>
      </c>
      <c r="B24" s="11">
        <v>1</v>
      </c>
      <c r="C24" s="36" t="s">
        <v>107</v>
      </c>
      <c r="D24" s="12"/>
      <c r="E24" s="22"/>
      <c r="F24" s="24"/>
    </row>
    <row r="25" spans="1:6" ht="30" x14ac:dyDescent="0.25">
      <c r="A25" s="33" t="s">
        <v>112</v>
      </c>
      <c r="B25" s="11">
        <v>1</v>
      </c>
      <c r="C25" s="36" t="s">
        <v>108</v>
      </c>
      <c r="D25" s="12"/>
      <c r="E25" s="21"/>
      <c r="F25" s="24"/>
    </row>
    <row r="26" spans="1:6" x14ac:dyDescent="0.25">
      <c r="A26" s="10"/>
      <c r="B26" s="11"/>
      <c r="C26" s="32"/>
      <c r="D26" s="12"/>
      <c r="E26" s="21"/>
      <c r="F26" s="24"/>
    </row>
    <row r="27" spans="1:6" ht="15.75" x14ac:dyDescent="0.25">
      <c r="A27" s="591" t="s">
        <v>373</v>
      </c>
      <c r="B27" s="592"/>
      <c r="C27" s="592"/>
      <c r="D27" s="592"/>
      <c r="E27" s="592"/>
      <c r="F27" s="593"/>
    </row>
    <row r="28" spans="1:6" x14ac:dyDescent="0.25">
      <c r="A28" s="10"/>
      <c r="B28" s="11"/>
      <c r="C28" s="32"/>
      <c r="D28" s="12"/>
      <c r="E28" s="21"/>
      <c r="F28" s="24"/>
    </row>
    <row r="29" spans="1:6" x14ac:dyDescent="0.25">
      <c r="A29" s="10" t="s">
        <v>101</v>
      </c>
      <c r="B29" s="11">
        <v>1</v>
      </c>
      <c r="C29" s="34" t="s">
        <v>374</v>
      </c>
      <c r="D29" s="48" t="s">
        <v>75</v>
      </c>
      <c r="E29" s="22"/>
      <c r="F29" s="13"/>
    </row>
    <row r="30" spans="1:6" x14ac:dyDescent="0.25">
      <c r="A30" s="10" t="s">
        <v>31</v>
      </c>
      <c r="B30" s="11">
        <v>2</v>
      </c>
      <c r="C30" s="34" t="s">
        <v>109</v>
      </c>
      <c r="D30" s="48" t="s">
        <v>75</v>
      </c>
      <c r="E30" s="22"/>
      <c r="F30" s="13"/>
    </row>
    <row r="31" spans="1:6" x14ac:dyDescent="0.25">
      <c r="A31" s="10" t="s">
        <v>102</v>
      </c>
      <c r="B31" s="11">
        <v>1</v>
      </c>
      <c r="C31" s="36" t="s">
        <v>103</v>
      </c>
      <c r="D31" s="48" t="s">
        <v>80</v>
      </c>
      <c r="E31" s="22"/>
      <c r="F31" s="13"/>
    </row>
    <row r="32" spans="1:6" x14ac:dyDescent="0.25">
      <c r="A32" s="10"/>
      <c r="B32" s="11">
        <v>1</v>
      </c>
      <c r="C32" s="36" t="s">
        <v>104</v>
      </c>
      <c r="D32" s="48" t="s">
        <v>80</v>
      </c>
      <c r="E32" s="22"/>
      <c r="F32" s="13"/>
    </row>
    <row r="33" spans="1:6" x14ac:dyDescent="0.25">
      <c r="A33" s="10" t="s">
        <v>105</v>
      </c>
      <c r="B33" s="11">
        <v>1</v>
      </c>
      <c r="C33" s="34" t="s">
        <v>113</v>
      </c>
      <c r="D33" s="48" t="s">
        <v>80</v>
      </c>
      <c r="E33" s="22"/>
      <c r="F33" s="13"/>
    </row>
    <row r="34" spans="1:6" x14ac:dyDescent="0.25">
      <c r="A34" s="10"/>
      <c r="B34" s="11"/>
      <c r="C34" s="10"/>
      <c r="D34" s="12"/>
      <c r="E34" s="22"/>
      <c r="F34" s="13"/>
    </row>
    <row r="35" spans="1:6" x14ac:dyDescent="0.25">
      <c r="A35" s="10"/>
      <c r="B35" s="11"/>
      <c r="C35" s="140" t="s">
        <v>375</v>
      </c>
      <c r="D35" s="12"/>
      <c r="E35" s="22"/>
      <c r="F35" s="13"/>
    </row>
    <row r="36" spans="1:6" x14ac:dyDescent="0.25">
      <c r="A36" s="10"/>
      <c r="B36" s="141"/>
      <c r="C36" s="142"/>
      <c r="D36" s="12"/>
      <c r="E36" s="22"/>
      <c r="F36" s="13"/>
    </row>
    <row r="37" spans="1:6" x14ac:dyDescent="0.25">
      <c r="A37" s="34" t="s">
        <v>306</v>
      </c>
      <c r="B37" s="84">
        <v>1</v>
      </c>
      <c r="C37" s="85" t="s">
        <v>307</v>
      </c>
      <c r="D37" s="48" t="s">
        <v>29</v>
      </c>
      <c r="E37" s="22"/>
      <c r="F37" s="13"/>
    </row>
    <row r="38" spans="1:6" x14ac:dyDescent="0.25">
      <c r="A38" s="34" t="s">
        <v>31</v>
      </c>
      <c r="B38" s="84">
        <v>8</v>
      </c>
      <c r="C38" s="85" t="s">
        <v>308</v>
      </c>
      <c r="D38" s="48" t="s">
        <v>29</v>
      </c>
      <c r="E38" s="21"/>
      <c r="F38" s="13"/>
    </row>
    <row r="39" spans="1:6" x14ac:dyDescent="0.25">
      <c r="A39" s="34" t="s">
        <v>31</v>
      </c>
      <c r="B39" s="84">
        <v>2</v>
      </c>
      <c r="C39" s="85" t="s">
        <v>309</v>
      </c>
      <c r="D39" s="48" t="s">
        <v>29</v>
      </c>
      <c r="E39" s="15"/>
      <c r="F39" s="13"/>
    </row>
    <row r="40" spans="1:6" x14ac:dyDescent="0.25">
      <c r="A40" s="34" t="s">
        <v>310</v>
      </c>
      <c r="B40" s="84">
        <v>4</v>
      </c>
      <c r="C40" s="85" t="s">
        <v>311</v>
      </c>
      <c r="D40" s="48" t="s">
        <v>84</v>
      </c>
      <c r="E40" s="15"/>
      <c r="F40" s="13"/>
    </row>
    <row r="41" spans="1:6" x14ac:dyDescent="0.25">
      <c r="A41" s="34" t="s">
        <v>312</v>
      </c>
      <c r="B41" s="84">
        <v>40</v>
      </c>
      <c r="C41" s="85" t="s">
        <v>313</v>
      </c>
      <c r="D41" s="48" t="s">
        <v>84</v>
      </c>
      <c r="E41" s="15"/>
      <c r="F41" s="13"/>
    </row>
    <row r="42" spans="1:6" x14ac:dyDescent="0.25">
      <c r="A42" s="10"/>
      <c r="B42" s="11"/>
      <c r="C42" s="32"/>
      <c r="D42" s="12"/>
      <c r="E42" s="21"/>
      <c r="F42" s="24"/>
    </row>
    <row r="43" spans="1:6" ht="15.75" x14ac:dyDescent="0.25">
      <c r="A43" s="591" t="s">
        <v>376</v>
      </c>
      <c r="B43" s="592"/>
      <c r="C43" s="592"/>
      <c r="D43" s="592"/>
      <c r="E43" s="592"/>
      <c r="F43" s="593"/>
    </row>
    <row r="44" spans="1:6" ht="15" customHeight="1" x14ac:dyDescent="0.25">
      <c r="A44" s="10"/>
      <c r="B44" s="11"/>
      <c r="C44" s="32"/>
      <c r="D44" s="12"/>
      <c r="E44" s="21"/>
      <c r="F44" s="24"/>
    </row>
    <row r="45" spans="1:6" x14ac:dyDescent="0.25">
      <c r="A45" s="10" t="s">
        <v>239</v>
      </c>
      <c r="B45" s="11">
        <v>1</v>
      </c>
      <c r="C45" s="10" t="s">
        <v>237</v>
      </c>
      <c r="D45" s="12" t="s">
        <v>240</v>
      </c>
      <c r="E45" s="49">
        <v>3375</v>
      </c>
      <c r="F45" s="51">
        <v>16</v>
      </c>
    </row>
    <row r="46" spans="1:6" x14ac:dyDescent="0.25">
      <c r="A46" s="10" t="s">
        <v>236</v>
      </c>
      <c r="B46" s="11">
        <v>1</v>
      </c>
      <c r="C46" s="10" t="s">
        <v>237</v>
      </c>
      <c r="D46" s="12" t="s">
        <v>238</v>
      </c>
      <c r="E46" s="49">
        <v>3485</v>
      </c>
      <c r="F46" s="51">
        <v>16</v>
      </c>
    </row>
    <row r="47" spans="1:6" x14ac:dyDescent="0.25">
      <c r="A47" s="10" t="s">
        <v>241</v>
      </c>
      <c r="B47" s="11">
        <v>1</v>
      </c>
      <c r="C47" s="10" t="s">
        <v>237</v>
      </c>
      <c r="D47" s="12" t="s">
        <v>240</v>
      </c>
      <c r="E47" s="49">
        <v>4195</v>
      </c>
      <c r="F47" s="51">
        <v>16</v>
      </c>
    </row>
    <row r="48" spans="1:6" x14ac:dyDescent="0.25">
      <c r="A48" s="10"/>
      <c r="B48" s="11"/>
      <c r="C48" s="32"/>
      <c r="D48" s="12"/>
      <c r="E48" s="21"/>
      <c r="F48" s="24"/>
    </row>
    <row r="49" spans="1:6" ht="30" x14ac:dyDescent="0.25">
      <c r="A49" s="86" t="s">
        <v>319</v>
      </c>
      <c r="B49" s="48">
        <v>1</v>
      </c>
      <c r="C49" s="87" t="s">
        <v>320</v>
      </c>
      <c r="D49" s="48" t="s">
        <v>277</v>
      </c>
      <c r="E49" s="21"/>
      <c r="F49" s="24"/>
    </row>
    <row r="50" spans="1:6" x14ac:dyDescent="0.25">
      <c r="A50" s="10"/>
      <c r="B50" s="11"/>
      <c r="C50" s="32"/>
      <c r="D50" s="12"/>
      <c r="E50" s="21"/>
      <c r="F50" s="24"/>
    </row>
    <row r="51" spans="1:6" ht="15.75" x14ac:dyDescent="0.25">
      <c r="A51" s="591" t="s">
        <v>377</v>
      </c>
      <c r="B51" s="592"/>
      <c r="C51" s="592"/>
      <c r="D51" s="592"/>
      <c r="E51" s="592"/>
      <c r="F51" s="593"/>
    </row>
    <row r="52" spans="1:6" x14ac:dyDescent="0.25">
      <c r="A52" s="10"/>
      <c r="B52" s="11"/>
      <c r="C52" s="32"/>
      <c r="D52" s="12"/>
      <c r="E52" s="21"/>
      <c r="F52" s="24"/>
    </row>
    <row r="53" spans="1:6" x14ac:dyDescent="0.25">
      <c r="A53" s="14" t="s">
        <v>93</v>
      </c>
      <c r="B53" s="12">
        <v>1</v>
      </c>
      <c r="C53" s="14" t="s">
        <v>92</v>
      </c>
      <c r="D53" s="12"/>
      <c r="E53" s="24"/>
      <c r="F53" s="24"/>
    </row>
    <row r="54" spans="1:6" x14ac:dyDescent="0.25">
      <c r="A54" s="14" t="s">
        <v>93</v>
      </c>
      <c r="B54" s="12">
        <v>1</v>
      </c>
      <c r="C54" s="14" t="s">
        <v>94</v>
      </c>
      <c r="D54" s="12"/>
      <c r="E54" s="24"/>
      <c r="F54" s="24"/>
    </row>
    <row r="55" spans="1:6" ht="15.75" x14ac:dyDescent="0.25">
      <c r="A55" s="625" t="s">
        <v>230</v>
      </c>
      <c r="B55" s="625"/>
      <c r="C55" s="625"/>
      <c r="D55" s="625"/>
      <c r="E55" s="625"/>
      <c r="F55" s="625"/>
    </row>
    <row r="56" spans="1:6" x14ac:dyDescent="0.25">
      <c r="A56" s="10"/>
      <c r="B56" s="11"/>
      <c r="C56" s="32"/>
      <c r="D56" s="11"/>
      <c r="E56" s="21"/>
      <c r="F56" s="24"/>
    </row>
    <row r="57" spans="1:6" ht="30" x14ac:dyDescent="0.25">
      <c r="A57" s="36" t="s">
        <v>259</v>
      </c>
      <c r="B57" s="52">
        <v>2</v>
      </c>
      <c r="C57" s="36" t="s">
        <v>260</v>
      </c>
      <c r="D57" s="52" t="s">
        <v>261</v>
      </c>
      <c r="E57" s="21"/>
      <c r="F57" s="24"/>
    </row>
    <row r="58" spans="1:6" ht="30" x14ac:dyDescent="0.25">
      <c r="A58" s="36" t="s">
        <v>262</v>
      </c>
      <c r="B58" s="52">
        <v>2</v>
      </c>
      <c r="C58" s="36" t="s">
        <v>263</v>
      </c>
      <c r="D58" s="52" t="s">
        <v>261</v>
      </c>
      <c r="E58" s="25"/>
      <c r="F58" s="13"/>
    </row>
    <row r="59" spans="1:6" ht="30" x14ac:dyDescent="0.25">
      <c r="A59" s="36" t="s">
        <v>264</v>
      </c>
      <c r="B59" s="52">
        <v>2</v>
      </c>
      <c r="C59" s="36" t="s">
        <v>265</v>
      </c>
      <c r="D59" s="52" t="s">
        <v>261</v>
      </c>
      <c r="E59" s="22"/>
      <c r="F59" s="13"/>
    </row>
    <row r="60" spans="1:6" x14ac:dyDescent="0.25">
      <c r="A60" s="10"/>
      <c r="B60" s="11"/>
      <c r="C60" s="10"/>
      <c r="D60" s="12"/>
      <c r="E60" s="22"/>
      <c r="F60" s="13"/>
    </row>
    <row r="61" spans="1:6" ht="15.75" x14ac:dyDescent="0.25">
      <c r="A61" s="591" t="s">
        <v>378</v>
      </c>
      <c r="B61" s="592"/>
      <c r="C61" s="592"/>
      <c r="D61" s="592"/>
      <c r="E61" s="592"/>
      <c r="F61" s="593"/>
    </row>
    <row r="62" spans="1:6" x14ac:dyDescent="0.25">
      <c r="A62" s="10"/>
      <c r="B62" s="11"/>
      <c r="C62" s="10"/>
      <c r="D62" s="12"/>
      <c r="E62" s="21"/>
      <c r="F62" s="13"/>
    </row>
    <row r="63" spans="1:6" ht="30" x14ac:dyDescent="0.25">
      <c r="A63" s="33" t="s">
        <v>233</v>
      </c>
      <c r="B63" s="11">
        <v>1</v>
      </c>
      <c r="C63" s="10" t="s">
        <v>234</v>
      </c>
      <c r="D63" s="12" t="s">
        <v>84</v>
      </c>
      <c r="E63" s="83">
        <v>550</v>
      </c>
      <c r="F63" s="51">
        <v>3</v>
      </c>
    </row>
    <row r="64" spans="1:6" x14ac:dyDescent="0.25">
      <c r="A64" s="622" t="s">
        <v>235</v>
      </c>
      <c r="B64" s="623"/>
      <c r="C64" s="623"/>
      <c r="D64" s="623"/>
      <c r="E64" s="623"/>
      <c r="F64" s="624"/>
    </row>
    <row r="65" spans="1:6" x14ac:dyDescent="0.25">
      <c r="A65" s="10"/>
      <c r="B65" s="11"/>
      <c r="C65" s="10"/>
      <c r="D65" s="11"/>
      <c r="E65" s="21"/>
      <c r="F65" s="13"/>
    </row>
    <row r="66" spans="1:6" x14ac:dyDescent="0.25">
      <c r="A66" s="14"/>
      <c r="B66" s="12"/>
      <c r="C66" s="13"/>
      <c r="D66" s="12"/>
      <c r="E66" s="13"/>
      <c r="F66" s="13"/>
    </row>
    <row r="67" spans="1:6" x14ac:dyDescent="0.25">
      <c r="A67" s="160"/>
      <c r="B67" s="160"/>
      <c r="C67" s="44"/>
      <c r="D67" s="44"/>
      <c r="E67" s="44"/>
      <c r="F67" s="44"/>
    </row>
    <row r="68" spans="1:6" x14ac:dyDescent="0.25">
      <c r="A68" s="160"/>
      <c r="B68" s="160"/>
      <c r="C68" s="44"/>
      <c r="D68" s="44"/>
      <c r="E68" s="44"/>
      <c r="F68" s="44"/>
    </row>
    <row r="69" spans="1:6" x14ac:dyDescent="0.25">
      <c r="A69" s="160" t="s">
        <v>442</v>
      </c>
      <c r="B69" s="160">
        <v>2</v>
      </c>
      <c r="C69" s="44" t="s">
        <v>443</v>
      </c>
      <c r="D69" s="44" t="s">
        <v>84</v>
      </c>
      <c r="E69" s="44">
        <v>4381</v>
      </c>
      <c r="F69" s="44">
        <v>52</v>
      </c>
    </row>
    <row r="70" spans="1:6" x14ac:dyDescent="0.25">
      <c r="A70" s="160" t="s">
        <v>444</v>
      </c>
      <c r="B70" s="160">
        <v>1</v>
      </c>
      <c r="C70" s="44" t="s">
        <v>445</v>
      </c>
      <c r="D70" s="44" t="s">
        <v>84</v>
      </c>
      <c r="E70" s="44">
        <v>3130</v>
      </c>
      <c r="F70" s="44"/>
    </row>
    <row r="71" spans="1:6" x14ac:dyDescent="0.25">
      <c r="A71" s="160" t="s">
        <v>446</v>
      </c>
      <c r="B71" s="160">
        <v>16</v>
      </c>
      <c r="C71" s="44" t="s">
        <v>447</v>
      </c>
      <c r="D71" s="44" t="s">
        <v>84</v>
      </c>
      <c r="E71" s="44">
        <v>123</v>
      </c>
      <c r="F71" s="44">
        <v>16</v>
      </c>
    </row>
    <row r="72" spans="1:6" x14ac:dyDescent="0.25">
      <c r="A72" s="160" t="s">
        <v>448</v>
      </c>
      <c r="B72" s="160">
        <v>2</v>
      </c>
      <c r="C72" s="44" t="s">
        <v>122</v>
      </c>
      <c r="D72" s="44" t="s">
        <v>84</v>
      </c>
      <c r="E72" s="44">
        <v>475</v>
      </c>
      <c r="F72" s="44">
        <v>12</v>
      </c>
    </row>
  </sheetData>
  <mergeCells count="9">
    <mergeCell ref="A2:F2"/>
    <mergeCell ref="A6:F6"/>
    <mergeCell ref="A18:F18"/>
    <mergeCell ref="A64:F64"/>
    <mergeCell ref="A27:F27"/>
    <mergeCell ref="A43:F43"/>
    <mergeCell ref="A51:F51"/>
    <mergeCell ref="A55:F55"/>
    <mergeCell ref="A61:F61"/>
  </mergeCells>
  <printOptions horizontalCentered="1"/>
  <pageMargins left="0.25" right="0.25" top="0.75" bottom="0.75" header="0.3" footer="0.3"/>
  <pageSetup fitToHeight="0" orientation="portrait" r:id="rId1"/>
  <headerFooter>
    <oddFooter>&amp;Z&amp;F&amp;RPage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pageSetUpPr fitToPage="1"/>
  </sheetPr>
  <dimension ref="A1:Q82"/>
  <sheetViews>
    <sheetView showGridLines="0" showWhiteSpace="0" topLeftCell="A20" zoomScale="85" zoomScaleNormal="85" workbookViewId="0">
      <selection activeCell="C32" sqref="C32"/>
    </sheetView>
  </sheetViews>
  <sheetFormatPr defaultRowHeight="15" x14ac:dyDescent="0.25"/>
  <cols>
    <col min="1" max="1" width="31" bestFit="1" customWidth="1"/>
    <col min="2" max="2" width="15.28515625" bestFit="1" customWidth="1"/>
    <col min="3" max="3" width="8.5703125" style="157" bestFit="1" customWidth="1"/>
    <col min="4" max="4" width="10" style="157" bestFit="1" customWidth="1"/>
    <col min="5" max="5" width="10.42578125" bestFit="1" customWidth="1"/>
    <col min="7" max="7" width="38" customWidth="1"/>
    <col min="8" max="8" width="15.28515625" bestFit="1" customWidth="1"/>
    <col min="9" max="9" width="8.5703125" style="157" bestFit="1" customWidth="1"/>
    <col min="10" max="10" width="10" style="157" bestFit="1" customWidth="1"/>
    <col min="11" max="11" width="10.42578125" bestFit="1" customWidth="1"/>
    <col min="13" max="13" width="38" customWidth="1"/>
    <col min="14" max="14" width="15.28515625" bestFit="1" customWidth="1"/>
    <col min="15" max="15" width="8.5703125" style="157" bestFit="1" customWidth="1"/>
    <col min="16" max="16" width="10" style="157" bestFit="1" customWidth="1"/>
    <col min="17" max="17" width="10.42578125" bestFit="1" customWidth="1"/>
  </cols>
  <sheetData>
    <row r="1" spans="1:17" ht="24.95" customHeight="1" x14ac:dyDescent="0.35">
      <c r="A1" s="627" t="s">
        <v>289</v>
      </c>
      <c r="B1" s="627"/>
      <c r="C1" s="627"/>
      <c r="D1" s="627"/>
      <c r="E1" s="628"/>
      <c r="F1" s="78"/>
      <c r="G1" s="627" t="s">
        <v>287</v>
      </c>
      <c r="H1" s="627"/>
      <c r="I1" s="627"/>
      <c r="J1" s="627"/>
      <c r="K1" s="628"/>
      <c r="L1" s="78"/>
      <c r="M1" s="627" t="s">
        <v>288</v>
      </c>
      <c r="N1" s="627"/>
      <c r="O1" s="627"/>
      <c r="P1" s="627"/>
      <c r="Q1" s="628"/>
    </row>
    <row r="2" spans="1:17" ht="15.75" x14ac:dyDescent="0.25">
      <c r="A2" s="47" t="s">
        <v>150</v>
      </c>
      <c r="B2" s="48"/>
      <c r="C2" s="144"/>
      <c r="D2" s="95"/>
      <c r="E2" s="51"/>
      <c r="F2" s="75"/>
      <c r="G2" s="47" t="s">
        <v>150</v>
      </c>
      <c r="H2" s="48"/>
      <c r="I2" s="92"/>
      <c r="J2" s="95"/>
      <c r="K2" s="51"/>
      <c r="L2" s="75"/>
      <c r="M2" s="47" t="s">
        <v>150</v>
      </c>
      <c r="N2" s="48"/>
      <c r="O2" s="92"/>
      <c r="P2" s="95"/>
      <c r="Q2" s="51"/>
    </row>
    <row r="3" spans="1:17" x14ac:dyDescent="0.25">
      <c r="A3" s="52"/>
      <c r="B3" s="48"/>
      <c r="C3" s="144"/>
      <c r="D3" s="95"/>
      <c r="E3" s="51"/>
      <c r="F3" s="75"/>
      <c r="G3" s="52" t="s">
        <v>152</v>
      </c>
      <c r="H3" s="48"/>
      <c r="I3" s="92"/>
      <c r="J3" s="95"/>
      <c r="K3" s="51"/>
      <c r="L3" s="75"/>
      <c r="M3" s="52" t="s">
        <v>152</v>
      </c>
      <c r="N3" s="48"/>
      <c r="O3" s="92"/>
      <c r="P3" s="95"/>
      <c r="Q3" s="51"/>
    </row>
    <row r="4" spans="1:17" x14ac:dyDescent="0.25">
      <c r="A4" s="629" t="s">
        <v>1138</v>
      </c>
      <c r="B4" s="630"/>
      <c r="C4" s="630"/>
      <c r="D4" s="630"/>
      <c r="E4" s="631"/>
      <c r="F4" s="75"/>
      <c r="G4" s="11" t="s">
        <v>151</v>
      </c>
      <c r="H4" s="12" t="s">
        <v>84</v>
      </c>
      <c r="I4" s="163">
        <v>1.58</v>
      </c>
      <c r="J4" s="95">
        <v>45568</v>
      </c>
      <c r="K4" s="13" t="s">
        <v>153</v>
      </c>
      <c r="L4" s="75"/>
      <c r="M4" s="11" t="s">
        <v>151</v>
      </c>
      <c r="N4" s="12" t="s">
        <v>80</v>
      </c>
      <c r="O4" s="163">
        <v>2.4500000000000002</v>
      </c>
      <c r="P4" s="95">
        <v>45568</v>
      </c>
      <c r="Q4" s="13" t="s">
        <v>153</v>
      </c>
    </row>
    <row r="5" spans="1:17" x14ac:dyDescent="0.25">
      <c r="A5" s="11" t="s">
        <v>154</v>
      </c>
      <c r="B5" s="12" t="s">
        <v>277</v>
      </c>
      <c r="C5" s="163">
        <v>0.68</v>
      </c>
      <c r="D5" s="95">
        <v>45568</v>
      </c>
      <c r="E5" s="13" t="s">
        <v>229</v>
      </c>
      <c r="F5" s="75"/>
      <c r="G5" s="11" t="s">
        <v>154</v>
      </c>
      <c r="H5" s="12" t="s">
        <v>84</v>
      </c>
      <c r="I5" s="163">
        <v>1.58</v>
      </c>
      <c r="J5" s="95">
        <v>45568</v>
      </c>
      <c r="K5" s="13" t="s">
        <v>153</v>
      </c>
      <c r="L5" s="75"/>
      <c r="M5" s="11" t="s">
        <v>154</v>
      </c>
      <c r="N5" s="12" t="s">
        <v>80</v>
      </c>
      <c r="O5" s="163">
        <v>2.4500000000000002</v>
      </c>
      <c r="P5" s="95">
        <v>45568</v>
      </c>
      <c r="Q5" s="13" t="s">
        <v>153</v>
      </c>
    </row>
    <row r="6" spans="1:17" x14ac:dyDescent="0.25">
      <c r="A6" s="11" t="s">
        <v>155</v>
      </c>
      <c r="B6" s="12" t="s">
        <v>277</v>
      </c>
      <c r="C6" s="163">
        <v>0.67</v>
      </c>
      <c r="D6" s="95">
        <v>45568</v>
      </c>
      <c r="E6" s="13" t="s">
        <v>229</v>
      </c>
      <c r="F6" s="75"/>
      <c r="G6" s="11" t="s">
        <v>155</v>
      </c>
      <c r="H6" s="11" t="s">
        <v>84</v>
      </c>
      <c r="I6" s="163">
        <v>1.65</v>
      </c>
      <c r="J6" s="95">
        <v>45568</v>
      </c>
      <c r="K6" s="13" t="s">
        <v>153</v>
      </c>
      <c r="L6" s="75"/>
      <c r="M6" s="11" t="s">
        <v>155</v>
      </c>
      <c r="N6" s="12" t="s">
        <v>80</v>
      </c>
      <c r="O6" s="163">
        <v>2.69</v>
      </c>
      <c r="P6" s="95">
        <v>45489</v>
      </c>
      <c r="Q6" s="13" t="s">
        <v>153</v>
      </c>
    </row>
    <row r="7" spans="1:17" x14ac:dyDescent="0.25">
      <c r="A7" s="11" t="s">
        <v>156</v>
      </c>
      <c r="B7" s="12" t="s">
        <v>277</v>
      </c>
      <c r="C7" s="163">
        <v>0.66</v>
      </c>
      <c r="D7" s="95">
        <v>45568</v>
      </c>
      <c r="E7" s="13" t="s">
        <v>229</v>
      </c>
      <c r="F7" s="75"/>
      <c r="G7" s="11" t="s">
        <v>156</v>
      </c>
      <c r="H7" s="12" t="s">
        <v>84</v>
      </c>
      <c r="I7" s="163">
        <v>1.74</v>
      </c>
      <c r="J7" s="95">
        <v>45568</v>
      </c>
      <c r="K7" s="13" t="s">
        <v>153</v>
      </c>
      <c r="L7" s="75"/>
      <c r="M7" s="11" t="s">
        <v>156</v>
      </c>
      <c r="N7" s="12" t="s">
        <v>80</v>
      </c>
      <c r="O7" s="163">
        <v>2.4900000000000002</v>
      </c>
      <c r="P7" s="95">
        <v>45574</v>
      </c>
      <c r="Q7" s="13" t="s">
        <v>153</v>
      </c>
    </row>
    <row r="8" spans="1:17" x14ac:dyDescent="0.25">
      <c r="A8" s="11" t="s">
        <v>157</v>
      </c>
      <c r="B8" s="12" t="s">
        <v>277</v>
      </c>
      <c r="C8" s="163">
        <v>0.66</v>
      </c>
      <c r="D8" s="95">
        <v>45568</v>
      </c>
      <c r="E8" s="13" t="s">
        <v>229</v>
      </c>
      <c r="F8" s="75"/>
      <c r="G8" s="11" t="s">
        <v>157</v>
      </c>
      <c r="H8" s="12" t="s">
        <v>84</v>
      </c>
      <c r="I8" s="163">
        <v>1.98</v>
      </c>
      <c r="J8" s="95">
        <v>45568</v>
      </c>
      <c r="K8" s="13" t="s">
        <v>153</v>
      </c>
      <c r="L8" s="75"/>
      <c r="M8" s="11" t="s">
        <v>157</v>
      </c>
      <c r="N8" s="12" t="s">
        <v>80</v>
      </c>
      <c r="O8" s="163">
        <v>2.71</v>
      </c>
      <c r="P8" s="95">
        <v>45574</v>
      </c>
      <c r="Q8" s="13" t="s">
        <v>153</v>
      </c>
    </row>
    <row r="9" spans="1:17" x14ac:dyDescent="0.25">
      <c r="A9" s="11" t="s">
        <v>211</v>
      </c>
      <c r="B9" s="12" t="s">
        <v>277</v>
      </c>
      <c r="C9" s="163">
        <v>0.77</v>
      </c>
      <c r="D9" s="95">
        <v>45406</v>
      </c>
      <c r="E9" s="13" t="s">
        <v>229</v>
      </c>
      <c r="F9" s="75"/>
      <c r="G9" s="11" t="s">
        <v>211</v>
      </c>
      <c r="H9" s="12" t="s">
        <v>84</v>
      </c>
      <c r="I9" s="163">
        <v>2.04</v>
      </c>
      <c r="J9" s="95">
        <v>45406</v>
      </c>
      <c r="K9" s="13" t="s">
        <v>153</v>
      </c>
      <c r="L9" s="75"/>
      <c r="M9" s="42" t="s">
        <v>211</v>
      </c>
      <c r="N9" s="12" t="s">
        <v>80</v>
      </c>
      <c r="O9" s="163">
        <v>2.84</v>
      </c>
      <c r="P9" s="95">
        <v>45574</v>
      </c>
      <c r="Q9" s="96" t="s">
        <v>153</v>
      </c>
    </row>
    <row r="10" spans="1:17" x14ac:dyDescent="0.25">
      <c r="A10" s="11" t="s">
        <v>212</v>
      </c>
      <c r="B10" s="12" t="s">
        <v>277</v>
      </c>
      <c r="C10" s="163"/>
      <c r="D10" s="95"/>
      <c r="E10" s="13" t="s">
        <v>229</v>
      </c>
      <c r="F10" s="75"/>
      <c r="G10" s="147" t="s">
        <v>212</v>
      </c>
      <c r="H10" s="12" t="s">
        <v>84</v>
      </c>
      <c r="I10" s="163">
        <v>2.09</v>
      </c>
      <c r="J10" s="95">
        <v>45406</v>
      </c>
      <c r="K10" s="13" t="s">
        <v>153</v>
      </c>
      <c r="L10" s="75"/>
      <c r="M10" s="42" t="s">
        <v>212</v>
      </c>
      <c r="N10" s="12" t="s">
        <v>80</v>
      </c>
      <c r="O10" s="163"/>
      <c r="P10" s="95"/>
      <c r="Q10" s="96" t="s">
        <v>153</v>
      </c>
    </row>
    <row r="11" spans="1:17" x14ac:dyDescent="0.25">
      <c r="A11" s="11" t="s">
        <v>213</v>
      </c>
      <c r="B11" s="12" t="s">
        <v>277</v>
      </c>
      <c r="C11" s="163"/>
      <c r="D11" s="95"/>
      <c r="E11" s="13" t="s">
        <v>229</v>
      </c>
      <c r="F11" s="75"/>
      <c r="G11" s="12" t="s">
        <v>231</v>
      </c>
      <c r="H11" s="12" t="s">
        <v>84</v>
      </c>
      <c r="I11" s="163">
        <v>2.09</v>
      </c>
      <c r="J11" s="95">
        <v>45406</v>
      </c>
      <c r="K11" s="13" t="s">
        <v>153</v>
      </c>
      <c r="L11" s="75"/>
      <c r="M11" s="42" t="s">
        <v>214</v>
      </c>
      <c r="N11" s="12" t="s">
        <v>80</v>
      </c>
      <c r="O11" s="163">
        <v>2.85</v>
      </c>
      <c r="P11" s="95">
        <v>45376</v>
      </c>
      <c r="Q11" s="96" t="s">
        <v>153</v>
      </c>
    </row>
    <row r="12" spans="1:17" x14ac:dyDescent="0.25">
      <c r="A12" s="11" t="s">
        <v>214</v>
      </c>
      <c r="B12" s="12" t="s">
        <v>277</v>
      </c>
      <c r="C12" s="163"/>
      <c r="D12" s="95"/>
      <c r="E12" s="13" t="s">
        <v>229</v>
      </c>
      <c r="F12" s="75"/>
      <c r="G12" s="52" t="s">
        <v>295</v>
      </c>
      <c r="H12" s="48"/>
      <c r="I12" s="163"/>
      <c r="J12" s="95"/>
      <c r="K12" s="51"/>
      <c r="L12" s="75"/>
      <c r="M12" s="52" t="s">
        <v>295</v>
      </c>
      <c r="N12" s="48"/>
      <c r="O12" s="163"/>
      <c r="P12" s="95"/>
      <c r="Q12" s="51"/>
    </row>
    <row r="13" spans="1:17" x14ac:dyDescent="0.25">
      <c r="A13" s="32"/>
      <c r="B13" s="12"/>
      <c r="C13" s="144"/>
      <c r="D13" s="95"/>
      <c r="E13" s="24"/>
      <c r="F13" s="75"/>
      <c r="G13" s="11" t="s">
        <v>151</v>
      </c>
      <c r="H13" s="12" t="s">
        <v>84</v>
      </c>
      <c r="I13" s="163"/>
      <c r="J13" s="95"/>
      <c r="K13" s="24" t="s">
        <v>153</v>
      </c>
      <c r="L13" s="75"/>
      <c r="M13" s="11" t="s">
        <v>151</v>
      </c>
      <c r="N13" s="12" t="s">
        <v>80</v>
      </c>
      <c r="O13" s="163"/>
      <c r="P13" s="95"/>
      <c r="Q13" s="13" t="s">
        <v>153</v>
      </c>
    </row>
    <row r="14" spans="1:17" x14ac:dyDescent="0.25">
      <c r="A14" s="32"/>
      <c r="B14" s="12"/>
      <c r="C14" s="144"/>
      <c r="D14" s="95"/>
      <c r="E14" s="24"/>
      <c r="F14" s="75"/>
      <c r="G14" s="11" t="s">
        <v>154</v>
      </c>
      <c r="H14" s="12" t="s">
        <v>84</v>
      </c>
      <c r="I14" s="163">
        <v>1.89</v>
      </c>
      <c r="J14" s="95">
        <v>45376</v>
      </c>
      <c r="K14" s="24" t="s">
        <v>153</v>
      </c>
      <c r="L14" s="75"/>
      <c r="M14" s="11" t="s">
        <v>154</v>
      </c>
      <c r="N14" s="12" t="s">
        <v>80</v>
      </c>
      <c r="O14" s="163"/>
      <c r="P14" s="95"/>
      <c r="Q14" s="13" t="s">
        <v>153</v>
      </c>
    </row>
    <row r="15" spans="1:17" x14ac:dyDescent="0.25">
      <c r="A15" s="629" t="s">
        <v>1139</v>
      </c>
      <c r="B15" s="630"/>
      <c r="C15" s="630"/>
      <c r="D15" s="630"/>
      <c r="E15" s="631"/>
      <c r="F15" s="75"/>
      <c r="G15" s="11" t="s">
        <v>155</v>
      </c>
      <c r="H15" s="12" t="s">
        <v>84</v>
      </c>
      <c r="I15" s="163"/>
      <c r="J15" s="95"/>
      <c r="K15" s="24"/>
      <c r="L15" s="75"/>
      <c r="M15" s="11" t="s">
        <v>155</v>
      </c>
      <c r="N15" s="12" t="s">
        <v>80</v>
      </c>
      <c r="O15" s="163"/>
      <c r="P15" s="95"/>
      <c r="Q15" s="13" t="s">
        <v>153</v>
      </c>
    </row>
    <row r="16" spans="1:17" x14ac:dyDescent="0.25">
      <c r="A16" s="11" t="s">
        <v>154</v>
      </c>
      <c r="B16" s="12" t="s">
        <v>277</v>
      </c>
      <c r="C16" s="163">
        <v>0.76</v>
      </c>
      <c r="D16" s="95">
        <v>45495</v>
      </c>
      <c r="E16" s="13" t="s">
        <v>229</v>
      </c>
      <c r="F16" s="75"/>
      <c r="G16" s="11" t="s">
        <v>156</v>
      </c>
      <c r="H16" s="12" t="s">
        <v>84</v>
      </c>
      <c r="I16" s="163"/>
      <c r="J16" s="95"/>
      <c r="K16" s="24" t="s">
        <v>153</v>
      </c>
      <c r="L16" s="75"/>
      <c r="M16" s="11" t="s">
        <v>156</v>
      </c>
      <c r="N16" s="12" t="s">
        <v>80</v>
      </c>
      <c r="O16" s="163"/>
      <c r="P16" s="95"/>
      <c r="Q16" s="13" t="s">
        <v>153</v>
      </c>
    </row>
    <row r="17" spans="1:17" x14ac:dyDescent="0.25">
      <c r="A17" s="11" t="s">
        <v>155</v>
      </c>
      <c r="B17" s="12" t="s">
        <v>277</v>
      </c>
      <c r="C17" s="163"/>
      <c r="D17" s="95"/>
      <c r="E17" s="13" t="s">
        <v>229</v>
      </c>
      <c r="F17" s="75"/>
      <c r="G17" s="11" t="s">
        <v>157</v>
      </c>
      <c r="H17" s="12" t="s">
        <v>84</v>
      </c>
      <c r="I17" s="163"/>
      <c r="J17" s="95"/>
      <c r="K17" s="24" t="s">
        <v>153</v>
      </c>
      <c r="L17" s="75"/>
      <c r="M17" s="11" t="s">
        <v>157</v>
      </c>
      <c r="N17" s="12" t="s">
        <v>80</v>
      </c>
      <c r="O17" s="163"/>
      <c r="P17" s="95"/>
      <c r="Q17" s="13" t="s">
        <v>153</v>
      </c>
    </row>
    <row r="18" spans="1:17" ht="19.899999999999999" customHeight="1" x14ac:dyDescent="0.35">
      <c r="A18" s="11" t="s">
        <v>156</v>
      </c>
      <c r="B18" s="12" t="s">
        <v>277</v>
      </c>
      <c r="C18" s="163"/>
      <c r="D18" s="95"/>
      <c r="E18" s="13" t="s">
        <v>229</v>
      </c>
      <c r="F18" s="75"/>
      <c r="G18" s="627" t="s">
        <v>294</v>
      </c>
      <c r="H18" s="627"/>
      <c r="I18" s="627"/>
      <c r="J18" s="627"/>
      <c r="K18" s="628"/>
      <c r="L18" s="75"/>
      <c r="M18" s="10"/>
      <c r="N18" s="12"/>
      <c r="O18" s="144"/>
      <c r="P18" s="148"/>
      <c r="Q18" s="24"/>
    </row>
    <row r="19" spans="1:17" ht="23.25" x14ac:dyDescent="0.35">
      <c r="A19" s="11" t="s">
        <v>157</v>
      </c>
      <c r="B19" s="12" t="s">
        <v>277</v>
      </c>
      <c r="C19" s="163">
        <v>0.66</v>
      </c>
      <c r="D19" s="95">
        <v>45568</v>
      </c>
      <c r="E19" s="13" t="s">
        <v>229</v>
      </c>
      <c r="F19" s="75"/>
      <c r="G19" s="10"/>
      <c r="H19" s="11"/>
      <c r="I19" s="144"/>
      <c r="J19" s="162"/>
      <c r="K19" s="79"/>
      <c r="L19" s="75"/>
      <c r="M19" s="627" t="s">
        <v>296</v>
      </c>
      <c r="N19" s="627"/>
      <c r="O19" s="627"/>
      <c r="P19" s="627"/>
      <c r="Q19" s="628"/>
    </row>
    <row r="20" spans="1:17" x14ac:dyDescent="0.25">
      <c r="A20" s="11" t="s">
        <v>211</v>
      </c>
      <c r="B20" s="12" t="s">
        <v>277</v>
      </c>
      <c r="C20" s="163"/>
      <c r="D20" s="95"/>
      <c r="E20" s="13" t="s">
        <v>229</v>
      </c>
      <c r="F20" s="75"/>
      <c r="G20" s="11"/>
      <c r="H20" s="12"/>
      <c r="I20" s="144"/>
      <c r="J20" s="95"/>
      <c r="K20" s="24"/>
      <c r="L20" s="75"/>
      <c r="M20" s="10"/>
      <c r="N20" s="11"/>
      <c r="O20" s="144"/>
      <c r="P20" s="95"/>
      <c r="Q20" s="79"/>
    </row>
    <row r="21" spans="1:17" x14ac:dyDescent="0.25">
      <c r="A21" s="11" t="s">
        <v>212</v>
      </c>
      <c r="B21" s="12" t="s">
        <v>277</v>
      </c>
      <c r="C21" s="163"/>
      <c r="D21" s="95"/>
      <c r="E21" s="13" t="s">
        <v>229</v>
      </c>
      <c r="F21" s="75"/>
      <c r="G21" s="11" t="s">
        <v>397</v>
      </c>
      <c r="H21" s="12" t="s">
        <v>303</v>
      </c>
      <c r="I21" s="144">
        <v>149</v>
      </c>
      <c r="J21" s="95">
        <v>45568</v>
      </c>
      <c r="K21" s="24" t="s">
        <v>153</v>
      </c>
      <c r="L21" s="75"/>
      <c r="M21" s="11" t="s">
        <v>397</v>
      </c>
      <c r="N21" s="12" t="s">
        <v>298</v>
      </c>
      <c r="O21" s="144">
        <v>232</v>
      </c>
      <c r="P21" s="95">
        <v>45568</v>
      </c>
      <c r="Q21" s="24" t="s">
        <v>153</v>
      </c>
    </row>
    <row r="22" spans="1:17" x14ac:dyDescent="0.25">
      <c r="A22" s="11" t="s">
        <v>213</v>
      </c>
      <c r="B22" s="12" t="s">
        <v>277</v>
      </c>
      <c r="C22" s="163">
        <v>0.7</v>
      </c>
      <c r="D22" s="95">
        <v>45406</v>
      </c>
      <c r="E22" s="13" t="s">
        <v>229</v>
      </c>
      <c r="F22" s="75"/>
      <c r="G22" s="11" t="s">
        <v>318</v>
      </c>
      <c r="H22" s="12" t="s">
        <v>303</v>
      </c>
      <c r="I22" s="144">
        <v>191</v>
      </c>
      <c r="J22" s="95">
        <v>45568</v>
      </c>
      <c r="K22" s="13" t="s">
        <v>153</v>
      </c>
      <c r="L22" s="75"/>
      <c r="M22" s="11" t="s">
        <v>297</v>
      </c>
      <c r="N22" s="12" t="s">
        <v>298</v>
      </c>
      <c r="O22" s="144">
        <v>255</v>
      </c>
      <c r="P22" s="95">
        <v>45568</v>
      </c>
      <c r="Q22" s="24" t="s">
        <v>153</v>
      </c>
    </row>
    <row r="23" spans="1:17" x14ac:dyDescent="0.25">
      <c r="A23" s="11" t="s">
        <v>214</v>
      </c>
      <c r="B23" s="12" t="s">
        <v>277</v>
      </c>
      <c r="C23" s="163"/>
      <c r="D23" s="95"/>
      <c r="E23" s="13" t="s">
        <v>229</v>
      </c>
      <c r="F23" s="75"/>
      <c r="G23" s="11" t="s">
        <v>305</v>
      </c>
      <c r="H23" s="12" t="s">
        <v>303</v>
      </c>
      <c r="I23" s="144">
        <v>270</v>
      </c>
      <c r="J23" s="95">
        <v>45491</v>
      </c>
      <c r="K23" s="24" t="s">
        <v>153</v>
      </c>
      <c r="L23" s="75"/>
      <c r="M23" s="11" t="s">
        <v>385</v>
      </c>
      <c r="N23" s="12" t="s">
        <v>298</v>
      </c>
      <c r="O23" s="144">
        <v>390</v>
      </c>
      <c r="P23" s="95">
        <v>45376</v>
      </c>
      <c r="Q23" s="24" t="s">
        <v>153</v>
      </c>
    </row>
    <row r="24" spans="1:17" x14ac:dyDescent="0.25">
      <c r="A24" s="10"/>
      <c r="B24" s="12"/>
      <c r="C24" s="144"/>
      <c r="D24" s="95"/>
      <c r="E24" s="24"/>
      <c r="F24" s="75"/>
      <c r="G24" s="11" t="s">
        <v>1140</v>
      </c>
      <c r="H24" s="12" t="s">
        <v>303</v>
      </c>
      <c r="I24" s="144">
        <v>384</v>
      </c>
      <c r="J24" s="95">
        <v>45376</v>
      </c>
      <c r="K24" s="24" t="s">
        <v>153</v>
      </c>
      <c r="L24" s="75"/>
      <c r="M24" s="11" t="s">
        <v>1110</v>
      </c>
      <c r="N24" s="12" t="s">
        <v>298</v>
      </c>
      <c r="O24" s="144"/>
      <c r="P24" s="95"/>
      <c r="Q24" s="24" t="s">
        <v>153</v>
      </c>
    </row>
    <row r="25" spans="1:17" x14ac:dyDescent="0.25">
      <c r="A25" s="10"/>
      <c r="B25" s="12"/>
      <c r="C25" s="144"/>
      <c r="D25" s="95"/>
      <c r="E25" s="24"/>
      <c r="F25" s="75"/>
      <c r="G25" s="11" t="s">
        <v>384</v>
      </c>
      <c r="H25" s="12" t="s">
        <v>303</v>
      </c>
      <c r="I25" s="144"/>
      <c r="J25" s="95"/>
      <c r="K25" s="24" t="s">
        <v>153</v>
      </c>
      <c r="L25" s="75"/>
      <c r="M25" s="11" t="s">
        <v>1099</v>
      </c>
      <c r="N25" s="12" t="s">
        <v>300</v>
      </c>
      <c r="O25" s="144"/>
      <c r="P25" s="95"/>
      <c r="Q25" s="24" t="s">
        <v>153</v>
      </c>
    </row>
    <row r="26" spans="1:17" x14ac:dyDescent="0.25">
      <c r="A26" s="10"/>
      <c r="B26" s="12"/>
      <c r="C26" s="144"/>
      <c r="D26" s="95"/>
      <c r="E26" s="24"/>
      <c r="F26" s="75"/>
      <c r="G26" s="11" t="s">
        <v>302</v>
      </c>
      <c r="H26" s="167" t="s">
        <v>303</v>
      </c>
      <c r="I26" s="144"/>
      <c r="J26" s="95"/>
      <c r="K26" s="24" t="s">
        <v>153</v>
      </c>
      <c r="L26" s="75"/>
      <c r="M26" s="11" t="s">
        <v>1100</v>
      </c>
      <c r="N26" s="12"/>
      <c r="O26" s="144"/>
      <c r="P26" s="95"/>
      <c r="Q26" s="13"/>
    </row>
    <row r="27" spans="1:17" x14ac:dyDescent="0.25">
      <c r="A27" s="10"/>
      <c r="B27" s="12"/>
      <c r="C27" s="144"/>
      <c r="D27" s="148"/>
      <c r="E27" s="24"/>
      <c r="F27" s="75"/>
      <c r="G27" s="11" t="s">
        <v>430</v>
      </c>
      <c r="H27" s="12" t="s">
        <v>303</v>
      </c>
      <c r="I27" s="144">
        <v>1250</v>
      </c>
      <c r="J27" s="95">
        <v>45568</v>
      </c>
      <c r="K27" s="13" t="s">
        <v>153</v>
      </c>
      <c r="L27" s="75"/>
      <c r="M27" s="11"/>
      <c r="N27" s="12"/>
      <c r="O27" s="144"/>
      <c r="P27" s="95"/>
      <c r="Q27" s="13"/>
    </row>
    <row r="28" spans="1:17" ht="23.25" x14ac:dyDescent="0.35">
      <c r="A28" s="627" t="s">
        <v>91</v>
      </c>
      <c r="B28" s="627"/>
      <c r="C28" s="627"/>
      <c r="D28" s="627"/>
      <c r="E28" s="628"/>
      <c r="F28" s="75"/>
      <c r="G28" s="11" t="s">
        <v>427</v>
      </c>
      <c r="H28" s="12" t="s">
        <v>303</v>
      </c>
      <c r="I28" s="144"/>
      <c r="J28" s="95"/>
      <c r="K28" s="13" t="s">
        <v>153</v>
      </c>
      <c r="L28" s="75"/>
      <c r="M28" s="11"/>
      <c r="N28" s="12"/>
      <c r="O28" s="144"/>
      <c r="P28" s="95"/>
      <c r="Q28" s="13"/>
    </row>
    <row r="29" spans="1:17" ht="15.75" x14ac:dyDescent="0.25">
      <c r="A29" s="47" t="s">
        <v>150</v>
      </c>
      <c r="B29" s="48"/>
      <c r="C29" s="144"/>
      <c r="D29" s="162"/>
      <c r="E29" s="79"/>
      <c r="F29" s="75"/>
      <c r="G29" s="11" t="s">
        <v>456</v>
      </c>
      <c r="H29" s="12" t="s">
        <v>303</v>
      </c>
      <c r="I29" s="144"/>
      <c r="J29" s="95"/>
      <c r="K29" s="13" t="s">
        <v>153</v>
      </c>
      <c r="L29" s="75"/>
      <c r="M29" s="11" t="s">
        <v>314</v>
      </c>
      <c r="N29" s="12" t="s">
        <v>423</v>
      </c>
      <c r="O29" s="144"/>
      <c r="P29" s="95"/>
      <c r="Q29" s="13" t="s">
        <v>153</v>
      </c>
    </row>
    <row r="30" spans="1:17" x14ac:dyDescent="0.25">
      <c r="A30" s="52" t="s">
        <v>152</v>
      </c>
      <c r="B30" s="48"/>
      <c r="C30" s="144"/>
      <c r="D30" s="95"/>
      <c r="E30" s="24"/>
      <c r="F30" s="75"/>
      <c r="G30" s="11" t="s">
        <v>455</v>
      </c>
      <c r="H30" s="12" t="s">
        <v>303</v>
      </c>
      <c r="I30" s="144"/>
      <c r="J30" s="95"/>
      <c r="K30" s="13" t="s">
        <v>153</v>
      </c>
      <c r="L30" s="75"/>
      <c r="M30" s="11"/>
      <c r="N30" s="12"/>
      <c r="O30" s="144"/>
      <c r="P30" s="95"/>
      <c r="Q30" s="13"/>
    </row>
    <row r="31" spans="1:17" x14ac:dyDescent="0.25">
      <c r="A31" s="11" t="s">
        <v>151</v>
      </c>
      <c r="B31" s="12" t="s">
        <v>91</v>
      </c>
      <c r="C31" s="163">
        <v>0.49</v>
      </c>
      <c r="D31" s="95">
        <v>45568</v>
      </c>
      <c r="E31" s="13" t="s">
        <v>229</v>
      </c>
      <c r="F31" s="75"/>
      <c r="G31" s="11" t="s">
        <v>431</v>
      </c>
      <c r="H31" s="12" t="s">
        <v>303</v>
      </c>
      <c r="I31" s="144"/>
      <c r="J31" s="95"/>
      <c r="K31" s="13" t="s">
        <v>153</v>
      </c>
      <c r="L31" s="75"/>
      <c r="M31" s="11" t="s">
        <v>498</v>
      </c>
      <c r="N31" s="12"/>
      <c r="O31" s="144"/>
      <c r="P31" s="95"/>
      <c r="Q31" s="13" t="s">
        <v>153</v>
      </c>
    </row>
    <row r="32" spans="1:17" x14ac:dyDescent="0.25">
      <c r="A32" s="11" t="s">
        <v>154</v>
      </c>
      <c r="B32" s="12" t="s">
        <v>91</v>
      </c>
      <c r="C32" s="163">
        <v>0.49</v>
      </c>
      <c r="D32" s="95">
        <v>45568</v>
      </c>
      <c r="E32" s="13" t="s">
        <v>229</v>
      </c>
      <c r="F32" s="75"/>
      <c r="G32" s="11" t="s">
        <v>437</v>
      </c>
      <c r="H32" s="12" t="s">
        <v>303</v>
      </c>
      <c r="I32" s="144"/>
      <c r="J32" s="95"/>
      <c r="K32" s="24" t="s">
        <v>153</v>
      </c>
      <c r="L32" s="75"/>
      <c r="M32" s="11" t="s">
        <v>499</v>
      </c>
      <c r="N32" s="12"/>
      <c r="O32" s="144"/>
      <c r="P32" s="95"/>
      <c r="Q32" s="13" t="s">
        <v>153</v>
      </c>
    </row>
    <row r="33" spans="1:17" x14ac:dyDescent="0.25">
      <c r="A33" s="11" t="s">
        <v>155</v>
      </c>
      <c r="B33" s="12" t="s">
        <v>91</v>
      </c>
      <c r="C33" s="163">
        <v>0.52</v>
      </c>
      <c r="D33" s="95">
        <v>45568</v>
      </c>
      <c r="E33" s="13" t="s">
        <v>229</v>
      </c>
      <c r="F33" s="75"/>
      <c r="G33" s="11" t="s">
        <v>438</v>
      </c>
      <c r="H33" s="12" t="s">
        <v>303</v>
      </c>
      <c r="I33" s="144"/>
      <c r="J33" s="95"/>
      <c r="K33" s="24" t="s">
        <v>153</v>
      </c>
      <c r="L33" s="75"/>
      <c r="M33" s="11" t="s">
        <v>500</v>
      </c>
      <c r="N33" s="12"/>
      <c r="O33" s="144"/>
      <c r="P33" s="95"/>
      <c r="Q33" s="13" t="s">
        <v>153</v>
      </c>
    </row>
    <row r="34" spans="1:17" x14ac:dyDescent="0.25">
      <c r="A34" s="11" t="s">
        <v>156</v>
      </c>
      <c r="B34" s="12" t="s">
        <v>91</v>
      </c>
      <c r="C34" s="163">
        <v>0.52</v>
      </c>
      <c r="D34" s="95">
        <v>45568</v>
      </c>
      <c r="E34" s="13" t="s">
        <v>229</v>
      </c>
      <c r="F34" s="75"/>
      <c r="G34" s="11"/>
      <c r="H34" s="12"/>
      <c r="I34" s="144"/>
      <c r="J34" s="95"/>
      <c r="K34" s="13"/>
      <c r="L34" s="75"/>
      <c r="M34" s="11" t="s">
        <v>501</v>
      </c>
      <c r="N34" s="12"/>
      <c r="O34" s="144"/>
      <c r="P34" s="95"/>
      <c r="Q34" s="13" t="s">
        <v>153</v>
      </c>
    </row>
    <row r="35" spans="1:17" ht="15.75" x14ac:dyDescent="0.25">
      <c r="A35" s="11" t="s">
        <v>157</v>
      </c>
      <c r="B35" s="12" t="s">
        <v>91</v>
      </c>
      <c r="C35" s="163">
        <v>0.49</v>
      </c>
      <c r="D35" s="95">
        <v>45568</v>
      </c>
      <c r="E35" s="13" t="s">
        <v>229</v>
      </c>
      <c r="F35" s="75"/>
      <c r="G35" s="11"/>
      <c r="H35" s="12"/>
      <c r="I35" s="144"/>
      <c r="J35" s="95"/>
      <c r="K35" s="13"/>
      <c r="L35" s="75"/>
      <c r="M35" s="150"/>
      <c r="N35" s="48"/>
      <c r="O35" s="144"/>
      <c r="P35" s="95"/>
      <c r="Q35" s="51"/>
    </row>
    <row r="36" spans="1:17" ht="19.899999999999999" customHeight="1" x14ac:dyDescent="0.35">
      <c r="A36" s="11" t="s">
        <v>211</v>
      </c>
      <c r="B36" s="11" t="s">
        <v>91</v>
      </c>
      <c r="C36" s="163">
        <v>0.56999999999999995</v>
      </c>
      <c r="D36" s="95">
        <v>45568</v>
      </c>
      <c r="E36" s="13" t="s">
        <v>229</v>
      </c>
      <c r="F36" s="75"/>
      <c r="G36" s="627" t="s">
        <v>432</v>
      </c>
      <c r="H36" s="627"/>
      <c r="I36" s="627"/>
      <c r="J36" s="627"/>
      <c r="K36" s="628"/>
      <c r="L36" s="75"/>
      <c r="M36" s="11"/>
      <c r="N36" s="48"/>
      <c r="O36" s="144"/>
      <c r="P36" s="95"/>
      <c r="Q36" s="51"/>
    </row>
    <row r="37" spans="1:17" ht="15.75" x14ac:dyDescent="0.25">
      <c r="A37" s="11" t="s">
        <v>212</v>
      </c>
      <c r="B37" s="12" t="s">
        <v>91</v>
      </c>
      <c r="C37" s="163">
        <v>0.59</v>
      </c>
      <c r="D37" s="95">
        <v>45568</v>
      </c>
      <c r="E37" s="13" t="s">
        <v>229</v>
      </c>
      <c r="F37" s="75"/>
      <c r="G37" s="47"/>
      <c r="H37" s="48"/>
      <c r="I37" s="144"/>
      <c r="J37" s="95"/>
      <c r="K37" s="51"/>
      <c r="L37" s="75"/>
      <c r="M37" s="612"/>
      <c r="N37" s="612"/>
      <c r="O37" s="612"/>
      <c r="P37" s="612"/>
      <c r="Q37" s="613"/>
    </row>
    <row r="38" spans="1:17" ht="15.75" x14ac:dyDescent="0.25">
      <c r="A38" s="11" t="s">
        <v>213</v>
      </c>
      <c r="B38" s="12" t="s">
        <v>91</v>
      </c>
      <c r="C38" s="163"/>
      <c r="D38" s="95"/>
      <c r="E38" s="13" t="s">
        <v>229</v>
      </c>
      <c r="F38" s="75"/>
      <c r="G38" s="11"/>
      <c r="H38" s="12"/>
      <c r="I38" s="144"/>
      <c r="J38" s="95"/>
      <c r="K38" s="24"/>
      <c r="L38" s="75"/>
      <c r="M38" s="47"/>
      <c r="N38" s="48"/>
      <c r="O38" s="92"/>
      <c r="P38" s="95"/>
      <c r="Q38" s="51"/>
    </row>
    <row r="39" spans="1:17" ht="15.75" x14ac:dyDescent="0.25">
      <c r="A39" s="11" t="s">
        <v>214</v>
      </c>
      <c r="B39" s="12" t="s">
        <v>91</v>
      </c>
      <c r="C39" s="163">
        <v>0.57999999999999996</v>
      </c>
      <c r="D39" s="95">
        <v>45568</v>
      </c>
      <c r="E39" s="13" t="s">
        <v>229</v>
      </c>
      <c r="F39" s="75"/>
      <c r="G39" s="11" t="s">
        <v>398</v>
      </c>
      <c r="H39" s="12" t="s">
        <v>301</v>
      </c>
      <c r="I39" s="144"/>
      <c r="J39" s="95"/>
      <c r="K39" s="24" t="s">
        <v>153</v>
      </c>
      <c r="L39" s="75"/>
      <c r="M39" s="47"/>
      <c r="N39" s="48"/>
      <c r="O39" s="92"/>
      <c r="P39" s="95"/>
      <c r="Q39" s="51"/>
    </row>
    <row r="40" spans="1:17" ht="15.75" x14ac:dyDescent="0.25">
      <c r="A40" s="11"/>
      <c r="B40" s="12"/>
      <c r="C40" s="144"/>
      <c r="D40" s="95"/>
      <c r="E40" s="13"/>
      <c r="F40" s="75"/>
      <c r="G40" s="11" t="s">
        <v>304</v>
      </c>
      <c r="H40" s="12" t="s">
        <v>301</v>
      </c>
      <c r="I40" s="144"/>
      <c r="J40" s="95"/>
      <c r="K40" s="24" t="s">
        <v>153</v>
      </c>
      <c r="L40" s="75"/>
      <c r="M40" s="47"/>
      <c r="N40" s="48"/>
      <c r="O40" s="92"/>
      <c r="P40" s="95"/>
      <c r="Q40" s="51"/>
    </row>
    <row r="41" spans="1:17" ht="15.75" x14ac:dyDescent="0.25">
      <c r="A41" s="11" t="s">
        <v>453</v>
      </c>
      <c r="B41" s="12" t="s">
        <v>91</v>
      </c>
      <c r="C41" s="163">
        <v>0.72</v>
      </c>
      <c r="D41" s="95">
        <v>45406</v>
      </c>
      <c r="E41" s="13" t="s">
        <v>229</v>
      </c>
      <c r="F41" s="75"/>
      <c r="G41" s="11" t="s">
        <v>316</v>
      </c>
      <c r="H41" s="12" t="s">
        <v>301</v>
      </c>
      <c r="I41" s="144"/>
      <c r="J41" s="95"/>
      <c r="K41" s="13" t="s">
        <v>153</v>
      </c>
      <c r="L41" s="75"/>
      <c r="M41" s="47"/>
      <c r="N41" s="48"/>
      <c r="O41" s="92"/>
      <c r="P41" s="95"/>
      <c r="Q41" s="51"/>
    </row>
    <row r="42" spans="1:17" ht="15.75" x14ac:dyDescent="0.25">
      <c r="A42" s="11" t="s">
        <v>570</v>
      </c>
      <c r="B42" s="12" t="s">
        <v>91</v>
      </c>
      <c r="C42" s="163"/>
      <c r="D42" s="95"/>
      <c r="E42" s="13" t="s">
        <v>229</v>
      </c>
      <c r="F42" s="75"/>
      <c r="G42" s="11" t="s">
        <v>299</v>
      </c>
      <c r="H42" s="12" t="s">
        <v>301</v>
      </c>
      <c r="I42" s="144"/>
      <c r="J42" s="95"/>
      <c r="K42" s="24" t="s">
        <v>153</v>
      </c>
      <c r="L42" s="75"/>
      <c r="M42" s="47"/>
      <c r="N42" s="48"/>
      <c r="O42" s="92"/>
      <c r="P42" s="95"/>
      <c r="Q42" s="51"/>
    </row>
    <row r="43" spans="1:17" ht="15.75" x14ac:dyDescent="0.25">
      <c r="A43" s="11" t="s">
        <v>1091</v>
      </c>
      <c r="B43" s="12" t="s">
        <v>91</v>
      </c>
      <c r="C43" s="163">
        <v>0.56000000000000005</v>
      </c>
      <c r="D43" s="95">
        <v>45568</v>
      </c>
      <c r="E43" s="13" t="s">
        <v>229</v>
      </c>
      <c r="F43" s="75"/>
      <c r="G43" s="11"/>
      <c r="H43" s="12"/>
      <c r="I43" s="144"/>
      <c r="J43" s="95"/>
      <c r="K43" s="24"/>
      <c r="L43" s="75"/>
      <c r="M43" s="47"/>
      <c r="N43" s="48"/>
      <c r="O43" s="92"/>
      <c r="P43" s="95"/>
      <c r="Q43" s="51"/>
    </row>
    <row r="44" spans="1:17" ht="15.75" x14ac:dyDescent="0.25">
      <c r="A44" s="11" t="s">
        <v>452</v>
      </c>
      <c r="B44" s="12" t="s">
        <v>91</v>
      </c>
      <c r="C44" s="163">
        <v>0.77</v>
      </c>
      <c r="D44" s="95">
        <v>45406</v>
      </c>
      <c r="E44" s="13" t="s">
        <v>229</v>
      </c>
      <c r="F44" s="75"/>
      <c r="G44" s="11" t="s">
        <v>439</v>
      </c>
      <c r="H44" s="12" t="s">
        <v>301</v>
      </c>
      <c r="I44" s="144"/>
      <c r="J44" s="95"/>
      <c r="K44" s="24" t="s">
        <v>153</v>
      </c>
      <c r="L44" s="75"/>
      <c r="M44" s="47"/>
      <c r="N44" s="48"/>
      <c r="O44" s="92"/>
      <c r="P44" s="95"/>
      <c r="Q44" s="51"/>
    </row>
    <row r="45" spans="1:17" ht="15.75" x14ac:dyDescent="0.25">
      <c r="A45" s="52"/>
      <c r="B45" s="48"/>
      <c r="C45" s="144"/>
      <c r="D45" s="95"/>
      <c r="E45" s="51"/>
      <c r="F45" s="75"/>
      <c r="G45" s="11"/>
      <c r="H45" s="12"/>
      <c r="I45" s="144"/>
      <c r="J45" s="95"/>
      <c r="K45" s="13"/>
      <c r="L45" s="75"/>
      <c r="M45" s="47"/>
      <c r="N45" s="48"/>
      <c r="O45" s="92"/>
      <c r="P45" s="95"/>
      <c r="Q45" s="51"/>
    </row>
    <row r="46" spans="1:17" ht="23.25" x14ac:dyDescent="0.35">
      <c r="A46" s="627" t="s">
        <v>396</v>
      </c>
      <c r="B46" s="627"/>
      <c r="C46" s="627"/>
      <c r="D46" s="627"/>
      <c r="E46" s="628"/>
      <c r="F46" s="75"/>
      <c r="G46" s="11" t="s">
        <v>1143</v>
      </c>
      <c r="H46" s="12" t="s">
        <v>434</v>
      </c>
      <c r="I46" s="144">
        <v>2336</v>
      </c>
      <c r="J46" s="95">
        <v>45413</v>
      </c>
      <c r="K46" s="13"/>
      <c r="L46" s="75"/>
      <c r="M46" s="47"/>
      <c r="N46" s="48"/>
      <c r="O46" s="92"/>
      <c r="P46" s="95"/>
      <c r="Q46" s="51"/>
    </row>
    <row r="47" spans="1:17" ht="15.75" x14ac:dyDescent="0.25">
      <c r="A47" s="10" t="s">
        <v>387</v>
      </c>
      <c r="B47" s="12" t="s">
        <v>450</v>
      </c>
      <c r="C47" s="144"/>
      <c r="D47" s="95"/>
      <c r="E47" s="13" t="s">
        <v>229</v>
      </c>
      <c r="F47" s="75"/>
      <c r="G47" s="11" t="s">
        <v>1157</v>
      </c>
      <c r="H47" s="12" t="s">
        <v>434</v>
      </c>
      <c r="I47" s="144">
        <v>1732</v>
      </c>
      <c r="J47" s="95">
        <v>45491</v>
      </c>
      <c r="K47" s="24" t="s">
        <v>153</v>
      </c>
      <c r="L47" s="75"/>
      <c r="M47" s="47"/>
      <c r="N47" s="48"/>
      <c r="O47" s="92"/>
      <c r="P47" s="95"/>
      <c r="Q47" s="51"/>
    </row>
    <row r="48" spans="1:17" ht="15.75" x14ac:dyDescent="0.25">
      <c r="A48" s="10" t="s">
        <v>318</v>
      </c>
      <c r="B48" s="12" t="s">
        <v>450</v>
      </c>
      <c r="C48" s="144">
        <v>45</v>
      </c>
      <c r="D48" s="95">
        <v>45406</v>
      </c>
      <c r="E48" s="13" t="s">
        <v>229</v>
      </c>
      <c r="F48" s="75"/>
      <c r="G48" s="11" t="s">
        <v>1123</v>
      </c>
      <c r="H48" s="12" t="s">
        <v>434</v>
      </c>
      <c r="I48" s="144"/>
      <c r="J48" s="95"/>
      <c r="K48" s="24" t="s">
        <v>153</v>
      </c>
      <c r="L48" s="75"/>
      <c r="M48" s="47"/>
      <c r="N48" s="48"/>
      <c r="O48" s="92"/>
      <c r="P48" s="95"/>
      <c r="Q48" s="51"/>
    </row>
    <row r="49" spans="1:17" ht="15.75" x14ac:dyDescent="0.25">
      <c r="A49" s="10" t="s">
        <v>305</v>
      </c>
      <c r="B49" s="12" t="s">
        <v>450</v>
      </c>
      <c r="C49" s="144">
        <v>66</v>
      </c>
      <c r="D49" s="95">
        <v>45492</v>
      </c>
      <c r="E49" s="13" t="s">
        <v>229</v>
      </c>
      <c r="F49" s="75"/>
      <c r="G49" s="11"/>
      <c r="H49" s="12"/>
      <c r="I49" s="144"/>
      <c r="J49" s="95"/>
      <c r="K49" s="24"/>
      <c r="L49" s="75"/>
      <c r="M49" s="47"/>
      <c r="N49" s="48"/>
      <c r="O49" s="92"/>
      <c r="P49" s="95"/>
      <c r="Q49" s="51"/>
    </row>
    <row r="50" spans="1:17" ht="15.75" x14ac:dyDescent="0.25">
      <c r="A50" s="10" t="s">
        <v>385</v>
      </c>
      <c r="B50" s="12" t="s">
        <v>450</v>
      </c>
      <c r="C50" s="144">
        <v>96</v>
      </c>
      <c r="D50" s="95">
        <v>45406</v>
      </c>
      <c r="E50" s="13" t="s">
        <v>229</v>
      </c>
      <c r="F50" s="75"/>
      <c r="G50" s="11" t="s">
        <v>317</v>
      </c>
      <c r="H50" s="12" t="s">
        <v>315</v>
      </c>
      <c r="I50" s="144"/>
      <c r="J50" s="95"/>
      <c r="K50" s="13" t="s">
        <v>153</v>
      </c>
      <c r="L50" s="75"/>
      <c r="M50" s="47"/>
      <c r="N50" s="48"/>
      <c r="O50" s="92"/>
      <c r="P50" s="95"/>
      <c r="Q50" s="51"/>
    </row>
    <row r="51" spans="1:17" ht="15.75" x14ac:dyDescent="0.25">
      <c r="A51" s="10" t="s">
        <v>429</v>
      </c>
      <c r="B51" s="12" t="s">
        <v>450</v>
      </c>
      <c r="C51" s="144"/>
      <c r="D51" s="95"/>
      <c r="E51" s="13" t="s">
        <v>229</v>
      </c>
      <c r="F51" s="75"/>
      <c r="G51" s="11" t="s">
        <v>314</v>
      </c>
      <c r="H51" s="12" t="s">
        <v>315</v>
      </c>
      <c r="I51" s="144">
        <v>53</v>
      </c>
      <c r="J51" s="95">
        <v>45376</v>
      </c>
      <c r="K51" s="13" t="s">
        <v>153</v>
      </c>
      <c r="L51" s="75"/>
      <c r="M51" s="47"/>
      <c r="N51" s="48"/>
      <c r="O51" s="92"/>
      <c r="P51" s="95"/>
      <c r="Q51" s="51"/>
    </row>
    <row r="52" spans="1:17" ht="15.75" x14ac:dyDescent="0.25">
      <c r="A52" s="10" t="s">
        <v>384</v>
      </c>
      <c r="B52" s="12" t="s">
        <v>450</v>
      </c>
      <c r="C52" s="144">
        <v>92</v>
      </c>
      <c r="D52" s="95">
        <v>45568</v>
      </c>
      <c r="E52" s="13" t="s">
        <v>229</v>
      </c>
      <c r="F52" s="75"/>
      <c r="G52" s="47" t="s">
        <v>1104</v>
      </c>
      <c r="H52" s="48"/>
      <c r="I52" s="92"/>
      <c r="J52" s="95"/>
      <c r="K52" s="51" t="s">
        <v>153</v>
      </c>
      <c r="L52" s="75"/>
      <c r="M52" s="47"/>
      <c r="N52" s="48"/>
      <c r="O52" s="92"/>
      <c r="P52" s="95"/>
      <c r="Q52" s="51"/>
    </row>
    <row r="53" spans="1:17" ht="15.75" x14ac:dyDescent="0.25">
      <c r="A53" s="10" t="s">
        <v>1130</v>
      </c>
      <c r="B53" s="12" t="s">
        <v>450</v>
      </c>
      <c r="C53" s="144"/>
      <c r="D53" s="95"/>
      <c r="E53" s="13" t="s">
        <v>229</v>
      </c>
      <c r="F53" s="75"/>
      <c r="G53" s="47"/>
      <c r="H53" s="48"/>
      <c r="I53" s="92"/>
      <c r="J53" s="95"/>
      <c r="K53" s="51"/>
      <c r="L53" s="75"/>
      <c r="M53" s="47"/>
      <c r="N53" s="48"/>
      <c r="O53" s="92"/>
      <c r="P53" s="95"/>
      <c r="Q53" s="51"/>
    </row>
    <row r="54" spans="1:17" ht="15.75" x14ac:dyDescent="0.25">
      <c r="A54" s="10" t="s">
        <v>1146</v>
      </c>
      <c r="B54" s="12" t="s">
        <v>450</v>
      </c>
      <c r="C54" s="144">
        <v>179</v>
      </c>
      <c r="D54" s="95">
        <v>45406</v>
      </c>
      <c r="E54" s="13" t="s">
        <v>229</v>
      </c>
      <c r="F54" s="75"/>
      <c r="G54" s="47"/>
      <c r="H54" s="48"/>
      <c r="I54" s="92"/>
      <c r="J54" s="95"/>
      <c r="K54" s="51"/>
      <c r="L54" s="75"/>
      <c r="M54" s="47"/>
      <c r="N54" s="48"/>
      <c r="O54" s="92"/>
      <c r="P54" s="95"/>
      <c r="Q54" s="51"/>
    </row>
    <row r="55" spans="1:17" ht="15.75" x14ac:dyDescent="0.25">
      <c r="A55" s="10" t="s">
        <v>386</v>
      </c>
      <c r="B55" s="12" t="s">
        <v>450</v>
      </c>
      <c r="C55" s="144"/>
      <c r="D55" s="95"/>
      <c r="E55" s="13" t="s">
        <v>229</v>
      </c>
      <c r="F55" s="75"/>
      <c r="G55" s="47"/>
      <c r="H55" s="48"/>
      <c r="I55" s="92"/>
      <c r="J55" s="95"/>
      <c r="K55" s="51"/>
      <c r="L55" s="75"/>
      <c r="M55" s="47"/>
      <c r="N55" s="48"/>
      <c r="O55" s="92"/>
      <c r="P55" s="95"/>
      <c r="Q55" s="51"/>
    </row>
    <row r="56" spans="1:17" ht="15.75" x14ac:dyDescent="0.25">
      <c r="A56" s="10" t="s">
        <v>395</v>
      </c>
      <c r="B56" s="12" t="s">
        <v>450</v>
      </c>
      <c r="C56" s="144"/>
      <c r="D56" s="95"/>
      <c r="E56" s="13" t="s">
        <v>229</v>
      </c>
      <c r="F56" s="75"/>
      <c r="G56" s="47"/>
      <c r="H56" s="48"/>
      <c r="I56" s="92"/>
      <c r="J56" s="95"/>
      <c r="K56" s="51"/>
      <c r="L56" s="75"/>
      <c r="M56" s="47"/>
      <c r="N56" s="48"/>
      <c r="O56" s="92"/>
      <c r="P56" s="95"/>
      <c r="Q56" s="51"/>
    </row>
    <row r="57" spans="1:17" ht="15.75" x14ac:dyDescent="0.25">
      <c r="A57" s="10" t="s">
        <v>1137</v>
      </c>
      <c r="B57" s="12" t="s">
        <v>450</v>
      </c>
      <c r="C57" s="144"/>
      <c r="D57" s="95"/>
      <c r="E57" s="13" t="s">
        <v>229</v>
      </c>
      <c r="F57" s="75"/>
      <c r="G57" s="52"/>
      <c r="H57" s="48"/>
      <c r="I57" s="92"/>
      <c r="J57" s="95"/>
      <c r="K57" s="51"/>
      <c r="L57" s="75"/>
      <c r="M57" s="47"/>
      <c r="N57" s="48"/>
      <c r="O57" s="92"/>
      <c r="P57" s="95"/>
      <c r="Q57" s="51"/>
    </row>
    <row r="58" spans="1:17" x14ac:dyDescent="0.25">
      <c r="A58" s="10" t="s">
        <v>394</v>
      </c>
      <c r="B58" s="12" t="s">
        <v>450</v>
      </c>
      <c r="C58" s="144"/>
      <c r="D58" s="95"/>
      <c r="E58" s="13" t="s">
        <v>229</v>
      </c>
      <c r="F58" s="75"/>
      <c r="G58" s="52"/>
      <c r="H58" s="48"/>
      <c r="I58" s="92"/>
      <c r="J58" s="95"/>
      <c r="K58" s="51"/>
      <c r="L58" s="75"/>
      <c r="M58" s="52"/>
      <c r="N58" s="48"/>
      <c r="O58" s="92"/>
      <c r="P58" s="95"/>
      <c r="Q58" s="51"/>
    </row>
    <row r="59" spans="1:17" x14ac:dyDescent="0.25">
      <c r="A59" s="10" t="s">
        <v>440</v>
      </c>
      <c r="B59" s="12" t="s">
        <v>450</v>
      </c>
      <c r="C59" s="144"/>
      <c r="D59" s="95"/>
      <c r="E59" s="13" t="s">
        <v>229</v>
      </c>
      <c r="F59" s="75"/>
      <c r="G59" s="52"/>
      <c r="H59" s="48"/>
      <c r="I59" s="145"/>
      <c r="J59" s="95"/>
      <c r="K59" s="51"/>
      <c r="L59" s="75"/>
      <c r="M59" s="52"/>
      <c r="N59" s="48"/>
      <c r="O59" s="92"/>
      <c r="P59" s="95"/>
      <c r="Q59" s="51"/>
    </row>
    <row r="60" spans="1:17" x14ac:dyDescent="0.25">
      <c r="A60" s="10" t="s">
        <v>391</v>
      </c>
      <c r="B60" s="12" t="s">
        <v>450</v>
      </c>
      <c r="C60" s="144"/>
      <c r="D60" s="95"/>
      <c r="E60" s="13" t="s">
        <v>229</v>
      </c>
      <c r="F60" s="75"/>
      <c r="G60" s="52"/>
      <c r="H60" s="48"/>
      <c r="I60" s="149"/>
      <c r="J60" s="95"/>
      <c r="K60" s="51"/>
      <c r="L60" s="75"/>
      <c r="M60" s="52"/>
      <c r="N60" s="48"/>
      <c r="O60" s="145"/>
      <c r="P60" s="95"/>
      <c r="Q60" s="51"/>
    </row>
    <row r="61" spans="1:17" x14ac:dyDescent="0.25">
      <c r="A61" s="10"/>
      <c r="B61" s="12"/>
      <c r="C61" s="144"/>
      <c r="D61" s="95"/>
      <c r="E61" s="13"/>
      <c r="F61" s="75"/>
      <c r="G61" s="52"/>
      <c r="H61" s="48"/>
      <c r="I61" s="149"/>
      <c r="J61" s="95"/>
      <c r="K61" s="51"/>
      <c r="L61" s="75"/>
      <c r="M61" s="52"/>
      <c r="N61" s="48"/>
      <c r="O61" s="149"/>
      <c r="P61" s="95"/>
      <c r="Q61" s="51"/>
    </row>
    <row r="62" spans="1:17" x14ac:dyDescent="0.25">
      <c r="A62" s="10"/>
      <c r="B62" s="12"/>
      <c r="C62" s="144"/>
      <c r="D62" s="95"/>
      <c r="E62" s="13"/>
      <c r="F62" s="75"/>
      <c r="G62" s="52"/>
      <c r="H62" s="48"/>
      <c r="I62" s="149"/>
      <c r="J62" s="95"/>
      <c r="K62" s="51"/>
      <c r="L62" s="75"/>
      <c r="M62" s="52"/>
      <c r="N62" s="48"/>
      <c r="O62" s="149"/>
      <c r="P62" s="95"/>
      <c r="Q62" s="51"/>
    </row>
    <row r="63" spans="1:17" x14ac:dyDescent="0.25">
      <c r="A63" s="10" t="s">
        <v>388</v>
      </c>
      <c r="B63" s="12" t="s">
        <v>450</v>
      </c>
      <c r="C63" s="144"/>
      <c r="D63" s="95"/>
      <c r="E63" s="13" t="s">
        <v>229</v>
      </c>
      <c r="F63" s="75"/>
      <c r="G63" s="52"/>
      <c r="H63" s="48"/>
      <c r="I63" s="92"/>
      <c r="J63" s="95"/>
      <c r="K63" s="51"/>
      <c r="L63" s="75"/>
      <c r="M63" s="52"/>
      <c r="N63" s="48"/>
      <c r="O63" s="149"/>
      <c r="P63" s="95"/>
      <c r="Q63" s="51"/>
    </row>
    <row r="64" spans="1:17" x14ac:dyDescent="0.25">
      <c r="A64" s="10" t="s">
        <v>1126</v>
      </c>
      <c r="B64" s="12" t="s">
        <v>450</v>
      </c>
      <c r="C64" s="144"/>
      <c r="D64" s="95"/>
      <c r="E64" s="13" t="s">
        <v>229</v>
      </c>
      <c r="F64" s="75"/>
      <c r="G64" s="52"/>
      <c r="H64" s="52"/>
      <c r="I64" s="92"/>
      <c r="J64" s="95"/>
      <c r="K64" s="51"/>
      <c r="L64" s="75"/>
      <c r="M64" s="52"/>
      <c r="N64" s="48"/>
      <c r="O64" s="92"/>
      <c r="P64" s="95"/>
      <c r="Q64" s="51"/>
    </row>
    <row r="65" spans="1:17" x14ac:dyDescent="0.25">
      <c r="A65" s="10" t="s">
        <v>1102</v>
      </c>
      <c r="B65" s="12" t="s">
        <v>450</v>
      </c>
      <c r="C65" s="144"/>
      <c r="D65" s="95"/>
      <c r="E65" s="13" t="s">
        <v>229</v>
      </c>
      <c r="F65" s="75"/>
      <c r="G65" s="52"/>
      <c r="H65" s="52"/>
      <c r="I65" s="92"/>
      <c r="J65" s="95"/>
      <c r="K65" s="51"/>
      <c r="L65" s="75"/>
      <c r="M65" s="52"/>
      <c r="N65" s="52"/>
      <c r="O65" s="92"/>
      <c r="P65" s="95"/>
      <c r="Q65" s="51"/>
    </row>
    <row r="66" spans="1:17" x14ac:dyDescent="0.25">
      <c r="A66" s="10" t="s">
        <v>1124</v>
      </c>
      <c r="B66" s="12" t="s">
        <v>450</v>
      </c>
      <c r="C66" s="144"/>
      <c r="D66" s="95"/>
      <c r="E66" s="13" t="s">
        <v>229</v>
      </c>
      <c r="F66" s="75"/>
      <c r="G66" s="52"/>
      <c r="H66" s="52"/>
      <c r="I66" s="92"/>
      <c r="J66" s="95"/>
      <c r="K66" s="51"/>
      <c r="L66" s="75"/>
      <c r="M66" s="52"/>
      <c r="N66" s="52"/>
      <c r="O66" s="92"/>
      <c r="P66" s="95"/>
      <c r="Q66" s="51"/>
    </row>
    <row r="67" spans="1:17" x14ac:dyDescent="0.25">
      <c r="A67" s="10" t="s">
        <v>1147</v>
      </c>
      <c r="B67" s="12" t="s">
        <v>450</v>
      </c>
      <c r="C67" s="144">
        <v>1152</v>
      </c>
      <c r="D67" s="95">
        <v>45406</v>
      </c>
      <c r="E67" s="13" t="s">
        <v>229</v>
      </c>
      <c r="F67" s="75"/>
      <c r="G67" s="52"/>
      <c r="H67" s="52"/>
      <c r="I67" s="92"/>
      <c r="J67" s="95"/>
      <c r="K67" s="51"/>
      <c r="L67" s="75"/>
      <c r="M67" s="52"/>
      <c r="N67" s="52"/>
      <c r="O67" s="92"/>
      <c r="P67" s="95"/>
      <c r="Q67" s="51"/>
    </row>
    <row r="68" spans="1:17" x14ac:dyDescent="0.25">
      <c r="A68" s="10" t="s">
        <v>1125</v>
      </c>
      <c r="B68" s="12" t="s">
        <v>450</v>
      </c>
      <c r="C68" s="144"/>
      <c r="D68" s="95"/>
      <c r="E68" s="13" t="s">
        <v>229</v>
      </c>
      <c r="F68" s="75"/>
      <c r="G68" s="52"/>
      <c r="H68" s="52"/>
      <c r="I68" s="92"/>
      <c r="J68" s="95"/>
      <c r="K68" s="51"/>
      <c r="L68" s="75"/>
      <c r="M68" s="52"/>
      <c r="N68" s="52"/>
      <c r="O68" s="92"/>
      <c r="P68" s="95"/>
      <c r="Q68" s="51"/>
    </row>
    <row r="69" spans="1:17" x14ac:dyDescent="0.25">
      <c r="A69" s="10" t="s">
        <v>1129</v>
      </c>
      <c r="B69" s="12" t="s">
        <v>450</v>
      </c>
      <c r="C69" s="144"/>
      <c r="D69" s="95"/>
      <c r="E69" s="96" t="s">
        <v>229</v>
      </c>
      <c r="F69" s="75"/>
      <c r="G69" s="52"/>
      <c r="H69" s="52"/>
      <c r="I69" s="92"/>
      <c r="J69" s="95"/>
      <c r="K69" s="51"/>
      <c r="L69" s="75"/>
      <c r="M69" s="52"/>
      <c r="N69" s="52"/>
      <c r="O69" s="92"/>
      <c r="P69" s="95"/>
      <c r="Q69" s="51"/>
    </row>
    <row r="70" spans="1:17" x14ac:dyDescent="0.25">
      <c r="A70" s="10" t="s">
        <v>1128</v>
      </c>
      <c r="B70" s="12" t="s">
        <v>450</v>
      </c>
      <c r="C70" s="144"/>
      <c r="D70" s="95"/>
      <c r="E70" s="13" t="s">
        <v>229</v>
      </c>
      <c r="F70" s="75"/>
      <c r="G70" s="52"/>
      <c r="H70" s="52"/>
      <c r="I70" s="92"/>
      <c r="J70" s="95"/>
      <c r="K70" s="51"/>
      <c r="L70" s="75"/>
      <c r="M70" s="52"/>
      <c r="N70" s="52"/>
      <c r="O70" s="92"/>
      <c r="P70" s="95"/>
      <c r="Q70" s="51"/>
    </row>
    <row r="71" spans="1:17" x14ac:dyDescent="0.25">
      <c r="A71" s="10" t="s">
        <v>392</v>
      </c>
      <c r="B71" s="12" t="s">
        <v>450</v>
      </c>
      <c r="C71" s="144"/>
      <c r="D71" s="95"/>
      <c r="E71" s="96" t="s">
        <v>229</v>
      </c>
      <c r="F71" s="75"/>
      <c r="G71" s="52"/>
      <c r="H71" s="52"/>
      <c r="I71" s="92"/>
      <c r="J71" s="95"/>
      <c r="K71" s="51"/>
      <c r="L71" s="75"/>
      <c r="M71" s="52"/>
      <c r="N71" s="52"/>
      <c r="O71" s="92"/>
      <c r="P71" s="95"/>
      <c r="Q71" s="51"/>
    </row>
    <row r="72" spans="1:17" ht="25.15" customHeight="1" x14ac:dyDescent="0.25">
      <c r="A72" s="10" t="s">
        <v>583</v>
      </c>
      <c r="B72" s="12" t="s">
        <v>450</v>
      </c>
      <c r="C72" s="144"/>
      <c r="D72" s="95"/>
      <c r="E72" s="96" t="s">
        <v>229</v>
      </c>
      <c r="F72" s="78"/>
      <c r="G72" s="626"/>
      <c r="H72" s="580"/>
      <c r="I72" s="580"/>
      <c r="J72" s="580"/>
      <c r="K72" s="581"/>
      <c r="L72" s="78"/>
      <c r="M72" s="52"/>
      <c r="N72" s="52"/>
      <c r="O72" s="92"/>
      <c r="P72" s="95"/>
      <c r="Q72" s="51"/>
    </row>
    <row r="73" spans="1:17" x14ac:dyDescent="0.25">
      <c r="A73" s="10"/>
      <c r="B73" s="12"/>
      <c r="C73" s="144"/>
      <c r="D73" s="95"/>
      <c r="E73" s="13"/>
      <c r="M73" s="626"/>
      <c r="N73" s="580"/>
      <c r="O73" s="580"/>
      <c r="P73" s="580"/>
      <c r="Q73" s="581"/>
    </row>
    <row r="74" spans="1:17" x14ac:dyDescent="0.25">
      <c r="A74" s="41" t="s">
        <v>389</v>
      </c>
      <c r="B74" s="88" t="s">
        <v>390</v>
      </c>
      <c r="C74" s="144"/>
      <c r="D74" s="95"/>
      <c r="E74" s="96" t="s">
        <v>229</v>
      </c>
    </row>
    <row r="75" spans="1:17" x14ac:dyDescent="0.25">
      <c r="A75" s="41"/>
      <c r="B75" s="88"/>
      <c r="C75" s="144"/>
      <c r="D75" s="95"/>
      <c r="E75" s="96"/>
    </row>
    <row r="76" spans="1:17" x14ac:dyDescent="0.25">
      <c r="A76" s="41" t="s">
        <v>451</v>
      </c>
      <c r="B76" s="12" t="s">
        <v>450</v>
      </c>
      <c r="C76" s="144"/>
      <c r="D76" s="95"/>
      <c r="E76" s="96" t="s">
        <v>229</v>
      </c>
    </row>
    <row r="77" spans="1:17" x14ac:dyDescent="0.25">
      <c r="A77" s="41" t="s">
        <v>1145</v>
      </c>
      <c r="B77" s="12" t="s">
        <v>450</v>
      </c>
      <c r="C77" s="144">
        <v>700</v>
      </c>
      <c r="D77" s="95">
        <v>45413</v>
      </c>
      <c r="E77" s="96" t="s">
        <v>229</v>
      </c>
    </row>
    <row r="78" spans="1:17" x14ac:dyDescent="0.25">
      <c r="A78" s="41" t="s">
        <v>433</v>
      </c>
      <c r="B78" s="12" t="s">
        <v>450</v>
      </c>
      <c r="C78" s="149">
        <v>110</v>
      </c>
      <c r="D78" s="95">
        <v>45568</v>
      </c>
      <c r="E78" s="96" t="s">
        <v>229</v>
      </c>
    </row>
    <row r="79" spans="1:17" x14ac:dyDescent="0.25">
      <c r="A79" s="41" t="s">
        <v>1144</v>
      </c>
      <c r="B79" s="12" t="s">
        <v>450</v>
      </c>
      <c r="C79" s="149">
        <v>233</v>
      </c>
      <c r="D79" s="95">
        <v>45413</v>
      </c>
      <c r="E79" s="96"/>
    </row>
    <row r="80" spans="1:17" x14ac:dyDescent="0.25">
      <c r="A80" s="41" t="s">
        <v>454</v>
      </c>
      <c r="B80" s="88" t="s">
        <v>91</v>
      </c>
      <c r="C80" s="149"/>
      <c r="D80" s="95"/>
      <c r="E80" s="96" t="s">
        <v>229</v>
      </c>
    </row>
    <row r="81" spans="1:5" x14ac:dyDescent="0.25">
      <c r="A81" s="41" t="s">
        <v>1111</v>
      </c>
      <c r="B81" s="88" t="s">
        <v>91</v>
      </c>
      <c r="C81" s="149"/>
      <c r="D81" s="95"/>
      <c r="E81" s="96" t="s">
        <v>229</v>
      </c>
    </row>
    <row r="82" spans="1:5" x14ac:dyDescent="0.25">
      <c r="A82" s="626"/>
      <c r="B82" s="580"/>
      <c r="C82" s="580"/>
      <c r="D82" s="580"/>
      <c r="E82" s="581"/>
    </row>
  </sheetData>
  <mergeCells count="14">
    <mergeCell ref="A82:E82"/>
    <mergeCell ref="G72:K72"/>
    <mergeCell ref="M73:Q73"/>
    <mergeCell ref="A46:E46"/>
    <mergeCell ref="A1:E1"/>
    <mergeCell ref="G36:K36"/>
    <mergeCell ref="M1:Q1"/>
    <mergeCell ref="M19:Q19"/>
    <mergeCell ref="M37:Q37"/>
    <mergeCell ref="G1:K1"/>
    <mergeCell ref="G18:K18"/>
    <mergeCell ref="A28:E28"/>
    <mergeCell ref="A4:E4"/>
    <mergeCell ref="A15:E15"/>
  </mergeCells>
  <phoneticPr fontId="21" type="noConversion"/>
  <conditionalFormatting sqref="C2:C3 O4:O18 C5:C14 C16:C27">
    <cfRule type="expression" dxfId="8" priority="8">
      <formula>D2&lt;TODAY()-30</formula>
    </cfRule>
  </conditionalFormatting>
  <conditionalFormatting sqref="C29:C45">
    <cfRule type="expression" dxfId="7" priority="4">
      <formula>D29&lt;TODAY()-30</formula>
    </cfRule>
  </conditionalFormatting>
  <conditionalFormatting sqref="D30:D44">
    <cfRule type="expression" dxfId="6" priority="1">
      <formula>D30&lt;TODAY()-30</formula>
    </cfRule>
  </conditionalFormatting>
  <conditionalFormatting sqref="I4:I17 I19:I35 O20:O36 C47:C77">
    <cfRule type="expression" dxfId="5" priority="7">
      <formula>D4&lt;TODAY()-30</formula>
    </cfRule>
  </conditionalFormatting>
  <conditionalFormatting sqref="I37:I51">
    <cfRule type="expression" dxfId="4" priority="3">
      <formula>J37&lt;TODAY()-30</formula>
    </cfRule>
  </conditionalFormatting>
  <conditionalFormatting sqref="J3:J17 P20:P32 J20:J35 H26 D47:D77">
    <cfRule type="expression" dxfId="3" priority="5">
      <formula>D3&lt;TODAY()-30</formula>
    </cfRule>
  </conditionalFormatting>
  <conditionalFormatting sqref="J37:J51">
    <cfRule type="expression" dxfId="2" priority="2">
      <formula>J37&lt;TODAY()-30</formula>
    </cfRule>
  </conditionalFormatting>
  <conditionalFormatting sqref="P4:P17 D5:D14 D16:D26">
    <cfRule type="expression" dxfId="1" priority="6">
      <formula>D4&lt;TODAY()-30</formula>
    </cfRule>
  </conditionalFormatting>
  <printOptions horizontalCentered="1"/>
  <pageMargins left="0.25" right="0.25" top="0.75" bottom="0.75" header="0.3" footer="0.3"/>
  <pageSetup scale="54" orientation="landscape" r:id="rId1"/>
  <headerFooter>
    <oddFooter>&amp;Z&amp;F&amp;RPage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CC91"/>
  <sheetViews>
    <sheetView showGridLines="0" showWhiteSpace="0" topLeftCell="BD1" zoomScale="85" zoomScaleNormal="85" workbookViewId="0">
      <selection activeCell="BD1" sqref="BD1:CJ2"/>
    </sheetView>
  </sheetViews>
  <sheetFormatPr defaultRowHeight="15" x14ac:dyDescent="0.25"/>
  <cols>
    <col min="1" max="1" width="25" style="1" bestFit="1" customWidth="1"/>
    <col min="2" max="2" width="18.28515625" style="1" bestFit="1" customWidth="1"/>
    <col min="3" max="3" width="38" customWidth="1"/>
    <col min="4" max="4" width="17.140625" bestFit="1" customWidth="1"/>
    <col min="5" max="5" width="10.85546875" bestFit="1" customWidth="1"/>
    <col min="6" max="6" width="7.85546875" bestFit="1" customWidth="1"/>
    <col min="29" max="29" width="18.7109375" bestFit="1" customWidth="1"/>
    <col min="30" max="30" width="5.140625" bestFit="1" customWidth="1"/>
    <col min="31" max="31" width="34.7109375" bestFit="1" customWidth="1"/>
    <col min="32" max="32" width="14.28515625" bestFit="1" customWidth="1"/>
    <col min="33" max="33" width="5.85546875" bestFit="1" customWidth="1"/>
    <col min="34" max="34" width="7.7109375" bestFit="1" customWidth="1"/>
    <col min="35" max="35" width="6.7109375" bestFit="1" customWidth="1"/>
    <col min="36" max="36" width="10.42578125" bestFit="1" customWidth="1"/>
    <col min="38" max="38" width="13.85546875" bestFit="1" customWidth="1"/>
    <col min="39" max="39" width="5.140625" bestFit="1" customWidth="1"/>
    <col min="40" max="40" width="15.140625" bestFit="1" customWidth="1"/>
    <col min="41" max="41" width="19.5703125" bestFit="1" customWidth="1"/>
    <col min="42" max="42" width="5.85546875" bestFit="1" customWidth="1"/>
    <col min="43" max="43" width="7.7109375" bestFit="1" customWidth="1"/>
    <col min="44" max="44" width="6.7109375" bestFit="1" customWidth="1"/>
    <col min="45" max="45" width="10.42578125" bestFit="1" customWidth="1"/>
    <col min="47" max="47" width="7.42578125" bestFit="1" customWidth="1"/>
    <col min="48" max="48" width="5.140625" bestFit="1" customWidth="1"/>
    <col min="49" max="49" width="23.140625" bestFit="1" customWidth="1"/>
    <col min="50" max="50" width="18.5703125" bestFit="1" customWidth="1"/>
    <col min="51" max="51" width="5.85546875" bestFit="1" customWidth="1"/>
    <col min="52" max="52" width="7.7109375" bestFit="1" customWidth="1"/>
    <col min="53" max="53" width="6.7109375" bestFit="1" customWidth="1"/>
    <col min="54" max="54" width="10.42578125" bestFit="1" customWidth="1"/>
    <col min="56" max="56" width="18.7109375" bestFit="1" customWidth="1"/>
  </cols>
  <sheetData>
    <row r="1" spans="1:81" ht="24.95" customHeight="1" x14ac:dyDescent="0.3">
      <c r="A1" s="29"/>
      <c r="B1" s="30"/>
      <c r="C1" s="31"/>
      <c r="D1" s="31"/>
      <c r="E1" s="31"/>
      <c r="F1" s="31"/>
      <c r="AC1" s="632"/>
      <c r="AD1" s="632"/>
      <c r="AE1" s="632"/>
      <c r="AF1" s="632"/>
      <c r="AG1" s="632"/>
      <c r="AH1" s="632"/>
      <c r="AI1" s="632"/>
      <c r="AJ1" s="632"/>
      <c r="AK1" s="76"/>
      <c r="AL1" s="633"/>
      <c r="AM1" s="633"/>
      <c r="AN1" s="633"/>
      <c r="AO1" s="633"/>
      <c r="AP1" s="633"/>
      <c r="AQ1" s="633"/>
      <c r="AR1" s="633"/>
      <c r="AS1" s="633"/>
      <c r="AT1" s="75"/>
      <c r="AU1" s="633"/>
      <c r="AV1" s="633"/>
      <c r="AW1" s="633"/>
      <c r="AX1" s="633"/>
      <c r="AY1" s="633"/>
      <c r="AZ1" s="633"/>
      <c r="BA1" s="633"/>
      <c r="BB1" s="633"/>
      <c r="BD1" s="632"/>
      <c r="BE1" s="632"/>
      <c r="BF1" s="632"/>
      <c r="BG1" s="632"/>
      <c r="BH1" s="632"/>
      <c r="BI1" s="632"/>
      <c r="BJ1" s="632"/>
      <c r="BK1" s="632"/>
      <c r="BL1" s="76"/>
      <c r="BM1" s="633"/>
      <c r="BN1" s="633"/>
      <c r="BO1" s="633"/>
      <c r="BP1" s="633"/>
      <c r="BQ1" s="633"/>
      <c r="BR1" s="633"/>
      <c r="BS1" s="633"/>
      <c r="BT1" s="633"/>
      <c r="BU1" s="75"/>
      <c r="BV1" s="633"/>
      <c r="BW1" s="633"/>
      <c r="BX1" s="633"/>
      <c r="BY1" s="633"/>
      <c r="BZ1" s="633"/>
      <c r="CA1" s="633"/>
      <c r="CB1" s="633"/>
      <c r="CC1" s="633"/>
    </row>
    <row r="2" spans="1:81" x14ac:dyDescent="0.25">
      <c r="A2" s="583"/>
      <c r="B2" s="584"/>
      <c r="C2" s="584"/>
      <c r="D2" s="584"/>
      <c r="E2" s="584"/>
      <c r="F2" s="585"/>
      <c r="AC2" s="633"/>
      <c r="AD2" s="633"/>
      <c r="AE2" s="633"/>
      <c r="AF2" s="633"/>
      <c r="AG2" s="633"/>
      <c r="AH2" s="633"/>
      <c r="AI2" s="633"/>
      <c r="AJ2" s="633"/>
      <c r="AK2" s="77"/>
      <c r="AL2" s="633"/>
      <c r="AM2" s="633"/>
      <c r="AN2" s="633"/>
      <c r="AO2" s="633"/>
      <c r="AP2" s="633"/>
      <c r="AQ2" s="633"/>
      <c r="AR2" s="633"/>
      <c r="AS2" s="633"/>
      <c r="AT2" s="75"/>
      <c r="AU2" s="633"/>
      <c r="AV2" s="633"/>
      <c r="AW2" s="633"/>
      <c r="AX2" s="633"/>
      <c r="AY2" s="633"/>
      <c r="AZ2" s="633"/>
      <c r="BA2" s="633"/>
      <c r="BB2" s="633"/>
      <c r="BD2" s="633"/>
      <c r="BE2" s="633"/>
      <c r="BF2" s="633"/>
      <c r="BG2" s="633"/>
      <c r="BH2" s="633"/>
      <c r="BI2" s="633"/>
      <c r="BJ2" s="633"/>
      <c r="BK2" s="633"/>
      <c r="BL2" s="77"/>
      <c r="BM2" s="633"/>
      <c r="BN2" s="633"/>
      <c r="BO2" s="633"/>
      <c r="BP2" s="633"/>
      <c r="BQ2" s="633"/>
      <c r="BR2" s="633"/>
      <c r="BS2" s="633"/>
      <c r="BT2" s="633"/>
      <c r="BU2" s="75"/>
      <c r="BV2" s="633"/>
      <c r="BW2" s="633"/>
      <c r="BX2" s="633"/>
      <c r="BY2" s="633"/>
      <c r="BZ2" s="633"/>
      <c r="CA2" s="633"/>
      <c r="CB2" s="633"/>
      <c r="CC2" s="633"/>
    </row>
    <row r="3" spans="1:81" ht="18.75" x14ac:dyDescent="0.3">
      <c r="A3" s="583" t="s">
        <v>266</v>
      </c>
      <c r="B3" s="584"/>
      <c r="C3" s="584"/>
      <c r="D3" s="584"/>
      <c r="E3" s="584"/>
      <c r="F3" s="585"/>
      <c r="AC3" s="634" t="s">
        <v>123</v>
      </c>
      <c r="AD3" s="634"/>
      <c r="AE3" s="634"/>
      <c r="AF3" s="634"/>
      <c r="AG3" s="634"/>
      <c r="AH3" s="634"/>
      <c r="AI3" s="634"/>
      <c r="AJ3" s="634"/>
      <c r="AK3" s="77"/>
      <c r="AL3" s="633"/>
      <c r="AM3" s="633"/>
      <c r="AN3" s="633"/>
      <c r="AO3" s="633"/>
      <c r="AP3" s="633"/>
      <c r="AQ3" s="633"/>
      <c r="AR3" s="633"/>
      <c r="AS3" s="633"/>
      <c r="AT3" s="75"/>
      <c r="AU3" s="633"/>
      <c r="AV3" s="633"/>
      <c r="AW3" s="633"/>
      <c r="AX3" s="633"/>
      <c r="AY3" s="633"/>
      <c r="AZ3" s="633"/>
      <c r="BA3" s="633"/>
      <c r="BB3" s="633"/>
      <c r="BD3" s="634" t="s">
        <v>123</v>
      </c>
      <c r="BE3" s="634"/>
      <c r="BF3" s="634"/>
      <c r="BG3" s="634"/>
      <c r="BH3" s="634"/>
      <c r="BI3" s="634"/>
      <c r="BJ3" s="634"/>
      <c r="BK3" s="634"/>
      <c r="BL3" s="77"/>
      <c r="BM3" s="633"/>
      <c r="BN3" s="633"/>
      <c r="BO3" s="633"/>
      <c r="BP3" s="633"/>
      <c r="BQ3" s="633"/>
      <c r="BR3" s="633"/>
      <c r="BS3" s="633"/>
      <c r="BT3" s="633"/>
      <c r="BU3" s="75"/>
      <c r="BV3" s="633"/>
      <c r="BW3" s="633"/>
      <c r="BX3" s="633"/>
      <c r="BY3" s="633"/>
      <c r="BZ3" s="633"/>
      <c r="CA3" s="633"/>
      <c r="CB3" s="633"/>
      <c r="CC3" s="633"/>
    </row>
    <row r="4" spans="1:81" ht="23.25" x14ac:dyDescent="0.35">
      <c r="A4" s="583" t="s">
        <v>267</v>
      </c>
      <c r="B4" s="584"/>
      <c r="C4" s="584"/>
      <c r="D4" s="584"/>
      <c r="E4" s="584"/>
      <c r="F4" s="585"/>
      <c r="AC4" s="579" t="s">
        <v>249</v>
      </c>
      <c r="AD4" s="627"/>
      <c r="AE4" s="627"/>
      <c r="AF4" s="627"/>
      <c r="AG4" s="627"/>
      <c r="AH4" s="627"/>
      <c r="AI4" s="627"/>
      <c r="AJ4" s="628"/>
      <c r="AK4" s="78"/>
      <c r="AL4" s="578" t="s">
        <v>244</v>
      </c>
      <c r="AM4" s="578"/>
      <c r="AN4" s="578"/>
      <c r="AO4" s="578"/>
      <c r="AP4" s="578"/>
      <c r="AQ4" s="578"/>
      <c r="AR4" s="578"/>
      <c r="AS4" s="578"/>
      <c r="AT4" s="78"/>
      <c r="AU4" s="578" t="s">
        <v>247</v>
      </c>
      <c r="AV4" s="578"/>
      <c r="AW4" s="578"/>
      <c r="AX4" s="578"/>
      <c r="AY4" s="578"/>
      <c r="AZ4" s="578"/>
      <c r="BA4" s="578"/>
      <c r="BB4" s="578"/>
      <c r="BD4" s="579" t="s">
        <v>249</v>
      </c>
      <c r="BE4" s="627"/>
      <c r="BF4" s="627"/>
      <c r="BG4" s="627"/>
      <c r="BH4" s="627"/>
      <c r="BI4" s="627"/>
      <c r="BJ4" s="627"/>
      <c r="BK4" s="628"/>
      <c r="BL4" s="78"/>
      <c r="BM4" s="578" t="s">
        <v>244</v>
      </c>
      <c r="BN4" s="578"/>
      <c r="BO4" s="578"/>
      <c r="BP4" s="578"/>
      <c r="BQ4" s="578"/>
      <c r="BR4" s="578"/>
      <c r="BS4" s="578"/>
      <c r="BT4" s="578"/>
      <c r="BU4" s="78"/>
      <c r="BV4" s="578" t="s">
        <v>247</v>
      </c>
      <c r="BW4" s="578"/>
      <c r="BX4" s="578"/>
      <c r="BY4" s="578"/>
      <c r="BZ4" s="578"/>
      <c r="CA4" s="578"/>
      <c r="CB4" s="578"/>
      <c r="CC4" s="578"/>
    </row>
    <row r="5" spans="1:81" ht="16.5" thickBot="1" x14ac:dyDescent="0.3">
      <c r="A5" s="583" t="s">
        <v>268</v>
      </c>
      <c r="B5" s="584"/>
      <c r="C5" s="584"/>
      <c r="D5" s="584"/>
      <c r="E5" s="584"/>
      <c r="F5" s="585"/>
      <c r="AC5" s="27" t="s">
        <v>0</v>
      </c>
      <c r="AD5" s="28" t="s">
        <v>1</v>
      </c>
      <c r="AE5" s="28" t="s">
        <v>2</v>
      </c>
      <c r="AF5" s="28" t="s">
        <v>24</v>
      </c>
      <c r="AG5" s="9" t="s">
        <v>7</v>
      </c>
      <c r="AH5" s="45" t="s">
        <v>9</v>
      </c>
      <c r="AI5" s="7" t="s">
        <v>133</v>
      </c>
      <c r="AJ5" s="7" t="s">
        <v>134</v>
      </c>
      <c r="AK5" s="75"/>
      <c r="AL5" s="6" t="s">
        <v>0</v>
      </c>
      <c r="AM5" s="7" t="s">
        <v>1</v>
      </c>
      <c r="AN5" s="7" t="s">
        <v>2</v>
      </c>
      <c r="AO5" s="7" t="s">
        <v>24</v>
      </c>
      <c r="AP5" s="80" t="s">
        <v>7</v>
      </c>
      <c r="AQ5" s="81" t="s">
        <v>9</v>
      </c>
      <c r="AR5" s="7" t="s">
        <v>133</v>
      </c>
      <c r="AS5" s="46" t="s">
        <v>134</v>
      </c>
      <c r="AT5" s="75"/>
      <c r="AU5" s="27" t="s">
        <v>0</v>
      </c>
      <c r="AV5" s="28" t="s">
        <v>1</v>
      </c>
      <c r="AW5" s="28" t="s">
        <v>2</v>
      </c>
      <c r="AX5" s="28" t="s">
        <v>24</v>
      </c>
      <c r="AY5" s="9" t="s">
        <v>7</v>
      </c>
      <c r="AZ5" s="45" t="s">
        <v>9</v>
      </c>
      <c r="BA5" s="7" t="s">
        <v>133</v>
      </c>
      <c r="BB5" s="46" t="s">
        <v>134</v>
      </c>
      <c r="BD5" s="27" t="s">
        <v>0</v>
      </c>
      <c r="BE5" s="28" t="s">
        <v>1</v>
      </c>
      <c r="BF5" s="28" t="s">
        <v>2</v>
      </c>
      <c r="BG5" s="28" t="s">
        <v>24</v>
      </c>
      <c r="BH5" s="9" t="s">
        <v>7</v>
      </c>
      <c r="BI5" s="45" t="s">
        <v>9</v>
      </c>
      <c r="BJ5" s="7" t="s">
        <v>133</v>
      </c>
      <c r="BK5" s="7" t="s">
        <v>134</v>
      </c>
      <c r="BL5" s="75"/>
      <c r="BM5" s="6" t="s">
        <v>0</v>
      </c>
      <c r="BN5" s="7" t="s">
        <v>1</v>
      </c>
      <c r="BO5" s="7" t="s">
        <v>2</v>
      </c>
      <c r="BP5" s="7" t="s">
        <v>24</v>
      </c>
      <c r="BQ5" s="80" t="s">
        <v>7</v>
      </c>
      <c r="BR5" s="81" t="s">
        <v>9</v>
      </c>
      <c r="BS5" s="7" t="s">
        <v>133</v>
      </c>
      <c r="BT5" s="46" t="s">
        <v>134</v>
      </c>
      <c r="BU5" s="75"/>
      <c r="BV5" s="27" t="s">
        <v>0</v>
      </c>
      <c r="BW5" s="28" t="s">
        <v>1</v>
      </c>
      <c r="BX5" s="28" t="s">
        <v>2</v>
      </c>
      <c r="BY5" s="28" t="s">
        <v>24</v>
      </c>
      <c r="BZ5" s="9" t="s">
        <v>7</v>
      </c>
      <c r="CA5" s="45" t="s">
        <v>9</v>
      </c>
      <c r="CB5" s="7" t="s">
        <v>133</v>
      </c>
      <c r="CC5" s="46" t="s">
        <v>134</v>
      </c>
    </row>
    <row r="6" spans="1:81" x14ac:dyDescent="0.25">
      <c r="A6" s="583"/>
      <c r="B6" s="584"/>
      <c r="C6" s="584"/>
      <c r="D6" s="584"/>
      <c r="E6" s="584"/>
      <c r="F6" s="585"/>
      <c r="AC6" s="10"/>
      <c r="AD6" s="11"/>
      <c r="AE6" s="10"/>
      <c r="AF6" s="12"/>
      <c r="AG6" s="22"/>
      <c r="AH6" s="26"/>
      <c r="AI6" s="59"/>
      <c r="AJ6" s="16"/>
      <c r="AK6" s="75"/>
      <c r="AL6" s="10" t="s">
        <v>25</v>
      </c>
      <c r="AM6" s="11">
        <v>1</v>
      </c>
      <c r="AN6" s="10" t="s">
        <v>33</v>
      </c>
      <c r="AO6" s="12" t="s">
        <v>344</v>
      </c>
      <c r="AP6" s="79"/>
      <c r="AQ6" s="16"/>
      <c r="AR6" s="56"/>
      <c r="AS6" s="32"/>
      <c r="AT6" s="75"/>
      <c r="AU6" s="10" t="s">
        <v>28</v>
      </c>
      <c r="AV6" s="11">
        <v>1</v>
      </c>
      <c r="AW6" s="10" t="s">
        <v>36</v>
      </c>
      <c r="AX6" s="12" t="s">
        <v>342</v>
      </c>
      <c r="AY6" s="22"/>
      <c r="AZ6" s="26"/>
      <c r="BA6" s="57"/>
      <c r="BB6" s="23"/>
      <c r="BD6" s="10"/>
      <c r="BE6" s="11"/>
      <c r="BF6" s="10"/>
      <c r="BG6" s="12"/>
      <c r="BH6" s="22"/>
      <c r="BI6" s="26"/>
      <c r="BJ6" s="59"/>
      <c r="BK6" s="16"/>
      <c r="BL6" s="75"/>
      <c r="BM6" s="10" t="s">
        <v>25</v>
      </c>
      <c r="BN6" s="11">
        <v>1</v>
      </c>
      <c r="BO6" s="10" t="s">
        <v>33</v>
      </c>
      <c r="BP6" s="12" t="s">
        <v>337</v>
      </c>
      <c r="BQ6" s="79"/>
      <c r="BR6" s="16"/>
      <c r="BS6" s="56"/>
      <c r="BT6" s="32"/>
      <c r="BU6" s="75"/>
      <c r="BV6" s="10" t="s">
        <v>28</v>
      </c>
      <c r="BW6" s="11">
        <v>1</v>
      </c>
      <c r="BX6" s="10" t="s">
        <v>36</v>
      </c>
      <c r="BY6" s="12" t="s">
        <v>340</v>
      </c>
      <c r="BZ6" s="22"/>
      <c r="CA6" s="26"/>
      <c r="CB6" s="57"/>
      <c r="CC6" s="23"/>
    </row>
    <row r="7" spans="1:81" x14ac:dyDescent="0.25">
      <c r="A7" s="583" t="s">
        <v>269</v>
      </c>
      <c r="B7" s="584"/>
      <c r="C7" s="584"/>
      <c r="D7" s="584"/>
      <c r="E7" s="584"/>
      <c r="F7" s="585"/>
      <c r="AC7" s="10" t="s">
        <v>87</v>
      </c>
      <c r="AD7" s="11">
        <v>1</v>
      </c>
      <c r="AE7" s="34" t="s">
        <v>90</v>
      </c>
      <c r="AF7" s="12" t="s">
        <v>346</v>
      </c>
      <c r="AG7" s="22"/>
      <c r="AH7" s="26"/>
      <c r="AI7" s="60"/>
      <c r="AJ7" s="13"/>
      <c r="AK7" s="75"/>
      <c r="AL7" s="14" t="s">
        <v>25</v>
      </c>
      <c r="AM7" s="12">
        <v>1</v>
      </c>
      <c r="AN7" s="14" t="s">
        <v>26</v>
      </c>
      <c r="AO7" s="12" t="s">
        <v>344</v>
      </c>
      <c r="AP7" s="24"/>
      <c r="AQ7" s="13"/>
      <c r="AR7" s="57"/>
      <c r="AS7" s="23"/>
      <c r="AT7" s="75"/>
      <c r="AU7" s="10" t="s">
        <v>28</v>
      </c>
      <c r="AV7" s="11">
        <v>1</v>
      </c>
      <c r="AW7" s="10" t="s">
        <v>34</v>
      </c>
      <c r="AX7" s="12" t="s">
        <v>342</v>
      </c>
      <c r="AY7" s="22"/>
      <c r="AZ7" s="26"/>
      <c r="BA7" s="57"/>
      <c r="BB7" s="23"/>
      <c r="BD7" s="10" t="s">
        <v>87</v>
      </c>
      <c r="BE7" s="11">
        <v>1</v>
      </c>
      <c r="BF7" s="34" t="s">
        <v>90</v>
      </c>
      <c r="BG7" s="12" t="s">
        <v>341</v>
      </c>
      <c r="BH7" s="22"/>
      <c r="BI7" s="26"/>
      <c r="BJ7" s="60"/>
      <c r="BK7" s="13"/>
      <c r="BL7" s="75"/>
      <c r="BM7" s="14" t="s">
        <v>25</v>
      </c>
      <c r="BN7" s="12">
        <v>1</v>
      </c>
      <c r="BO7" s="14" t="s">
        <v>26</v>
      </c>
      <c r="BP7" s="12" t="s">
        <v>337</v>
      </c>
      <c r="BQ7" s="24"/>
      <c r="BR7" s="13"/>
      <c r="BS7" s="57"/>
      <c r="BT7" s="23"/>
      <c r="BU7" s="75"/>
      <c r="BV7" s="10" t="s">
        <v>28</v>
      </c>
      <c r="BW7" s="11">
        <v>1</v>
      </c>
      <c r="BX7" s="10" t="s">
        <v>34</v>
      </c>
      <c r="BY7" s="12" t="s">
        <v>340</v>
      </c>
      <c r="BZ7" s="22"/>
      <c r="CA7" s="26"/>
      <c r="CB7" s="57"/>
      <c r="CC7" s="23"/>
    </row>
    <row r="8" spans="1:81" x14ac:dyDescent="0.25">
      <c r="A8" s="583"/>
      <c r="B8" s="584"/>
      <c r="C8" s="584"/>
      <c r="D8" s="584"/>
      <c r="E8" s="584"/>
      <c r="F8" s="585"/>
      <c r="AC8" s="10" t="s">
        <v>81</v>
      </c>
      <c r="AD8" s="11">
        <v>1</v>
      </c>
      <c r="AE8" s="34" t="s">
        <v>228</v>
      </c>
      <c r="AF8" s="12"/>
      <c r="AG8" s="22"/>
      <c r="AH8" s="26"/>
      <c r="AI8" s="60"/>
      <c r="AJ8" s="13"/>
      <c r="AK8" s="75"/>
      <c r="AL8" s="14" t="s">
        <v>25</v>
      </c>
      <c r="AM8" s="12">
        <v>1</v>
      </c>
      <c r="AN8" s="14" t="s">
        <v>30</v>
      </c>
      <c r="AO8" s="12" t="s">
        <v>344</v>
      </c>
      <c r="AP8" s="24"/>
      <c r="AQ8" s="13"/>
      <c r="AR8" s="57"/>
      <c r="AS8" s="23"/>
      <c r="AT8" s="75"/>
      <c r="AU8" s="10" t="s">
        <v>28</v>
      </c>
      <c r="AV8" s="11">
        <v>1</v>
      </c>
      <c r="AW8" s="10" t="s">
        <v>35</v>
      </c>
      <c r="AX8" s="12" t="s">
        <v>342</v>
      </c>
      <c r="AY8" s="22"/>
      <c r="AZ8" s="26"/>
      <c r="BA8" s="57"/>
      <c r="BB8" s="23"/>
      <c r="BD8" s="10" t="s">
        <v>81</v>
      </c>
      <c r="BE8" s="11">
        <v>1</v>
      </c>
      <c r="BF8" s="34" t="s">
        <v>228</v>
      </c>
      <c r="BG8" s="12"/>
      <c r="BH8" s="22"/>
      <c r="BI8" s="26"/>
      <c r="BJ8" s="60"/>
      <c r="BK8" s="13"/>
      <c r="BL8" s="75"/>
      <c r="BM8" s="14" t="s">
        <v>25</v>
      </c>
      <c r="BN8" s="12">
        <v>1</v>
      </c>
      <c r="BO8" s="14" t="s">
        <v>30</v>
      </c>
      <c r="BP8" s="12" t="s">
        <v>337</v>
      </c>
      <c r="BQ8" s="24"/>
      <c r="BR8" s="13"/>
      <c r="BS8" s="57"/>
      <c r="BT8" s="23"/>
      <c r="BU8" s="75"/>
      <c r="BV8" s="10" t="s">
        <v>28</v>
      </c>
      <c r="BW8" s="11">
        <v>1</v>
      </c>
      <c r="BX8" s="10" t="s">
        <v>35</v>
      </c>
      <c r="BY8" s="12" t="s">
        <v>340</v>
      </c>
      <c r="BZ8" s="22"/>
      <c r="CA8" s="26"/>
      <c r="CB8" s="57"/>
      <c r="CC8" s="23"/>
    </row>
    <row r="9" spans="1:81" x14ac:dyDescent="0.25">
      <c r="A9" s="588" t="s">
        <v>271</v>
      </c>
      <c r="B9" s="589"/>
      <c r="C9" s="589"/>
      <c r="D9" s="589"/>
      <c r="E9" s="589"/>
      <c r="F9" s="590"/>
      <c r="AC9" s="10" t="s">
        <v>82</v>
      </c>
      <c r="AD9" s="11">
        <v>1</v>
      </c>
      <c r="AE9" s="34" t="s">
        <v>90</v>
      </c>
      <c r="AF9" s="12" t="s">
        <v>346</v>
      </c>
      <c r="AG9" s="22"/>
      <c r="AH9" s="26"/>
      <c r="AI9" s="60"/>
      <c r="AJ9" s="13"/>
      <c r="AK9" s="75"/>
      <c r="AL9" s="14" t="s">
        <v>25</v>
      </c>
      <c r="AM9" s="12">
        <v>1</v>
      </c>
      <c r="AN9" s="14" t="s">
        <v>39</v>
      </c>
      <c r="AO9" s="12" t="s">
        <v>344</v>
      </c>
      <c r="AP9" s="24"/>
      <c r="AQ9" s="24"/>
      <c r="AR9" s="57"/>
      <c r="AS9" s="23"/>
      <c r="AT9" s="75"/>
      <c r="AU9" s="10" t="s">
        <v>28</v>
      </c>
      <c r="AV9" s="11">
        <v>1</v>
      </c>
      <c r="AW9" s="10" t="s">
        <v>40</v>
      </c>
      <c r="AX9" s="12" t="s">
        <v>342</v>
      </c>
      <c r="AY9" s="21"/>
      <c r="AZ9" s="22"/>
      <c r="BA9" s="57"/>
      <c r="BB9" s="23"/>
      <c r="BD9" s="10" t="s">
        <v>82</v>
      </c>
      <c r="BE9" s="11">
        <v>1</v>
      </c>
      <c r="BF9" s="34" t="s">
        <v>90</v>
      </c>
      <c r="BG9" s="12" t="s">
        <v>341</v>
      </c>
      <c r="BH9" s="22"/>
      <c r="BI9" s="26"/>
      <c r="BJ9" s="60"/>
      <c r="BK9" s="13"/>
      <c r="BL9" s="75"/>
      <c r="BM9" s="14" t="s">
        <v>25</v>
      </c>
      <c r="BN9" s="12">
        <v>1</v>
      </c>
      <c r="BO9" s="14" t="s">
        <v>39</v>
      </c>
      <c r="BP9" s="12" t="s">
        <v>337</v>
      </c>
      <c r="BQ9" s="24"/>
      <c r="BR9" s="24"/>
      <c r="BS9" s="57"/>
      <c r="BT9" s="23"/>
      <c r="BU9" s="75"/>
      <c r="BV9" s="10" t="s">
        <v>28</v>
      </c>
      <c r="BW9" s="11">
        <v>1</v>
      </c>
      <c r="BX9" s="10" t="s">
        <v>40</v>
      </c>
      <c r="BY9" s="12" t="s">
        <v>340</v>
      </c>
      <c r="BZ9" s="21"/>
      <c r="CA9" s="22"/>
      <c r="CB9" s="57"/>
      <c r="CC9" s="23"/>
    </row>
    <row r="10" spans="1:81" x14ac:dyDescent="0.25">
      <c r="A10" s="588" t="s">
        <v>272</v>
      </c>
      <c r="B10" s="589"/>
      <c r="C10" s="589"/>
      <c r="D10" s="589"/>
      <c r="E10" s="589"/>
      <c r="F10" s="590"/>
      <c r="AC10" s="10"/>
      <c r="AD10" s="11">
        <v>1</v>
      </c>
      <c r="AE10" s="34" t="s">
        <v>90</v>
      </c>
      <c r="AF10" s="12" t="s">
        <v>346</v>
      </c>
      <c r="AG10" s="22"/>
      <c r="AH10" s="26"/>
      <c r="AI10" s="60"/>
      <c r="AJ10" s="13"/>
      <c r="AK10" s="75"/>
      <c r="AL10" s="14" t="s">
        <v>25</v>
      </c>
      <c r="AM10" s="12">
        <v>1</v>
      </c>
      <c r="AN10" s="14" t="s">
        <v>42</v>
      </c>
      <c r="AO10" s="12" t="s">
        <v>344</v>
      </c>
      <c r="AP10" s="24"/>
      <c r="AQ10" s="24"/>
      <c r="AR10" s="57"/>
      <c r="AS10" s="23"/>
      <c r="AT10" s="75"/>
      <c r="AU10" s="10" t="s">
        <v>28</v>
      </c>
      <c r="AV10" s="11">
        <v>1</v>
      </c>
      <c r="AW10" s="10" t="s">
        <v>43</v>
      </c>
      <c r="AX10" s="12" t="s">
        <v>342</v>
      </c>
      <c r="AY10" s="21"/>
      <c r="AZ10" s="22"/>
      <c r="BA10" s="57"/>
      <c r="BB10" s="23"/>
      <c r="BD10" s="10"/>
      <c r="BE10" s="11">
        <v>1</v>
      </c>
      <c r="BF10" s="34" t="s">
        <v>90</v>
      </c>
      <c r="BG10" s="12" t="s">
        <v>341</v>
      </c>
      <c r="BH10" s="22"/>
      <c r="BI10" s="26"/>
      <c r="BJ10" s="60"/>
      <c r="BK10" s="13"/>
      <c r="BL10" s="75"/>
      <c r="BM10" s="14" t="s">
        <v>25</v>
      </c>
      <c r="BN10" s="12">
        <v>1</v>
      </c>
      <c r="BO10" s="14" t="s">
        <v>42</v>
      </c>
      <c r="BP10" s="12" t="s">
        <v>337</v>
      </c>
      <c r="BQ10" s="24"/>
      <c r="BR10" s="24"/>
      <c r="BS10" s="57"/>
      <c r="BT10" s="23"/>
      <c r="BU10" s="75"/>
      <c r="BV10" s="10" t="s">
        <v>28</v>
      </c>
      <c r="BW10" s="11">
        <v>1</v>
      </c>
      <c r="BX10" s="10" t="s">
        <v>43</v>
      </c>
      <c r="BY10" s="12" t="s">
        <v>340</v>
      </c>
      <c r="BZ10" s="21"/>
      <c r="CA10" s="22"/>
      <c r="CB10" s="57"/>
      <c r="CC10" s="23"/>
    </row>
    <row r="11" spans="1:81" x14ac:dyDescent="0.25">
      <c r="A11" s="588"/>
      <c r="B11" s="589"/>
      <c r="C11" s="589"/>
      <c r="D11" s="589"/>
      <c r="E11" s="589"/>
      <c r="F11" s="590"/>
      <c r="AC11" s="10" t="s">
        <v>83</v>
      </c>
      <c r="AD11" s="11">
        <v>1</v>
      </c>
      <c r="AE11" s="34" t="s">
        <v>90</v>
      </c>
      <c r="AF11" s="12" t="s">
        <v>346</v>
      </c>
      <c r="AG11" s="22"/>
      <c r="AH11" s="26"/>
      <c r="AI11" s="60"/>
      <c r="AJ11" s="13"/>
      <c r="AK11" s="75"/>
      <c r="AL11" s="14" t="s">
        <v>25</v>
      </c>
      <c r="AM11" s="12">
        <v>1</v>
      </c>
      <c r="AN11" s="14" t="s">
        <v>44</v>
      </c>
      <c r="AO11" s="12" t="s">
        <v>344</v>
      </c>
      <c r="AP11" s="24"/>
      <c r="AQ11" s="24"/>
      <c r="AR11" s="57"/>
      <c r="AS11" s="23"/>
      <c r="AT11" s="75"/>
      <c r="AU11" s="10" t="s">
        <v>28</v>
      </c>
      <c r="AV11" s="11">
        <v>1</v>
      </c>
      <c r="AW11" s="10" t="s">
        <v>45</v>
      </c>
      <c r="AX11" s="12" t="s">
        <v>342</v>
      </c>
      <c r="AY11" s="21"/>
      <c r="AZ11" s="22"/>
      <c r="BA11" s="57"/>
      <c r="BB11" s="23"/>
      <c r="BD11" s="10" t="s">
        <v>83</v>
      </c>
      <c r="BE11" s="11">
        <v>1</v>
      </c>
      <c r="BF11" s="34" t="s">
        <v>90</v>
      </c>
      <c r="BG11" s="12" t="s">
        <v>341</v>
      </c>
      <c r="BH11" s="22"/>
      <c r="BI11" s="26"/>
      <c r="BJ11" s="60"/>
      <c r="BK11" s="13"/>
      <c r="BL11" s="75"/>
      <c r="BM11" s="14" t="s">
        <v>25</v>
      </c>
      <c r="BN11" s="12">
        <v>1</v>
      </c>
      <c r="BO11" s="14" t="s">
        <v>44</v>
      </c>
      <c r="BP11" s="12" t="s">
        <v>337</v>
      </c>
      <c r="BQ11" s="24"/>
      <c r="BR11" s="24"/>
      <c r="BS11" s="57"/>
      <c r="BT11" s="23"/>
      <c r="BU11" s="75"/>
      <c r="BV11" s="10" t="s">
        <v>28</v>
      </c>
      <c r="BW11" s="11">
        <v>1</v>
      </c>
      <c r="BX11" s="10" t="s">
        <v>45</v>
      </c>
      <c r="BY11" s="12" t="s">
        <v>340</v>
      </c>
      <c r="BZ11" s="21"/>
      <c r="CA11" s="22"/>
      <c r="CB11" s="57"/>
      <c r="CC11" s="23"/>
    </row>
    <row r="12" spans="1:81" x14ac:dyDescent="0.25">
      <c r="A12" s="583" t="s">
        <v>355</v>
      </c>
      <c r="B12" s="584"/>
      <c r="C12" s="584"/>
      <c r="D12" s="584"/>
      <c r="E12" s="584"/>
      <c r="F12" s="585"/>
      <c r="AC12" s="10" t="s">
        <v>114</v>
      </c>
      <c r="AD12" s="11">
        <v>1</v>
      </c>
      <c r="AE12" s="34" t="s">
        <v>242</v>
      </c>
      <c r="AF12" s="12"/>
      <c r="AG12" s="22"/>
      <c r="AH12" s="26"/>
      <c r="AI12" s="60"/>
      <c r="AJ12" s="13"/>
      <c r="AK12" s="75"/>
      <c r="AL12" s="14" t="s">
        <v>25</v>
      </c>
      <c r="AM12" s="12">
        <v>1</v>
      </c>
      <c r="AN12" s="14" t="s">
        <v>47</v>
      </c>
      <c r="AO12" s="12" t="s">
        <v>344</v>
      </c>
      <c r="AP12" s="24"/>
      <c r="AQ12" s="24"/>
      <c r="AR12" s="57"/>
      <c r="AS12" s="23"/>
      <c r="AT12" s="75"/>
      <c r="AU12" s="10" t="s">
        <v>28</v>
      </c>
      <c r="AV12" s="11">
        <v>1</v>
      </c>
      <c r="AW12" s="10" t="s">
        <v>48</v>
      </c>
      <c r="AX12" s="12" t="s">
        <v>342</v>
      </c>
      <c r="AY12" s="21"/>
      <c r="AZ12" s="22"/>
      <c r="BA12" s="57"/>
      <c r="BB12" s="23"/>
      <c r="BD12" s="10" t="s">
        <v>114</v>
      </c>
      <c r="BE12" s="11">
        <v>1</v>
      </c>
      <c r="BF12" s="34" t="s">
        <v>242</v>
      </c>
      <c r="BG12" s="12"/>
      <c r="BH12" s="22"/>
      <c r="BI12" s="26"/>
      <c r="BJ12" s="60"/>
      <c r="BK12" s="13"/>
      <c r="BL12" s="75"/>
      <c r="BM12" s="14" t="s">
        <v>25</v>
      </c>
      <c r="BN12" s="12">
        <v>1</v>
      </c>
      <c r="BO12" s="14" t="s">
        <v>47</v>
      </c>
      <c r="BP12" s="12" t="s">
        <v>337</v>
      </c>
      <c r="BQ12" s="24"/>
      <c r="BR12" s="24"/>
      <c r="BS12" s="57"/>
      <c r="BT12" s="23"/>
      <c r="BU12" s="75"/>
      <c r="BV12" s="10" t="s">
        <v>28</v>
      </c>
      <c r="BW12" s="11">
        <v>1</v>
      </c>
      <c r="BX12" s="10" t="s">
        <v>48</v>
      </c>
      <c r="BY12" s="12" t="s">
        <v>340</v>
      </c>
      <c r="BZ12" s="21"/>
      <c r="CA12" s="22"/>
      <c r="CB12" s="57"/>
      <c r="CC12" s="23"/>
    </row>
    <row r="13" spans="1:81" x14ac:dyDescent="0.25">
      <c r="A13" s="583"/>
      <c r="B13" s="584"/>
      <c r="C13" s="584"/>
      <c r="D13" s="584"/>
      <c r="E13" s="584"/>
      <c r="F13" s="585"/>
      <c r="AC13" s="10" t="s">
        <v>85</v>
      </c>
      <c r="AD13" s="11">
        <v>1</v>
      </c>
      <c r="AE13" s="34" t="s">
        <v>253</v>
      </c>
      <c r="AF13" s="12"/>
      <c r="AG13" s="22"/>
      <c r="AH13" s="26"/>
      <c r="AI13" s="60"/>
      <c r="AJ13" s="13"/>
      <c r="AK13" s="75"/>
      <c r="AL13" s="14" t="s">
        <v>25</v>
      </c>
      <c r="AM13" s="12">
        <v>1</v>
      </c>
      <c r="AN13" s="14" t="s">
        <v>50</v>
      </c>
      <c r="AO13" s="12" t="s">
        <v>344</v>
      </c>
      <c r="AP13" s="24"/>
      <c r="AQ13" s="24"/>
      <c r="AR13" s="57"/>
      <c r="AS13" s="23"/>
      <c r="AT13" s="75"/>
      <c r="AU13" s="10" t="s">
        <v>28</v>
      </c>
      <c r="AV13" s="11">
        <v>1</v>
      </c>
      <c r="AW13" s="10" t="s">
        <v>51</v>
      </c>
      <c r="AX13" s="12" t="s">
        <v>342</v>
      </c>
      <c r="AY13" s="25"/>
      <c r="AZ13" s="26"/>
      <c r="BA13" s="57"/>
      <c r="BB13" s="23"/>
      <c r="BD13" s="10" t="s">
        <v>85</v>
      </c>
      <c r="BE13" s="11">
        <v>1</v>
      </c>
      <c r="BF13" s="34" t="s">
        <v>253</v>
      </c>
      <c r="BG13" s="12"/>
      <c r="BH13" s="22"/>
      <c r="BI13" s="26"/>
      <c r="BJ13" s="60"/>
      <c r="BK13" s="13"/>
      <c r="BL13" s="75"/>
      <c r="BM13" s="14" t="s">
        <v>25</v>
      </c>
      <c r="BN13" s="12">
        <v>1</v>
      </c>
      <c r="BO13" s="14" t="s">
        <v>50</v>
      </c>
      <c r="BP13" s="12" t="s">
        <v>337</v>
      </c>
      <c r="BQ13" s="24"/>
      <c r="BR13" s="24"/>
      <c r="BS13" s="57"/>
      <c r="BT13" s="23"/>
      <c r="BU13" s="75"/>
      <c r="BV13" s="10" t="s">
        <v>28</v>
      </c>
      <c r="BW13" s="11">
        <v>1</v>
      </c>
      <c r="BX13" s="10" t="s">
        <v>51</v>
      </c>
      <c r="BY13" s="12" t="s">
        <v>340</v>
      </c>
      <c r="BZ13" s="25"/>
      <c r="CA13" s="26"/>
      <c r="CB13" s="57"/>
      <c r="CC13" s="23"/>
    </row>
    <row r="14" spans="1:81" x14ac:dyDescent="0.25">
      <c r="A14" s="583" t="s">
        <v>276</v>
      </c>
      <c r="B14" s="584"/>
      <c r="C14" s="584"/>
      <c r="D14" s="584"/>
      <c r="E14" s="584"/>
      <c r="F14" s="585"/>
      <c r="AC14" s="10" t="s">
        <v>86</v>
      </c>
      <c r="AD14" s="11">
        <v>1</v>
      </c>
      <c r="AE14" s="34" t="s">
        <v>88</v>
      </c>
      <c r="AF14" s="12" t="s">
        <v>346</v>
      </c>
      <c r="AG14" s="22"/>
      <c r="AH14" s="22"/>
      <c r="AI14" s="62"/>
      <c r="AJ14" s="24"/>
      <c r="AK14" s="75"/>
      <c r="AL14" s="14" t="s">
        <v>25</v>
      </c>
      <c r="AM14" s="12">
        <v>1</v>
      </c>
      <c r="AN14" s="14" t="s">
        <v>52</v>
      </c>
      <c r="AO14" s="12" t="s">
        <v>344</v>
      </c>
      <c r="AP14" s="24"/>
      <c r="AQ14" s="13"/>
      <c r="AR14" s="57"/>
      <c r="AS14" s="23"/>
      <c r="AT14" s="75"/>
      <c r="AU14" s="10" t="s">
        <v>28</v>
      </c>
      <c r="AV14" s="11">
        <v>1</v>
      </c>
      <c r="AW14" s="10" t="s">
        <v>53</v>
      </c>
      <c r="AX14" s="12" t="s">
        <v>342</v>
      </c>
      <c r="AY14" s="21"/>
      <c r="AZ14" s="26"/>
      <c r="BA14" s="57"/>
      <c r="BB14" s="23"/>
      <c r="BD14" s="10" t="s">
        <v>86</v>
      </c>
      <c r="BE14" s="11">
        <v>1</v>
      </c>
      <c r="BF14" s="34" t="s">
        <v>88</v>
      </c>
      <c r="BG14" s="12" t="s">
        <v>341</v>
      </c>
      <c r="BH14" s="22"/>
      <c r="BI14" s="22"/>
      <c r="BJ14" s="62"/>
      <c r="BK14" s="24"/>
      <c r="BL14" s="75"/>
      <c r="BM14" s="14" t="s">
        <v>25</v>
      </c>
      <c r="BN14" s="12">
        <v>1</v>
      </c>
      <c r="BO14" s="14" t="s">
        <v>52</v>
      </c>
      <c r="BP14" s="12" t="s">
        <v>337</v>
      </c>
      <c r="BQ14" s="24"/>
      <c r="BR14" s="13"/>
      <c r="BS14" s="57"/>
      <c r="BT14" s="23"/>
      <c r="BU14" s="75"/>
      <c r="BV14" s="10" t="s">
        <v>28</v>
      </c>
      <c r="BW14" s="11">
        <v>1</v>
      </c>
      <c r="BX14" s="10" t="s">
        <v>53</v>
      </c>
      <c r="BY14" s="12" t="s">
        <v>340</v>
      </c>
      <c r="BZ14" s="21"/>
      <c r="CA14" s="26"/>
      <c r="CB14" s="57"/>
      <c r="CC14" s="23"/>
    </row>
    <row r="15" spans="1:81" x14ac:dyDescent="0.25">
      <c r="A15" s="583"/>
      <c r="B15" s="584"/>
      <c r="C15" s="584"/>
      <c r="D15" s="584"/>
      <c r="E15" s="584"/>
      <c r="F15" s="585"/>
      <c r="AC15" s="14"/>
      <c r="AD15" s="12"/>
      <c r="AE15" s="35" t="s">
        <v>89</v>
      </c>
      <c r="AF15" s="12" t="s">
        <v>346</v>
      </c>
      <c r="AG15" s="22"/>
      <c r="AH15" s="22"/>
      <c r="AI15" s="62"/>
      <c r="AJ15" s="24"/>
      <c r="AK15" s="75"/>
      <c r="AL15" s="14" t="s">
        <v>25</v>
      </c>
      <c r="AM15" s="12">
        <v>1</v>
      </c>
      <c r="AN15" s="14" t="s">
        <v>55</v>
      </c>
      <c r="AO15" s="12" t="s">
        <v>344</v>
      </c>
      <c r="AP15" s="13"/>
      <c r="AQ15" s="13"/>
      <c r="AR15" s="57"/>
      <c r="AS15" s="23"/>
      <c r="AT15" s="75"/>
      <c r="AU15" s="10" t="s">
        <v>28</v>
      </c>
      <c r="AV15" s="11">
        <v>1</v>
      </c>
      <c r="AW15" s="10" t="s">
        <v>56</v>
      </c>
      <c r="AX15" s="12" t="s">
        <v>342</v>
      </c>
      <c r="AY15" s="15"/>
      <c r="AZ15" s="26"/>
      <c r="BA15" s="57"/>
      <c r="BB15" s="23"/>
      <c r="BD15" s="14"/>
      <c r="BE15" s="12"/>
      <c r="BF15" s="35" t="s">
        <v>89</v>
      </c>
      <c r="BG15" s="12" t="s">
        <v>341</v>
      </c>
      <c r="BH15" s="22"/>
      <c r="BI15" s="22"/>
      <c r="BJ15" s="62"/>
      <c r="BK15" s="24"/>
      <c r="BL15" s="75"/>
      <c r="BM15" s="14" t="s">
        <v>25</v>
      </c>
      <c r="BN15" s="12">
        <v>1</v>
      </c>
      <c r="BO15" s="14" t="s">
        <v>55</v>
      </c>
      <c r="BP15" s="12" t="s">
        <v>337</v>
      </c>
      <c r="BQ15" s="13"/>
      <c r="BR15" s="13"/>
      <c r="BS15" s="57"/>
      <c r="BT15" s="23"/>
      <c r="BU15" s="75"/>
      <c r="BV15" s="10" t="s">
        <v>28</v>
      </c>
      <c r="BW15" s="11">
        <v>1</v>
      </c>
      <c r="BX15" s="10" t="s">
        <v>56</v>
      </c>
      <c r="BY15" s="12" t="s">
        <v>340</v>
      </c>
      <c r="BZ15" s="15"/>
      <c r="CA15" s="26"/>
      <c r="CB15" s="57"/>
      <c r="CC15" s="23"/>
    </row>
    <row r="16" spans="1:81" x14ac:dyDescent="0.25">
      <c r="A16" s="583" t="s">
        <v>441</v>
      </c>
      <c r="B16" s="584"/>
      <c r="C16" s="584"/>
      <c r="D16" s="584"/>
      <c r="E16" s="584"/>
      <c r="F16" s="585"/>
      <c r="AC16" s="10"/>
      <c r="AD16" s="11"/>
      <c r="AE16" s="32"/>
      <c r="AF16" s="12"/>
      <c r="AG16" s="21"/>
      <c r="AH16" s="22"/>
      <c r="AI16" s="62"/>
      <c r="AJ16" s="24"/>
      <c r="AK16" s="75"/>
      <c r="AL16" s="14" t="s">
        <v>25</v>
      </c>
      <c r="AM16" s="12">
        <v>1</v>
      </c>
      <c r="AN16" s="14" t="s">
        <v>58</v>
      </c>
      <c r="AO16" s="12" t="s">
        <v>344</v>
      </c>
      <c r="AP16" s="13"/>
      <c r="AQ16" s="13"/>
      <c r="AR16" s="57"/>
      <c r="AS16" s="23"/>
      <c r="AT16" s="75"/>
      <c r="AU16" s="10" t="s">
        <v>28</v>
      </c>
      <c r="AV16" s="11">
        <v>1</v>
      </c>
      <c r="AW16" s="10" t="s">
        <v>59</v>
      </c>
      <c r="AX16" s="12" t="s">
        <v>342</v>
      </c>
      <c r="AY16" s="15"/>
      <c r="AZ16" s="26"/>
      <c r="BA16" s="57"/>
      <c r="BB16" s="23"/>
      <c r="BD16" s="10"/>
      <c r="BE16" s="11"/>
      <c r="BF16" s="32"/>
      <c r="BG16" s="12"/>
      <c r="BH16" s="21"/>
      <c r="BI16" s="22"/>
      <c r="BJ16" s="62"/>
      <c r="BK16" s="24"/>
      <c r="BL16" s="75"/>
      <c r="BM16" s="14" t="s">
        <v>25</v>
      </c>
      <c r="BN16" s="12">
        <v>1</v>
      </c>
      <c r="BO16" s="14" t="s">
        <v>58</v>
      </c>
      <c r="BP16" s="12" t="s">
        <v>337</v>
      </c>
      <c r="BQ16" s="13"/>
      <c r="BR16" s="13"/>
      <c r="BS16" s="57"/>
      <c r="BT16" s="23"/>
      <c r="BU16" s="75"/>
      <c r="BV16" s="10" t="s">
        <v>28</v>
      </c>
      <c r="BW16" s="11">
        <v>1</v>
      </c>
      <c r="BX16" s="10" t="s">
        <v>59</v>
      </c>
      <c r="BY16" s="12" t="s">
        <v>340</v>
      </c>
      <c r="BZ16" s="15"/>
      <c r="CA16" s="26"/>
      <c r="CB16" s="57"/>
      <c r="CC16" s="23"/>
    </row>
    <row r="17" spans="1:81" x14ac:dyDescent="0.25">
      <c r="A17" s="583"/>
      <c r="B17" s="584"/>
      <c r="C17" s="584"/>
      <c r="D17" s="584"/>
      <c r="E17" s="584"/>
      <c r="F17" s="585"/>
      <c r="AC17" s="10" t="s">
        <v>93</v>
      </c>
      <c r="AD17" s="11">
        <v>1</v>
      </c>
      <c r="AE17" s="10" t="s">
        <v>92</v>
      </c>
      <c r="AF17" s="12"/>
      <c r="AG17" s="21"/>
      <c r="AH17" s="22"/>
      <c r="AI17" s="62"/>
      <c r="AJ17" s="24"/>
      <c r="AK17" s="75"/>
      <c r="AL17" s="14" t="s">
        <v>25</v>
      </c>
      <c r="AM17" s="12">
        <v>1</v>
      </c>
      <c r="AN17" s="14" t="s">
        <v>60</v>
      </c>
      <c r="AO17" s="12" t="s">
        <v>344</v>
      </c>
      <c r="AP17" s="24"/>
      <c r="AQ17" s="13"/>
      <c r="AR17" s="57"/>
      <c r="AS17" s="23"/>
      <c r="AT17" s="75"/>
      <c r="AU17" s="10" t="s">
        <v>28</v>
      </c>
      <c r="AV17" s="11">
        <v>1</v>
      </c>
      <c r="AW17" s="10" t="s">
        <v>61</v>
      </c>
      <c r="AX17" s="12" t="s">
        <v>342</v>
      </c>
      <c r="AY17" s="21"/>
      <c r="AZ17" s="26"/>
      <c r="BA17" s="57"/>
      <c r="BB17" s="23"/>
      <c r="BD17" s="10" t="s">
        <v>93</v>
      </c>
      <c r="BE17" s="11">
        <v>1</v>
      </c>
      <c r="BF17" s="10" t="s">
        <v>92</v>
      </c>
      <c r="BG17" s="12"/>
      <c r="BH17" s="21"/>
      <c r="BI17" s="22"/>
      <c r="BJ17" s="62"/>
      <c r="BK17" s="24"/>
      <c r="BL17" s="75"/>
      <c r="BM17" s="14" t="s">
        <v>25</v>
      </c>
      <c r="BN17" s="12">
        <v>1</v>
      </c>
      <c r="BO17" s="14" t="s">
        <v>60</v>
      </c>
      <c r="BP17" s="12" t="s">
        <v>337</v>
      </c>
      <c r="BQ17" s="24"/>
      <c r="BR17" s="13"/>
      <c r="BS17" s="57"/>
      <c r="BT17" s="23"/>
      <c r="BU17" s="75"/>
      <c r="BV17" s="10" t="s">
        <v>28</v>
      </c>
      <c r="BW17" s="11">
        <v>1</v>
      </c>
      <c r="BX17" s="10" t="s">
        <v>61</v>
      </c>
      <c r="BY17" s="12" t="s">
        <v>340</v>
      </c>
      <c r="BZ17" s="21"/>
      <c r="CA17" s="26"/>
      <c r="CB17" s="57"/>
      <c r="CC17" s="23"/>
    </row>
    <row r="18" spans="1:81" x14ac:dyDescent="0.25">
      <c r="A18" s="583"/>
      <c r="B18" s="584"/>
      <c r="C18" s="584"/>
      <c r="D18" s="584"/>
      <c r="E18" s="584"/>
      <c r="F18" s="585"/>
      <c r="AC18" s="10" t="s">
        <v>93</v>
      </c>
      <c r="AD18" s="11">
        <v>1</v>
      </c>
      <c r="AE18" s="10" t="s">
        <v>94</v>
      </c>
      <c r="AF18" s="12"/>
      <c r="AG18" s="21"/>
      <c r="AH18" s="22"/>
      <c r="AI18" s="62"/>
      <c r="AJ18" s="24"/>
      <c r="AK18" s="75"/>
      <c r="AL18" s="14" t="s">
        <v>25</v>
      </c>
      <c r="AM18" s="12">
        <v>1</v>
      </c>
      <c r="AN18" s="14" t="s">
        <v>63</v>
      </c>
      <c r="AO18" s="12" t="s">
        <v>344</v>
      </c>
      <c r="AP18" s="13"/>
      <c r="AQ18" s="13"/>
      <c r="AR18" s="57"/>
      <c r="AS18" s="23"/>
      <c r="AT18" s="75"/>
      <c r="AU18" s="10" t="s">
        <v>28</v>
      </c>
      <c r="AV18" s="11">
        <v>1</v>
      </c>
      <c r="AW18" s="10" t="s">
        <v>64</v>
      </c>
      <c r="AX18" s="12" t="s">
        <v>342</v>
      </c>
      <c r="AY18" s="15"/>
      <c r="AZ18" s="26"/>
      <c r="BA18" s="57"/>
      <c r="BB18" s="23"/>
      <c r="BD18" s="10" t="s">
        <v>93</v>
      </c>
      <c r="BE18" s="11">
        <v>1</v>
      </c>
      <c r="BF18" s="10" t="s">
        <v>94</v>
      </c>
      <c r="BG18" s="12"/>
      <c r="BH18" s="21"/>
      <c r="BI18" s="22"/>
      <c r="BJ18" s="62"/>
      <c r="BK18" s="24"/>
      <c r="BL18" s="75"/>
      <c r="BM18" s="14" t="s">
        <v>25</v>
      </c>
      <c r="BN18" s="12">
        <v>1</v>
      </c>
      <c r="BO18" s="14" t="s">
        <v>63</v>
      </c>
      <c r="BP18" s="12" t="s">
        <v>337</v>
      </c>
      <c r="BQ18" s="13"/>
      <c r="BR18" s="13"/>
      <c r="BS18" s="57"/>
      <c r="BT18" s="23"/>
      <c r="BU18" s="75"/>
      <c r="BV18" s="10" t="s">
        <v>28</v>
      </c>
      <c r="BW18" s="11">
        <v>1</v>
      </c>
      <c r="BX18" s="10" t="s">
        <v>64</v>
      </c>
      <c r="BY18" s="12" t="s">
        <v>340</v>
      </c>
      <c r="BZ18" s="15"/>
      <c r="CA18" s="26"/>
      <c r="CB18" s="57"/>
      <c r="CC18" s="23"/>
    </row>
    <row r="19" spans="1:81" ht="15.75" x14ac:dyDescent="0.25">
      <c r="A19" s="583"/>
      <c r="B19" s="584"/>
      <c r="C19" s="584"/>
      <c r="D19" s="584"/>
      <c r="E19" s="584"/>
      <c r="F19" s="585"/>
      <c r="AC19" s="635" t="s">
        <v>230</v>
      </c>
      <c r="AD19" s="636"/>
      <c r="AE19" s="636"/>
      <c r="AF19" s="636"/>
      <c r="AG19" s="636"/>
      <c r="AH19" s="636"/>
      <c r="AI19" s="636"/>
      <c r="AJ19" s="637"/>
      <c r="AK19" s="75"/>
      <c r="AL19" s="14" t="s">
        <v>25</v>
      </c>
      <c r="AM19" s="12">
        <v>1</v>
      </c>
      <c r="AN19" s="14" t="s">
        <v>66</v>
      </c>
      <c r="AO19" s="12" t="s">
        <v>344</v>
      </c>
      <c r="AP19" s="13"/>
      <c r="AQ19" s="13"/>
      <c r="AR19" s="57"/>
      <c r="AS19" s="23"/>
      <c r="AT19" s="75"/>
      <c r="AU19" s="10" t="s">
        <v>28</v>
      </c>
      <c r="AV19" s="11">
        <v>1</v>
      </c>
      <c r="AW19" s="10" t="s">
        <v>67</v>
      </c>
      <c r="AX19" s="12" t="s">
        <v>342</v>
      </c>
      <c r="AY19" s="15"/>
      <c r="AZ19" s="26"/>
      <c r="BA19" s="57"/>
      <c r="BB19" s="23"/>
      <c r="BD19" s="635" t="s">
        <v>230</v>
      </c>
      <c r="BE19" s="636"/>
      <c r="BF19" s="636"/>
      <c r="BG19" s="636"/>
      <c r="BH19" s="636"/>
      <c r="BI19" s="636"/>
      <c r="BJ19" s="636"/>
      <c r="BK19" s="637"/>
      <c r="BL19" s="75"/>
      <c r="BM19" s="14" t="s">
        <v>25</v>
      </c>
      <c r="BN19" s="12">
        <v>1</v>
      </c>
      <c r="BO19" s="14" t="s">
        <v>66</v>
      </c>
      <c r="BP19" s="12" t="s">
        <v>337</v>
      </c>
      <c r="BQ19" s="13"/>
      <c r="BR19" s="13"/>
      <c r="BS19" s="57"/>
      <c r="BT19" s="23"/>
      <c r="BU19" s="75"/>
      <c r="BV19" s="10" t="s">
        <v>28</v>
      </c>
      <c r="BW19" s="11">
        <v>1</v>
      </c>
      <c r="BX19" s="10" t="s">
        <v>67</v>
      </c>
      <c r="BY19" s="12" t="s">
        <v>340</v>
      </c>
      <c r="BZ19" s="15"/>
      <c r="CA19" s="26"/>
      <c r="CB19" s="57"/>
      <c r="CC19" s="23"/>
    </row>
    <row r="20" spans="1:81" x14ac:dyDescent="0.25">
      <c r="AC20" s="10"/>
      <c r="AD20" s="11"/>
      <c r="AE20" s="10"/>
      <c r="AF20" s="12"/>
      <c r="AG20" s="21"/>
      <c r="AH20" s="22"/>
      <c r="AI20" s="62"/>
      <c r="AJ20" s="24"/>
      <c r="AK20" s="75"/>
      <c r="AL20" s="14" t="s">
        <v>25</v>
      </c>
      <c r="AM20" s="12">
        <v>1</v>
      </c>
      <c r="AN20" s="14" t="s">
        <v>69</v>
      </c>
      <c r="AO20" s="12" t="s">
        <v>344</v>
      </c>
      <c r="AP20" s="13"/>
      <c r="AQ20" s="13"/>
      <c r="AR20" s="57"/>
      <c r="AS20" s="23"/>
      <c r="AT20" s="75"/>
      <c r="AU20" s="10" t="s">
        <v>28</v>
      </c>
      <c r="AV20" s="11">
        <v>1</v>
      </c>
      <c r="AW20" s="10" t="s">
        <v>70</v>
      </c>
      <c r="AX20" s="12" t="s">
        <v>342</v>
      </c>
      <c r="AY20" s="15"/>
      <c r="AZ20" s="26"/>
      <c r="BA20" s="57"/>
      <c r="BB20" s="23"/>
      <c r="BD20" s="10"/>
      <c r="BE20" s="11"/>
      <c r="BF20" s="10"/>
      <c r="BG20" s="12"/>
      <c r="BH20" s="21"/>
      <c r="BI20" s="22"/>
      <c r="BJ20" s="62"/>
      <c r="BK20" s="24"/>
      <c r="BL20" s="75"/>
      <c r="BM20" s="14" t="s">
        <v>25</v>
      </c>
      <c r="BN20" s="12">
        <v>1</v>
      </c>
      <c r="BO20" s="14" t="s">
        <v>69</v>
      </c>
      <c r="BP20" s="12" t="s">
        <v>337</v>
      </c>
      <c r="BQ20" s="13"/>
      <c r="BR20" s="13"/>
      <c r="BS20" s="57"/>
      <c r="BT20" s="23"/>
      <c r="BU20" s="75"/>
      <c r="BV20" s="10" t="s">
        <v>28</v>
      </c>
      <c r="BW20" s="11">
        <v>1</v>
      </c>
      <c r="BX20" s="10" t="s">
        <v>70</v>
      </c>
      <c r="BY20" s="12" t="s">
        <v>340</v>
      </c>
      <c r="BZ20" s="15"/>
      <c r="CA20" s="26"/>
      <c r="CB20" s="57"/>
      <c r="CC20" s="23"/>
    </row>
    <row r="21" spans="1:81" x14ac:dyDescent="0.25">
      <c r="A21" s="1" t="s">
        <v>579</v>
      </c>
      <c r="B21" s="201" t="s">
        <v>581</v>
      </c>
      <c r="AC21" s="10"/>
      <c r="AD21" s="11"/>
      <c r="AE21" s="10"/>
      <c r="AF21" s="12"/>
      <c r="AG21" s="21"/>
      <c r="AH21" s="22"/>
      <c r="AI21" s="62"/>
      <c r="AJ21" s="24"/>
      <c r="AK21" s="75"/>
      <c r="AL21" s="14" t="s">
        <v>25</v>
      </c>
      <c r="AM21" s="12">
        <v>1</v>
      </c>
      <c r="AN21" s="14" t="s">
        <v>71</v>
      </c>
      <c r="AO21" s="12" t="s">
        <v>344</v>
      </c>
      <c r="AP21" s="13"/>
      <c r="AQ21" s="13"/>
      <c r="AR21" s="57"/>
      <c r="AS21" s="23"/>
      <c r="AT21" s="75"/>
      <c r="AU21" s="10" t="s">
        <v>28</v>
      </c>
      <c r="AV21" s="11">
        <v>1</v>
      </c>
      <c r="AW21" s="10" t="s">
        <v>72</v>
      </c>
      <c r="AX21" s="12" t="s">
        <v>342</v>
      </c>
      <c r="AY21" s="15"/>
      <c r="AZ21" s="26"/>
      <c r="BA21" s="57"/>
      <c r="BB21" s="23"/>
      <c r="BD21" s="10"/>
      <c r="BE21" s="11"/>
      <c r="BF21" s="10"/>
      <c r="BG21" s="12"/>
      <c r="BH21" s="21"/>
      <c r="BI21" s="22"/>
      <c r="BJ21" s="62"/>
      <c r="BK21" s="24"/>
      <c r="BL21" s="75"/>
      <c r="BM21" s="14" t="s">
        <v>25</v>
      </c>
      <c r="BN21" s="12">
        <v>1</v>
      </c>
      <c r="BO21" s="14" t="s">
        <v>71</v>
      </c>
      <c r="BP21" s="12" t="s">
        <v>337</v>
      </c>
      <c r="BQ21" s="13"/>
      <c r="BR21" s="13"/>
      <c r="BS21" s="57"/>
      <c r="BT21" s="23"/>
      <c r="BU21" s="75"/>
      <c r="BV21" s="10" t="s">
        <v>28</v>
      </c>
      <c r="BW21" s="11">
        <v>1</v>
      </c>
      <c r="BX21" s="10" t="s">
        <v>72</v>
      </c>
      <c r="BY21" s="12" t="s">
        <v>340</v>
      </c>
      <c r="BZ21" s="15"/>
      <c r="CA21" s="26"/>
      <c r="CB21" s="57"/>
      <c r="CC21" s="23"/>
    </row>
    <row r="22" spans="1:81" ht="23.25" x14ac:dyDescent="0.35">
      <c r="A22" s="1" t="s">
        <v>580</v>
      </c>
      <c r="B22" s="202" t="s">
        <v>582</v>
      </c>
      <c r="AC22" s="579" t="s">
        <v>250</v>
      </c>
      <c r="AD22" s="627"/>
      <c r="AE22" s="627"/>
      <c r="AF22" s="627"/>
      <c r="AG22" s="627"/>
      <c r="AH22" s="627"/>
      <c r="AI22" s="627"/>
      <c r="AJ22" s="628"/>
      <c r="AK22" s="75"/>
      <c r="AL22" s="578" t="s">
        <v>245</v>
      </c>
      <c r="AM22" s="578"/>
      <c r="AN22" s="578"/>
      <c r="AO22" s="578"/>
      <c r="AP22" s="578"/>
      <c r="AQ22" s="578"/>
      <c r="AR22" s="578"/>
      <c r="AS22" s="578"/>
      <c r="AT22" s="75"/>
      <c r="AU22" s="579" t="s">
        <v>248</v>
      </c>
      <c r="AV22" s="580"/>
      <c r="AW22" s="580"/>
      <c r="AX22" s="580"/>
      <c r="AY22" s="580"/>
      <c r="AZ22" s="580"/>
      <c r="BA22" s="580"/>
      <c r="BB22" s="581"/>
      <c r="BD22" s="579" t="s">
        <v>250</v>
      </c>
      <c r="BE22" s="627"/>
      <c r="BF22" s="627"/>
      <c r="BG22" s="627"/>
      <c r="BH22" s="627"/>
      <c r="BI22" s="627"/>
      <c r="BJ22" s="627"/>
      <c r="BK22" s="628"/>
      <c r="BL22" s="75"/>
      <c r="BM22" s="578" t="s">
        <v>245</v>
      </c>
      <c r="BN22" s="578"/>
      <c r="BO22" s="578"/>
      <c r="BP22" s="578"/>
      <c r="BQ22" s="578"/>
      <c r="BR22" s="578"/>
      <c r="BS22" s="578"/>
      <c r="BT22" s="578"/>
      <c r="BU22" s="75"/>
      <c r="BV22" s="579" t="s">
        <v>248</v>
      </c>
      <c r="BW22" s="580"/>
      <c r="BX22" s="580"/>
      <c r="BY22" s="580"/>
      <c r="BZ22" s="580"/>
      <c r="CA22" s="580"/>
      <c r="CB22" s="580"/>
      <c r="CC22" s="581"/>
    </row>
    <row r="23" spans="1:81" x14ac:dyDescent="0.25">
      <c r="AC23" s="10"/>
      <c r="AD23" s="11"/>
      <c r="AE23" s="10"/>
      <c r="AF23" s="11"/>
      <c r="AG23" s="21"/>
      <c r="AH23" s="55"/>
      <c r="AI23" s="82"/>
      <c r="AJ23" s="79"/>
      <c r="AK23" s="75"/>
      <c r="AL23" s="23" t="s">
        <v>181</v>
      </c>
      <c r="AM23" s="12">
        <v>1</v>
      </c>
      <c r="AN23" s="23" t="s">
        <v>184</v>
      </c>
      <c r="AO23" s="12" t="s">
        <v>344</v>
      </c>
      <c r="AP23" s="22"/>
      <c r="AQ23" s="26"/>
      <c r="AR23" s="57"/>
      <c r="AS23" s="23"/>
      <c r="AT23" s="75"/>
      <c r="AU23" s="10" t="s">
        <v>28</v>
      </c>
      <c r="AV23" s="11">
        <v>1</v>
      </c>
      <c r="AW23" s="10" t="s">
        <v>36</v>
      </c>
      <c r="AX23" s="12" t="s">
        <v>343</v>
      </c>
      <c r="AY23" s="21"/>
      <c r="AZ23" s="22"/>
      <c r="BA23" s="57"/>
      <c r="BB23" s="23"/>
      <c r="BD23" s="10"/>
      <c r="BE23" s="11"/>
      <c r="BF23" s="10"/>
      <c r="BG23" s="11"/>
      <c r="BH23" s="21"/>
      <c r="BI23" s="55"/>
      <c r="BJ23" s="82"/>
      <c r="BK23" s="79"/>
      <c r="BL23" s="75"/>
      <c r="BM23" s="23" t="s">
        <v>181</v>
      </c>
      <c r="BN23" s="12">
        <v>1</v>
      </c>
      <c r="BO23" s="23" t="s">
        <v>184</v>
      </c>
      <c r="BP23" s="12" t="s">
        <v>337</v>
      </c>
      <c r="BQ23" s="22"/>
      <c r="BR23" s="26"/>
      <c r="BS23" s="57"/>
      <c r="BT23" s="23"/>
      <c r="BU23" s="75"/>
      <c r="BV23" s="10" t="s">
        <v>28</v>
      </c>
      <c r="BW23" s="11">
        <v>1</v>
      </c>
      <c r="BX23" s="10" t="s">
        <v>36</v>
      </c>
      <c r="BY23" s="12" t="s">
        <v>339</v>
      </c>
      <c r="BZ23" s="21"/>
      <c r="CA23" s="22"/>
      <c r="CB23" s="57"/>
      <c r="CC23" s="23"/>
    </row>
    <row r="24" spans="1:81" x14ac:dyDescent="0.25">
      <c r="AC24" s="10" t="s">
        <v>251</v>
      </c>
      <c r="AD24" s="11">
        <v>1</v>
      </c>
      <c r="AE24" s="34" t="s">
        <v>258</v>
      </c>
      <c r="AF24" s="12"/>
      <c r="AG24" s="21"/>
      <c r="AH24" s="22"/>
      <c r="AI24" s="62"/>
      <c r="AJ24" s="24"/>
      <c r="AK24" s="75"/>
      <c r="AL24" s="23" t="s">
        <v>181</v>
      </c>
      <c r="AM24" s="12">
        <v>1</v>
      </c>
      <c r="AN24" s="23" t="s">
        <v>185</v>
      </c>
      <c r="AO24" s="12" t="s">
        <v>344</v>
      </c>
      <c r="AP24" s="22"/>
      <c r="AQ24" s="26"/>
      <c r="AR24" s="57"/>
      <c r="AS24" s="23"/>
      <c r="AT24" s="75"/>
      <c r="AU24" s="10" t="s">
        <v>28</v>
      </c>
      <c r="AV24" s="11">
        <v>1</v>
      </c>
      <c r="AW24" s="10" t="s">
        <v>34</v>
      </c>
      <c r="AX24" s="12" t="s">
        <v>343</v>
      </c>
      <c r="AY24" s="21"/>
      <c r="AZ24" s="22"/>
      <c r="BA24" s="57"/>
      <c r="BB24" s="23"/>
      <c r="BD24" s="10" t="s">
        <v>251</v>
      </c>
      <c r="BE24" s="11">
        <v>1</v>
      </c>
      <c r="BF24" s="34" t="s">
        <v>258</v>
      </c>
      <c r="BG24" s="12"/>
      <c r="BH24" s="21"/>
      <c r="BI24" s="22"/>
      <c r="BJ24" s="62"/>
      <c r="BK24" s="24"/>
      <c r="BL24" s="75"/>
      <c r="BM24" s="23" t="s">
        <v>181</v>
      </c>
      <c r="BN24" s="12">
        <v>1</v>
      </c>
      <c r="BO24" s="23" t="s">
        <v>185</v>
      </c>
      <c r="BP24" s="12" t="s">
        <v>337</v>
      </c>
      <c r="BQ24" s="22"/>
      <c r="BR24" s="26"/>
      <c r="BS24" s="57"/>
      <c r="BT24" s="23"/>
      <c r="BU24" s="75"/>
      <c r="BV24" s="10" t="s">
        <v>28</v>
      </c>
      <c r="BW24" s="11">
        <v>1</v>
      </c>
      <c r="BX24" s="10" t="s">
        <v>34</v>
      </c>
      <c r="BY24" s="12" t="s">
        <v>339</v>
      </c>
      <c r="BZ24" s="21"/>
      <c r="CA24" s="22"/>
      <c r="CB24" s="57"/>
      <c r="CC24" s="23"/>
    </row>
    <row r="25" spans="1:81" x14ac:dyDescent="0.25">
      <c r="AC25" s="10" t="s">
        <v>82</v>
      </c>
      <c r="AD25" s="11">
        <v>1</v>
      </c>
      <c r="AE25" s="34" t="s">
        <v>254</v>
      </c>
      <c r="AF25" s="12"/>
      <c r="AG25" s="21"/>
      <c r="AH25" s="22"/>
      <c r="AI25" s="62"/>
      <c r="AJ25" s="24"/>
      <c r="AK25" s="75"/>
      <c r="AL25" s="23" t="s">
        <v>181</v>
      </c>
      <c r="AM25" s="12">
        <v>1</v>
      </c>
      <c r="AN25" s="23" t="s">
        <v>183</v>
      </c>
      <c r="AO25" s="12" t="s">
        <v>344</v>
      </c>
      <c r="AP25" s="21"/>
      <c r="AQ25" s="22"/>
      <c r="AR25" s="57"/>
      <c r="AS25" s="23"/>
      <c r="AT25" s="75"/>
      <c r="AU25" s="10" t="s">
        <v>28</v>
      </c>
      <c r="AV25" s="11">
        <v>1</v>
      </c>
      <c r="AW25" s="10" t="s">
        <v>35</v>
      </c>
      <c r="AX25" s="12" t="s">
        <v>343</v>
      </c>
      <c r="AY25" s="21"/>
      <c r="AZ25" s="22"/>
      <c r="BA25" s="57"/>
      <c r="BB25" s="23"/>
      <c r="BD25" s="10" t="s">
        <v>82</v>
      </c>
      <c r="BE25" s="11">
        <v>1</v>
      </c>
      <c r="BF25" s="34" t="s">
        <v>254</v>
      </c>
      <c r="BG25" s="12"/>
      <c r="BH25" s="21"/>
      <c r="BI25" s="22"/>
      <c r="BJ25" s="62"/>
      <c r="BK25" s="24"/>
      <c r="BL25" s="75"/>
      <c r="BM25" s="23" t="s">
        <v>181</v>
      </c>
      <c r="BN25" s="12">
        <v>1</v>
      </c>
      <c r="BO25" s="23" t="s">
        <v>183</v>
      </c>
      <c r="BP25" s="12" t="s">
        <v>337</v>
      </c>
      <c r="BQ25" s="21"/>
      <c r="BR25" s="22"/>
      <c r="BS25" s="57"/>
      <c r="BT25" s="23"/>
      <c r="BU25" s="75"/>
      <c r="BV25" s="10" t="s">
        <v>28</v>
      </c>
      <c r="BW25" s="11">
        <v>1</v>
      </c>
      <c r="BX25" s="10" t="s">
        <v>35</v>
      </c>
      <c r="BY25" s="12" t="s">
        <v>339</v>
      </c>
      <c r="BZ25" s="21"/>
      <c r="CA25" s="22"/>
      <c r="CB25" s="57"/>
      <c r="CC25" s="23"/>
    </row>
    <row r="26" spans="1:81" x14ac:dyDescent="0.25">
      <c r="AC26" s="10"/>
      <c r="AD26" s="11">
        <v>1</v>
      </c>
      <c r="AE26" s="34" t="s">
        <v>255</v>
      </c>
      <c r="AF26" s="12"/>
      <c r="AG26" s="21"/>
      <c r="AH26" s="22"/>
      <c r="AI26" s="62"/>
      <c r="AJ26" s="24"/>
      <c r="AK26" s="75"/>
      <c r="AL26" s="23" t="s">
        <v>181</v>
      </c>
      <c r="AM26" s="12">
        <v>1</v>
      </c>
      <c r="AN26" s="23" t="s">
        <v>182</v>
      </c>
      <c r="AO26" s="12" t="s">
        <v>344</v>
      </c>
      <c r="AP26" s="21"/>
      <c r="AQ26" s="22"/>
      <c r="AR26" s="57"/>
      <c r="AS26" s="23"/>
      <c r="AT26" s="75"/>
      <c r="AU26" s="10" t="s">
        <v>28</v>
      </c>
      <c r="AV26" s="11">
        <v>1</v>
      </c>
      <c r="AW26" s="10" t="s">
        <v>40</v>
      </c>
      <c r="AX26" s="12" t="s">
        <v>343</v>
      </c>
      <c r="AY26" s="21"/>
      <c r="AZ26" s="22"/>
      <c r="BA26" s="57"/>
      <c r="BB26" s="23"/>
      <c r="BD26" s="10"/>
      <c r="BE26" s="11">
        <v>1</v>
      </c>
      <c r="BF26" s="34" t="s">
        <v>255</v>
      </c>
      <c r="BG26" s="12"/>
      <c r="BH26" s="21"/>
      <c r="BI26" s="22"/>
      <c r="BJ26" s="62"/>
      <c r="BK26" s="24"/>
      <c r="BL26" s="75"/>
      <c r="BM26" s="23" t="s">
        <v>181</v>
      </c>
      <c r="BN26" s="12">
        <v>1</v>
      </c>
      <c r="BO26" s="23" t="s">
        <v>182</v>
      </c>
      <c r="BP26" s="12" t="s">
        <v>337</v>
      </c>
      <c r="BQ26" s="21"/>
      <c r="BR26" s="22"/>
      <c r="BS26" s="57"/>
      <c r="BT26" s="23"/>
      <c r="BU26" s="75"/>
      <c r="BV26" s="10" t="s">
        <v>28</v>
      </c>
      <c r="BW26" s="11">
        <v>1</v>
      </c>
      <c r="BX26" s="10" t="s">
        <v>40</v>
      </c>
      <c r="BY26" s="12" t="s">
        <v>339</v>
      </c>
      <c r="BZ26" s="21"/>
      <c r="CA26" s="22"/>
      <c r="CB26" s="57"/>
      <c r="CC26" s="23"/>
    </row>
    <row r="27" spans="1:81" x14ac:dyDescent="0.25">
      <c r="AC27" s="10"/>
      <c r="AD27" s="11">
        <v>1</v>
      </c>
      <c r="AE27" s="34" t="s">
        <v>256</v>
      </c>
      <c r="AF27" s="12"/>
      <c r="AG27" s="21"/>
      <c r="AH27" s="22"/>
      <c r="AI27" s="62"/>
      <c r="AJ27" s="24"/>
      <c r="AK27" s="75"/>
      <c r="AL27" s="23" t="s">
        <v>181</v>
      </c>
      <c r="AM27" s="12">
        <v>1</v>
      </c>
      <c r="AN27" s="23" t="s">
        <v>186</v>
      </c>
      <c r="AO27" s="12" t="s">
        <v>344</v>
      </c>
      <c r="AP27" s="21"/>
      <c r="AQ27" s="22"/>
      <c r="AR27" s="57"/>
      <c r="AS27" s="23"/>
      <c r="AT27" s="75"/>
      <c r="AU27" s="10" t="s">
        <v>28</v>
      </c>
      <c r="AV27" s="11">
        <v>1</v>
      </c>
      <c r="AW27" s="10" t="s">
        <v>43</v>
      </c>
      <c r="AX27" s="12" t="s">
        <v>343</v>
      </c>
      <c r="AY27" s="21"/>
      <c r="AZ27" s="22"/>
      <c r="BA27" s="57"/>
      <c r="BB27" s="23"/>
      <c r="BD27" s="10"/>
      <c r="BE27" s="11">
        <v>1</v>
      </c>
      <c r="BF27" s="34" t="s">
        <v>256</v>
      </c>
      <c r="BG27" s="12"/>
      <c r="BH27" s="21"/>
      <c r="BI27" s="22"/>
      <c r="BJ27" s="62"/>
      <c r="BK27" s="24"/>
      <c r="BL27" s="75"/>
      <c r="BM27" s="23" t="s">
        <v>181</v>
      </c>
      <c r="BN27" s="12">
        <v>1</v>
      </c>
      <c r="BO27" s="23" t="s">
        <v>186</v>
      </c>
      <c r="BP27" s="12" t="s">
        <v>337</v>
      </c>
      <c r="BQ27" s="21"/>
      <c r="BR27" s="22"/>
      <c r="BS27" s="57"/>
      <c r="BT27" s="23"/>
      <c r="BU27" s="75"/>
      <c r="BV27" s="10" t="s">
        <v>28</v>
      </c>
      <c r="BW27" s="11">
        <v>1</v>
      </c>
      <c r="BX27" s="10" t="s">
        <v>43</v>
      </c>
      <c r="BY27" s="12" t="s">
        <v>339</v>
      </c>
      <c r="BZ27" s="21"/>
      <c r="CA27" s="22"/>
      <c r="CB27" s="57"/>
      <c r="CC27" s="23"/>
    </row>
    <row r="28" spans="1:81" x14ac:dyDescent="0.25">
      <c r="AC28" s="10"/>
      <c r="AD28" s="11">
        <v>1</v>
      </c>
      <c r="AE28" s="34" t="s">
        <v>90</v>
      </c>
      <c r="AF28" s="12"/>
      <c r="AG28" s="21"/>
      <c r="AH28" s="22"/>
      <c r="AI28" s="62"/>
      <c r="AJ28" s="24"/>
      <c r="AK28" s="75"/>
      <c r="AL28" s="23" t="s">
        <v>181</v>
      </c>
      <c r="AM28" s="12">
        <v>1</v>
      </c>
      <c r="AN28" s="23" t="s">
        <v>187</v>
      </c>
      <c r="AO28" s="12" t="s">
        <v>344</v>
      </c>
      <c r="AP28" s="21"/>
      <c r="AQ28" s="26"/>
      <c r="AR28" s="57"/>
      <c r="AS28" s="23"/>
      <c r="AT28" s="75"/>
      <c r="AU28" s="10" t="s">
        <v>28</v>
      </c>
      <c r="AV28" s="11">
        <v>1</v>
      </c>
      <c r="AW28" s="10" t="s">
        <v>45</v>
      </c>
      <c r="AX28" s="12" t="s">
        <v>343</v>
      </c>
      <c r="AY28" s="25"/>
      <c r="AZ28" s="26"/>
      <c r="BA28" s="57"/>
      <c r="BB28" s="23"/>
      <c r="BD28" s="10"/>
      <c r="BE28" s="11">
        <v>1</v>
      </c>
      <c r="BF28" s="34" t="s">
        <v>90</v>
      </c>
      <c r="BG28" s="12"/>
      <c r="BH28" s="21"/>
      <c r="BI28" s="22"/>
      <c r="BJ28" s="62"/>
      <c r="BK28" s="24"/>
      <c r="BL28" s="75"/>
      <c r="BM28" s="23" t="s">
        <v>181</v>
      </c>
      <c r="BN28" s="12">
        <v>1</v>
      </c>
      <c r="BO28" s="23" t="s">
        <v>187</v>
      </c>
      <c r="BP28" s="12" t="s">
        <v>337</v>
      </c>
      <c r="BQ28" s="21"/>
      <c r="BR28" s="26"/>
      <c r="BS28" s="57"/>
      <c r="BT28" s="23"/>
      <c r="BU28" s="75"/>
      <c r="BV28" s="10" t="s">
        <v>28</v>
      </c>
      <c r="BW28" s="11">
        <v>1</v>
      </c>
      <c r="BX28" s="10" t="s">
        <v>45</v>
      </c>
      <c r="BY28" s="12" t="s">
        <v>339</v>
      </c>
      <c r="BZ28" s="25"/>
      <c r="CA28" s="26"/>
      <c r="CB28" s="57"/>
      <c r="CC28" s="23"/>
    </row>
    <row r="29" spans="1:81" x14ac:dyDescent="0.25">
      <c r="AC29" s="10" t="s">
        <v>252</v>
      </c>
      <c r="AD29" s="11">
        <v>1</v>
      </c>
      <c r="AE29" s="34" t="s">
        <v>257</v>
      </c>
      <c r="AF29" s="12"/>
      <c r="AG29" s="25"/>
      <c r="AH29" s="26"/>
      <c r="AI29" s="60"/>
      <c r="AJ29" s="13"/>
      <c r="AK29" s="75"/>
      <c r="AL29" s="23" t="s">
        <v>181</v>
      </c>
      <c r="AM29" s="12">
        <v>1</v>
      </c>
      <c r="AN29" s="23" t="s">
        <v>188</v>
      </c>
      <c r="AO29" s="12" t="s">
        <v>344</v>
      </c>
      <c r="AP29" s="15"/>
      <c r="AQ29" s="26"/>
      <c r="AR29" s="57"/>
      <c r="AS29" s="23"/>
      <c r="AT29" s="75"/>
      <c r="AU29" s="10" t="s">
        <v>28</v>
      </c>
      <c r="AV29" s="11">
        <v>1</v>
      </c>
      <c r="AW29" s="10" t="s">
        <v>48</v>
      </c>
      <c r="AX29" s="12" t="s">
        <v>343</v>
      </c>
      <c r="AY29" s="22"/>
      <c r="AZ29" s="26"/>
      <c r="BA29" s="57"/>
      <c r="BB29" s="23"/>
      <c r="BD29" s="10" t="s">
        <v>252</v>
      </c>
      <c r="BE29" s="11">
        <v>1</v>
      </c>
      <c r="BF29" s="34" t="s">
        <v>257</v>
      </c>
      <c r="BG29" s="12"/>
      <c r="BH29" s="25"/>
      <c r="BI29" s="26"/>
      <c r="BJ29" s="60"/>
      <c r="BK29" s="13"/>
      <c r="BL29" s="75"/>
      <c r="BM29" s="23" t="s">
        <v>181</v>
      </c>
      <c r="BN29" s="12">
        <v>1</v>
      </c>
      <c r="BO29" s="23" t="s">
        <v>188</v>
      </c>
      <c r="BP29" s="12" t="s">
        <v>337</v>
      </c>
      <c r="BQ29" s="15"/>
      <c r="BR29" s="26"/>
      <c r="BS29" s="57"/>
      <c r="BT29" s="23"/>
      <c r="BU29" s="75"/>
      <c r="BV29" s="10" t="s">
        <v>28</v>
      </c>
      <c r="BW29" s="11">
        <v>1</v>
      </c>
      <c r="BX29" s="10" t="s">
        <v>48</v>
      </c>
      <c r="BY29" s="12" t="s">
        <v>339</v>
      </c>
      <c r="BZ29" s="22"/>
      <c r="CA29" s="26"/>
      <c r="CB29" s="57"/>
      <c r="CC29" s="23"/>
    </row>
    <row r="30" spans="1:81" x14ac:dyDescent="0.25">
      <c r="AC30" s="10" t="s">
        <v>114</v>
      </c>
      <c r="AD30" s="11">
        <v>1</v>
      </c>
      <c r="AE30" s="34" t="s">
        <v>242</v>
      </c>
      <c r="AF30" s="12"/>
      <c r="AG30" s="22"/>
      <c r="AH30" s="26"/>
      <c r="AI30" s="60"/>
      <c r="AJ30" s="13"/>
      <c r="AK30" s="75"/>
      <c r="AL30" s="23" t="s">
        <v>181</v>
      </c>
      <c r="AM30" s="12">
        <v>1</v>
      </c>
      <c r="AN30" s="23" t="s">
        <v>189</v>
      </c>
      <c r="AO30" s="12" t="s">
        <v>344</v>
      </c>
      <c r="AP30" s="21"/>
      <c r="AQ30" s="26"/>
      <c r="AR30" s="57"/>
      <c r="AS30" s="23"/>
      <c r="AT30" s="75"/>
      <c r="AU30" s="10" t="s">
        <v>28</v>
      </c>
      <c r="AV30" s="11">
        <v>1</v>
      </c>
      <c r="AW30" s="10" t="s">
        <v>51</v>
      </c>
      <c r="AX30" s="12" t="s">
        <v>343</v>
      </c>
      <c r="AY30" s="22"/>
      <c r="AZ30" s="26"/>
      <c r="BA30" s="57"/>
      <c r="BB30" s="23"/>
      <c r="BD30" s="10" t="s">
        <v>114</v>
      </c>
      <c r="BE30" s="11">
        <v>1</v>
      </c>
      <c r="BF30" s="34" t="s">
        <v>242</v>
      </c>
      <c r="BG30" s="12"/>
      <c r="BH30" s="22"/>
      <c r="BI30" s="26"/>
      <c r="BJ30" s="60"/>
      <c r="BK30" s="13"/>
      <c r="BL30" s="75"/>
      <c r="BM30" s="23" t="s">
        <v>181</v>
      </c>
      <c r="BN30" s="12">
        <v>1</v>
      </c>
      <c r="BO30" s="23" t="s">
        <v>189</v>
      </c>
      <c r="BP30" s="12" t="s">
        <v>337</v>
      </c>
      <c r="BQ30" s="21"/>
      <c r="BR30" s="26"/>
      <c r="BS30" s="57"/>
      <c r="BT30" s="23"/>
      <c r="BU30" s="75"/>
      <c r="BV30" s="10" t="s">
        <v>28</v>
      </c>
      <c r="BW30" s="11">
        <v>1</v>
      </c>
      <c r="BX30" s="10" t="s">
        <v>51</v>
      </c>
      <c r="BY30" s="12" t="s">
        <v>339</v>
      </c>
      <c r="BZ30" s="22"/>
      <c r="CA30" s="26"/>
      <c r="CB30" s="57"/>
      <c r="CC30" s="23"/>
    </row>
    <row r="31" spans="1:81" x14ac:dyDescent="0.25">
      <c r="AC31" s="10" t="s">
        <v>85</v>
      </c>
      <c r="AD31" s="11">
        <v>1</v>
      </c>
      <c r="AE31" s="34" t="s">
        <v>253</v>
      </c>
      <c r="AF31" s="12"/>
      <c r="AG31" s="22"/>
      <c r="AH31" s="26"/>
      <c r="AI31" s="60"/>
      <c r="AJ31" s="13"/>
      <c r="AK31" s="75"/>
      <c r="AL31" s="23" t="s">
        <v>181</v>
      </c>
      <c r="AM31" s="12">
        <v>1</v>
      </c>
      <c r="AN31" s="23" t="s">
        <v>190</v>
      </c>
      <c r="AO31" s="12" t="s">
        <v>344</v>
      </c>
      <c r="AP31" s="15"/>
      <c r="AQ31" s="26"/>
      <c r="AR31" s="57"/>
      <c r="AS31" s="23"/>
      <c r="AT31" s="75"/>
      <c r="AU31" s="10" t="s">
        <v>28</v>
      </c>
      <c r="AV31" s="11">
        <v>1</v>
      </c>
      <c r="AW31" s="10" t="s">
        <v>53</v>
      </c>
      <c r="AX31" s="12" t="s">
        <v>343</v>
      </c>
      <c r="AY31" s="21"/>
      <c r="AZ31" s="26"/>
      <c r="BA31" s="57"/>
      <c r="BB31" s="23"/>
      <c r="BD31" s="10" t="s">
        <v>85</v>
      </c>
      <c r="BE31" s="11">
        <v>1</v>
      </c>
      <c r="BF31" s="34" t="s">
        <v>253</v>
      </c>
      <c r="BG31" s="12"/>
      <c r="BH31" s="22"/>
      <c r="BI31" s="26"/>
      <c r="BJ31" s="60"/>
      <c r="BK31" s="13"/>
      <c r="BL31" s="75"/>
      <c r="BM31" s="23" t="s">
        <v>181</v>
      </c>
      <c r="BN31" s="12">
        <v>1</v>
      </c>
      <c r="BO31" s="23" t="s">
        <v>190</v>
      </c>
      <c r="BP31" s="12" t="s">
        <v>337</v>
      </c>
      <c r="BQ31" s="15"/>
      <c r="BR31" s="26"/>
      <c r="BS31" s="57"/>
      <c r="BT31" s="23"/>
      <c r="BU31" s="75"/>
      <c r="BV31" s="10" t="s">
        <v>28</v>
      </c>
      <c r="BW31" s="11">
        <v>1</v>
      </c>
      <c r="BX31" s="10" t="s">
        <v>53</v>
      </c>
      <c r="BY31" s="12" t="s">
        <v>339</v>
      </c>
      <c r="BZ31" s="21"/>
      <c r="CA31" s="26"/>
      <c r="CB31" s="57"/>
      <c r="CC31" s="23"/>
    </row>
    <row r="32" spans="1:81" x14ac:dyDescent="0.25">
      <c r="AC32" s="10"/>
      <c r="AD32" s="11"/>
      <c r="AE32" s="10"/>
      <c r="AF32" s="12"/>
      <c r="AG32" s="21"/>
      <c r="AH32" s="26"/>
      <c r="AI32" s="60"/>
      <c r="AJ32" s="13"/>
      <c r="AK32" s="75"/>
      <c r="AL32" s="23" t="s">
        <v>181</v>
      </c>
      <c r="AM32" s="12">
        <v>1</v>
      </c>
      <c r="AN32" s="23" t="s">
        <v>191</v>
      </c>
      <c r="AO32" s="12" t="s">
        <v>344</v>
      </c>
      <c r="AP32" s="15"/>
      <c r="AQ32" s="26"/>
      <c r="AR32" s="57"/>
      <c r="AS32" s="23"/>
      <c r="AT32" s="75"/>
      <c r="AU32" s="10" t="s">
        <v>28</v>
      </c>
      <c r="AV32" s="11">
        <v>1</v>
      </c>
      <c r="AW32" s="10" t="s">
        <v>56</v>
      </c>
      <c r="AX32" s="12" t="s">
        <v>343</v>
      </c>
      <c r="AY32" s="15"/>
      <c r="AZ32" s="26"/>
      <c r="BA32" s="57"/>
      <c r="BB32" s="23"/>
      <c r="BD32" s="10"/>
      <c r="BE32" s="11"/>
      <c r="BF32" s="10"/>
      <c r="BG32" s="12"/>
      <c r="BH32" s="21"/>
      <c r="BI32" s="26"/>
      <c r="BJ32" s="60"/>
      <c r="BK32" s="13"/>
      <c r="BL32" s="75"/>
      <c r="BM32" s="23" t="s">
        <v>181</v>
      </c>
      <c r="BN32" s="12">
        <v>1</v>
      </c>
      <c r="BO32" s="23" t="s">
        <v>191</v>
      </c>
      <c r="BP32" s="12" t="s">
        <v>337</v>
      </c>
      <c r="BQ32" s="15"/>
      <c r="BR32" s="26"/>
      <c r="BS32" s="57"/>
      <c r="BT32" s="23"/>
      <c r="BU32" s="75"/>
      <c r="BV32" s="10" t="s">
        <v>28</v>
      </c>
      <c r="BW32" s="11">
        <v>1</v>
      </c>
      <c r="BX32" s="10" t="s">
        <v>56</v>
      </c>
      <c r="BY32" s="12" t="s">
        <v>339</v>
      </c>
      <c r="BZ32" s="15"/>
      <c r="CA32" s="26"/>
      <c r="CB32" s="57"/>
      <c r="CC32" s="23"/>
    </row>
    <row r="33" spans="29:81" x14ac:dyDescent="0.25">
      <c r="AC33" s="10"/>
      <c r="AD33" s="11"/>
      <c r="AE33" s="10"/>
      <c r="AF33" s="12"/>
      <c r="AG33" s="15"/>
      <c r="AH33" s="26"/>
      <c r="AI33" s="60"/>
      <c r="AJ33" s="13"/>
      <c r="AK33" s="75"/>
      <c r="AL33" s="23" t="s">
        <v>181</v>
      </c>
      <c r="AM33" s="12">
        <v>1</v>
      </c>
      <c r="AN33" s="23" t="s">
        <v>192</v>
      </c>
      <c r="AO33" s="12" t="s">
        <v>344</v>
      </c>
      <c r="AP33" s="13"/>
      <c r="AQ33" s="13"/>
      <c r="AR33" s="57"/>
      <c r="AS33" s="23"/>
      <c r="AT33" s="75"/>
      <c r="AU33" s="10" t="s">
        <v>28</v>
      </c>
      <c r="AV33" s="11">
        <v>1</v>
      </c>
      <c r="AW33" s="10" t="s">
        <v>59</v>
      </c>
      <c r="AX33" s="12" t="s">
        <v>343</v>
      </c>
      <c r="AY33" s="15"/>
      <c r="AZ33" s="26"/>
      <c r="BA33" s="57"/>
      <c r="BB33" s="23"/>
      <c r="BD33" s="10"/>
      <c r="BE33" s="11"/>
      <c r="BF33" s="10"/>
      <c r="BG33" s="12"/>
      <c r="BH33" s="15"/>
      <c r="BI33" s="26"/>
      <c r="BJ33" s="60"/>
      <c r="BK33" s="13"/>
      <c r="BL33" s="75"/>
      <c r="BM33" s="23" t="s">
        <v>181</v>
      </c>
      <c r="BN33" s="12">
        <v>1</v>
      </c>
      <c r="BO33" s="23" t="s">
        <v>192</v>
      </c>
      <c r="BP33" s="12" t="s">
        <v>337</v>
      </c>
      <c r="BQ33" s="13"/>
      <c r="BR33" s="13"/>
      <c r="BS33" s="57"/>
      <c r="BT33" s="23"/>
      <c r="BU33" s="75"/>
      <c r="BV33" s="10" t="s">
        <v>28</v>
      </c>
      <c r="BW33" s="11">
        <v>1</v>
      </c>
      <c r="BX33" s="10" t="s">
        <v>59</v>
      </c>
      <c r="BY33" s="12" t="s">
        <v>339</v>
      </c>
      <c r="BZ33" s="15"/>
      <c r="CA33" s="26"/>
      <c r="CB33" s="57"/>
      <c r="CC33" s="23"/>
    </row>
    <row r="34" spans="29:81" x14ac:dyDescent="0.25">
      <c r="AC34" s="10"/>
      <c r="AD34" s="11"/>
      <c r="AE34" s="10"/>
      <c r="AF34" s="12"/>
      <c r="AG34" s="15"/>
      <c r="AH34" s="26"/>
      <c r="AI34" s="60"/>
      <c r="AJ34" s="13"/>
      <c r="AK34" s="75"/>
      <c r="AL34" s="23" t="s">
        <v>181</v>
      </c>
      <c r="AM34" s="12">
        <v>1</v>
      </c>
      <c r="AN34" s="23" t="s">
        <v>193</v>
      </c>
      <c r="AO34" s="12" t="s">
        <v>344</v>
      </c>
      <c r="AP34" s="13"/>
      <c r="AQ34" s="13"/>
      <c r="AR34" s="57"/>
      <c r="AS34" s="23"/>
      <c r="AT34" s="75"/>
      <c r="AU34" s="10" t="s">
        <v>28</v>
      </c>
      <c r="AV34" s="11">
        <v>1</v>
      </c>
      <c r="AW34" s="10" t="s">
        <v>61</v>
      </c>
      <c r="AX34" s="12" t="s">
        <v>343</v>
      </c>
      <c r="AY34" s="15"/>
      <c r="AZ34" s="26"/>
      <c r="BA34" s="57"/>
      <c r="BB34" s="23"/>
      <c r="BD34" s="10"/>
      <c r="BE34" s="11"/>
      <c r="BF34" s="10"/>
      <c r="BG34" s="12"/>
      <c r="BH34" s="15"/>
      <c r="BI34" s="26"/>
      <c r="BJ34" s="60"/>
      <c r="BK34" s="13"/>
      <c r="BL34" s="75"/>
      <c r="BM34" s="23" t="s">
        <v>181</v>
      </c>
      <c r="BN34" s="12">
        <v>1</v>
      </c>
      <c r="BO34" s="23" t="s">
        <v>193</v>
      </c>
      <c r="BP34" s="12" t="s">
        <v>337</v>
      </c>
      <c r="BQ34" s="13"/>
      <c r="BR34" s="13"/>
      <c r="BS34" s="57"/>
      <c r="BT34" s="23"/>
      <c r="BU34" s="75"/>
      <c r="BV34" s="10" t="s">
        <v>28</v>
      </c>
      <c r="BW34" s="11">
        <v>1</v>
      </c>
      <c r="BX34" s="10" t="s">
        <v>61</v>
      </c>
      <c r="BY34" s="12" t="s">
        <v>339</v>
      </c>
      <c r="BZ34" s="15"/>
      <c r="CA34" s="26"/>
      <c r="CB34" s="57"/>
      <c r="CC34" s="23"/>
    </row>
    <row r="35" spans="29:81" x14ac:dyDescent="0.25">
      <c r="AC35" s="10"/>
      <c r="AD35" s="11"/>
      <c r="AE35" s="10"/>
      <c r="AF35" s="12"/>
      <c r="AG35" s="15"/>
      <c r="AH35" s="26"/>
      <c r="AI35" s="60"/>
      <c r="AJ35" s="13"/>
      <c r="AK35" s="75"/>
      <c r="AL35" s="23" t="s">
        <v>181</v>
      </c>
      <c r="AM35" s="12">
        <v>1</v>
      </c>
      <c r="AN35" s="23" t="s">
        <v>194</v>
      </c>
      <c r="AO35" s="12" t="s">
        <v>344</v>
      </c>
      <c r="AP35" s="13"/>
      <c r="AQ35" s="13"/>
      <c r="AR35" s="57"/>
      <c r="AS35" s="23"/>
      <c r="AT35" s="75"/>
      <c r="AU35" s="10" t="s">
        <v>28</v>
      </c>
      <c r="AV35" s="11">
        <v>1</v>
      </c>
      <c r="AW35" s="10" t="s">
        <v>64</v>
      </c>
      <c r="AX35" s="12" t="s">
        <v>343</v>
      </c>
      <c r="AY35" s="15"/>
      <c r="AZ35" s="26"/>
      <c r="BA35" s="57"/>
      <c r="BB35" s="23"/>
      <c r="BD35" s="10"/>
      <c r="BE35" s="11"/>
      <c r="BF35" s="10"/>
      <c r="BG35" s="12"/>
      <c r="BH35" s="15"/>
      <c r="BI35" s="26"/>
      <c r="BJ35" s="60"/>
      <c r="BK35" s="13"/>
      <c r="BL35" s="75"/>
      <c r="BM35" s="23" t="s">
        <v>181</v>
      </c>
      <c r="BN35" s="12">
        <v>1</v>
      </c>
      <c r="BO35" s="23" t="s">
        <v>194</v>
      </c>
      <c r="BP35" s="12" t="s">
        <v>337</v>
      </c>
      <c r="BQ35" s="13"/>
      <c r="BR35" s="13"/>
      <c r="BS35" s="57"/>
      <c r="BT35" s="23"/>
      <c r="BU35" s="75"/>
      <c r="BV35" s="10" t="s">
        <v>28</v>
      </c>
      <c r="BW35" s="11">
        <v>1</v>
      </c>
      <c r="BX35" s="10" t="s">
        <v>64</v>
      </c>
      <c r="BY35" s="12" t="s">
        <v>339</v>
      </c>
      <c r="BZ35" s="15"/>
      <c r="CA35" s="26"/>
      <c r="CB35" s="57"/>
      <c r="CC35" s="23"/>
    </row>
    <row r="36" spans="29:81" x14ac:dyDescent="0.25">
      <c r="AC36" s="10"/>
      <c r="AD36" s="11"/>
      <c r="AE36" s="10"/>
      <c r="AF36" s="12"/>
      <c r="AG36" s="15"/>
      <c r="AH36" s="26"/>
      <c r="AI36" s="60"/>
      <c r="AJ36" s="13"/>
      <c r="AK36" s="75"/>
      <c r="AL36" s="23" t="s">
        <v>181</v>
      </c>
      <c r="AM36" s="12">
        <v>1</v>
      </c>
      <c r="AN36" s="23" t="s">
        <v>195</v>
      </c>
      <c r="AO36" s="12" t="s">
        <v>344</v>
      </c>
      <c r="AP36" s="13"/>
      <c r="AQ36" s="13"/>
      <c r="AR36" s="57"/>
      <c r="AS36" s="23"/>
      <c r="AT36" s="75"/>
      <c r="AU36" s="10" t="s">
        <v>28</v>
      </c>
      <c r="AV36" s="11">
        <v>1</v>
      </c>
      <c r="AW36" s="10" t="s">
        <v>67</v>
      </c>
      <c r="AX36" s="12" t="s">
        <v>343</v>
      </c>
      <c r="AY36" s="15"/>
      <c r="AZ36" s="26"/>
      <c r="BA36" s="57"/>
      <c r="BB36" s="23"/>
      <c r="BD36" s="10"/>
      <c r="BE36" s="11"/>
      <c r="BF36" s="10"/>
      <c r="BG36" s="12"/>
      <c r="BH36" s="15"/>
      <c r="BI36" s="26"/>
      <c r="BJ36" s="60"/>
      <c r="BK36" s="13"/>
      <c r="BL36" s="75"/>
      <c r="BM36" s="23" t="s">
        <v>181</v>
      </c>
      <c r="BN36" s="12">
        <v>1</v>
      </c>
      <c r="BO36" s="23" t="s">
        <v>195</v>
      </c>
      <c r="BP36" s="12" t="s">
        <v>337</v>
      </c>
      <c r="BQ36" s="13"/>
      <c r="BR36" s="13"/>
      <c r="BS36" s="57"/>
      <c r="BT36" s="23"/>
      <c r="BU36" s="75"/>
      <c r="BV36" s="10" t="s">
        <v>28</v>
      </c>
      <c r="BW36" s="11">
        <v>1</v>
      </c>
      <c r="BX36" s="10" t="s">
        <v>67</v>
      </c>
      <c r="BY36" s="12" t="s">
        <v>339</v>
      </c>
      <c r="BZ36" s="15"/>
      <c r="CA36" s="26"/>
      <c r="CB36" s="57"/>
      <c r="CC36" s="23"/>
    </row>
    <row r="37" spans="29:81" ht="15.75" x14ac:dyDescent="0.25">
      <c r="AC37" s="10"/>
      <c r="AD37" s="11"/>
      <c r="AE37" s="47"/>
      <c r="AF37" s="48"/>
      <c r="AG37" s="49"/>
      <c r="AH37" s="50"/>
      <c r="AI37" s="61"/>
      <c r="AJ37" s="51"/>
      <c r="AK37" s="75"/>
      <c r="AL37" s="23" t="s">
        <v>181</v>
      </c>
      <c r="AM37" s="12">
        <v>1</v>
      </c>
      <c r="AN37" s="23" t="s">
        <v>196</v>
      </c>
      <c r="AO37" s="12" t="s">
        <v>344</v>
      </c>
      <c r="AP37" s="13"/>
      <c r="AQ37" s="13"/>
      <c r="AR37" s="57"/>
      <c r="AS37" s="23"/>
      <c r="AT37" s="75"/>
      <c r="AU37" s="10" t="s">
        <v>28</v>
      </c>
      <c r="AV37" s="11">
        <v>1</v>
      </c>
      <c r="AW37" s="10" t="s">
        <v>70</v>
      </c>
      <c r="AX37" s="12" t="s">
        <v>343</v>
      </c>
      <c r="AY37" s="15"/>
      <c r="AZ37" s="26"/>
      <c r="BA37" s="57"/>
      <c r="BB37" s="23"/>
      <c r="BD37" s="10"/>
      <c r="BE37" s="11"/>
      <c r="BF37" s="47"/>
      <c r="BG37" s="48"/>
      <c r="BH37" s="49"/>
      <c r="BI37" s="50"/>
      <c r="BJ37" s="61"/>
      <c r="BK37" s="51"/>
      <c r="BL37" s="75"/>
      <c r="BM37" s="23" t="s">
        <v>181</v>
      </c>
      <c r="BN37" s="12">
        <v>1</v>
      </c>
      <c r="BO37" s="23" t="s">
        <v>196</v>
      </c>
      <c r="BP37" s="12" t="s">
        <v>337</v>
      </c>
      <c r="BQ37" s="13"/>
      <c r="BR37" s="13"/>
      <c r="BS37" s="57"/>
      <c r="BT37" s="23"/>
      <c r="BU37" s="75"/>
      <c r="BV37" s="10" t="s">
        <v>28</v>
      </c>
      <c r="BW37" s="11">
        <v>1</v>
      </c>
      <c r="BX37" s="10" t="s">
        <v>70</v>
      </c>
      <c r="BY37" s="12" t="s">
        <v>339</v>
      </c>
      <c r="BZ37" s="15"/>
      <c r="CA37" s="26"/>
      <c r="CB37" s="57"/>
      <c r="CC37" s="23"/>
    </row>
    <row r="38" spans="29:81" x14ac:dyDescent="0.25">
      <c r="AC38" s="10"/>
      <c r="AD38" s="11"/>
      <c r="AE38" s="52"/>
      <c r="AF38" s="48"/>
      <c r="AG38" s="49"/>
      <c r="AH38" s="50"/>
      <c r="AI38" s="61"/>
      <c r="AJ38" s="51"/>
      <c r="AK38" s="75"/>
      <c r="AL38" s="14" t="s">
        <v>181</v>
      </c>
      <c r="AM38" s="12">
        <v>1</v>
      </c>
      <c r="AN38" s="14" t="s">
        <v>197</v>
      </c>
      <c r="AO38" s="12" t="s">
        <v>344</v>
      </c>
      <c r="AP38" s="13"/>
      <c r="AQ38" s="13"/>
      <c r="AR38" s="57"/>
      <c r="AS38" s="23"/>
      <c r="AT38" s="75"/>
      <c r="AU38" s="10" t="s">
        <v>28</v>
      </c>
      <c r="AV38" s="11">
        <v>1</v>
      </c>
      <c r="AW38" s="10" t="s">
        <v>72</v>
      </c>
      <c r="AX38" s="12" t="s">
        <v>343</v>
      </c>
      <c r="AY38" s="15"/>
      <c r="AZ38" s="26"/>
      <c r="BA38" s="57"/>
      <c r="BB38" s="23"/>
      <c r="BD38" s="10"/>
      <c r="BE38" s="11"/>
      <c r="BF38" s="52"/>
      <c r="BG38" s="48"/>
      <c r="BH38" s="49"/>
      <c r="BI38" s="50"/>
      <c r="BJ38" s="61"/>
      <c r="BK38" s="51"/>
      <c r="BL38" s="75"/>
      <c r="BM38" s="14" t="s">
        <v>181</v>
      </c>
      <c r="BN38" s="12">
        <v>1</v>
      </c>
      <c r="BO38" s="14" t="s">
        <v>197</v>
      </c>
      <c r="BP38" s="12" t="s">
        <v>337</v>
      </c>
      <c r="BQ38" s="13"/>
      <c r="BR38" s="13"/>
      <c r="BS38" s="57"/>
      <c r="BT38" s="23"/>
      <c r="BU38" s="75"/>
      <c r="BV38" s="10" t="s">
        <v>28</v>
      </c>
      <c r="BW38" s="11">
        <v>1</v>
      </c>
      <c r="BX38" s="10" t="s">
        <v>72</v>
      </c>
      <c r="BY38" s="12" t="s">
        <v>339</v>
      </c>
      <c r="BZ38" s="15"/>
      <c r="CA38" s="26"/>
      <c r="CB38" s="57"/>
      <c r="CC38" s="23"/>
    </row>
    <row r="39" spans="29:81" ht="23.25" x14ac:dyDescent="0.35">
      <c r="AC39" s="611"/>
      <c r="AD39" s="612"/>
      <c r="AE39" s="612"/>
      <c r="AF39" s="612"/>
      <c r="AG39" s="612"/>
      <c r="AH39" s="612"/>
      <c r="AI39" s="612"/>
      <c r="AJ39" s="613"/>
      <c r="AK39" s="75"/>
      <c r="AL39" s="578" t="s">
        <v>246</v>
      </c>
      <c r="AM39" s="578"/>
      <c r="AN39" s="578"/>
      <c r="AO39" s="578"/>
      <c r="AP39" s="578"/>
      <c r="AQ39" s="578"/>
      <c r="AR39" s="578"/>
      <c r="AS39" s="578"/>
      <c r="AT39" s="75"/>
      <c r="AU39" s="578" t="s">
        <v>278</v>
      </c>
      <c r="AV39" s="578"/>
      <c r="AW39" s="578"/>
      <c r="AX39" s="578"/>
      <c r="AY39" s="578"/>
      <c r="AZ39" s="578"/>
      <c r="BA39" s="578"/>
      <c r="BB39" s="578"/>
      <c r="BD39" s="611"/>
      <c r="BE39" s="612"/>
      <c r="BF39" s="612"/>
      <c r="BG39" s="612"/>
      <c r="BH39" s="612"/>
      <c r="BI39" s="612"/>
      <c r="BJ39" s="612"/>
      <c r="BK39" s="613"/>
      <c r="BL39" s="75"/>
      <c r="BM39" s="578" t="s">
        <v>246</v>
      </c>
      <c r="BN39" s="578"/>
      <c r="BO39" s="578"/>
      <c r="BP39" s="578"/>
      <c r="BQ39" s="578"/>
      <c r="BR39" s="578"/>
      <c r="BS39" s="578"/>
      <c r="BT39" s="578"/>
      <c r="BU39" s="75"/>
      <c r="BV39" s="578" t="s">
        <v>278</v>
      </c>
      <c r="BW39" s="578"/>
      <c r="BX39" s="578"/>
      <c r="BY39" s="578"/>
      <c r="BZ39" s="578"/>
      <c r="CA39" s="578"/>
      <c r="CB39" s="578"/>
      <c r="CC39" s="578"/>
    </row>
    <row r="40" spans="29:81" ht="15.75" x14ac:dyDescent="0.25">
      <c r="AC40" s="10"/>
      <c r="AD40" s="11"/>
      <c r="AE40" s="47" t="s">
        <v>150</v>
      </c>
      <c r="AF40" s="48"/>
      <c r="AG40" s="49"/>
      <c r="AH40" s="50"/>
      <c r="AI40" s="61"/>
      <c r="AJ40" s="51"/>
      <c r="AK40" s="75"/>
      <c r="AL40" s="10" t="s">
        <v>25</v>
      </c>
      <c r="AM40" s="11">
        <v>1</v>
      </c>
      <c r="AN40" s="10" t="s">
        <v>140</v>
      </c>
      <c r="AO40" s="12" t="s">
        <v>344</v>
      </c>
      <c r="AP40" s="22"/>
      <c r="AQ40" s="26"/>
      <c r="AR40" s="56"/>
      <c r="AS40" s="32"/>
      <c r="AT40" s="75"/>
      <c r="AU40" s="10" t="s">
        <v>31</v>
      </c>
      <c r="AV40" s="11">
        <v>1</v>
      </c>
      <c r="AW40" s="10" t="s">
        <v>37</v>
      </c>
      <c r="AX40" s="12" t="s">
        <v>275</v>
      </c>
      <c r="AY40" s="22"/>
      <c r="AZ40" s="26"/>
      <c r="BA40" s="57"/>
      <c r="BB40" s="23"/>
      <c r="BD40" s="10"/>
      <c r="BE40" s="11"/>
      <c r="BF40" s="47" t="s">
        <v>150</v>
      </c>
      <c r="BG40" s="48"/>
      <c r="BH40" s="49"/>
      <c r="BI40" s="50"/>
      <c r="BJ40" s="61"/>
      <c r="BK40" s="51"/>
      <c r="BL40" s="75"/>
      <c r="BM40" s="10" t="s">
        <v>25</v>
      </c>
      <c r="BN40" s="11">
        <v>1</v>
      </c>
      <c r="BO40" s="10" t="s">
        <v>140</v>
      </c>
      <c r="BP40" s="12" t="s">
        <v>337</v>
      </c>
      <c r="BQ40" s="22"/>
      <c r="BR40" s="26"/>
      <c r="BS40" s="56"/>
      <c r="BT40" s="32"/>
      <c r="BU40" s="75"/>
      <c r="BV40" s="10" t="s">
        <v>31</v>
      </c>
      <c r="BW40" s="11">
        <v>1</v>
      </c>
      <c r="BX40" s="10" t="s">
        <v>37</v>
      </c>
      <c r="BY40" s="12" t="s">
        <v>338</v>
      </c>
      <c r="BZ40" s="22"/>
      <c r="CA40" s="26"/>
      <c r="CB40" s="57"/>
      <c r="CC40" s="23"/>
    </row>
    <row r="41" spans="29:81" x14ac:dyDescent="0.25">
      <c r="AC41" s="14"/>
      <c r="AD41" s="12"/>
      <c r="AE41" s="52" t="s">
        <v>152</v>
      </c>
      <c r="AF41" s="48"/>
      <c r="AG41" s="49"/>
      <c r="AH41" s="50"/>
      <c r="AI41" s="61"/>
      <c r="AJ41" s="51"/>
      <c r="AK41" s="75"/>
      <c r="AL41" s="10" t="s">
        <v>25</v>
      </c>
      <c r="AM41" s="11">
        <v>1</v>
      </c>
      <c r="AN41" s="10" t="s">
        <v>142</v>
      </c>
      <c r="AO41" s="12" t="s">
        <v>344</v>
      </c>
      <c r="AP41" s="22"/>
      <c r="AQ41" s="26"/>
      <c r="AR41" s="57"/>
      <c r="AS41" s="23"/>
      <c r="AT41" s="75"/>
      <c r="AU41" s="10" t="s">
        <v>31</v>
      </c>
      <c r="AV41" s="11">
        <v>1</v>
      </c>
      <c r="AW41" s="10" t="s">
        <v>135</v>
      </c>
      <c r="AX41" s="12" t="s">
        <v>275</v>
      </c>
      <c r="AY41" s="22"/>
      <c r="AZ41" s="26"/>
      <c r="BA41" s="57"/>
      <c r="BB41" s="23"/>
      <c r="BD41" s="14"/>
      <c r="BE41" s="12"/>
      <c r="BF41" s="52" t="s">
        <v>152</v>
      </c>
      <c r="BG41" s="48"/>
      <c r="BH41" s="49"/>
      <c r="BI41" s="50"/>
      <c r="BJ41" s="61"/>
      <c r="BK41" s="51"/>
      <c r="BL41" s="75"/>
      <c r="BM41" s="10" t="s">
        <v>25</v>
      </c>
      <c r="BN41" s="11">
        <v>1</v>
      </c>
      <c r="BO41" s="10" t="s">
        <v>142</v>
      </c>
      <c r="BP41" s="12" t="s">
        <v>337</v>
      </c>
      <c r="BQ41" s="22"/>
      <c r="BR41" s="26"/>
      <c r="BS41" s="57"/>
      <c r="BT41" s="23"/>
      <c r="BU41" s="75"/>
      <c r="BV41" s="10" t="s">
        <v>31</v>
      </c>
      <c r="BW41" s="11">
        <v>1</v>
      </c>
      <c r="BX41" s="10" t="s">
        <v>135</v>
      </c>
      <c r="BY41" s="12" t="s">
        <v>338</v>
      </c>
      <c r="BZ41" s="22"/>
      <c r="CA41" s="26"/>
      <c r="CB41" s="57"/>
      <c r="CC41" s="23"/>
    </row>
    <row r="42" spans="29:81" x14ac:dyDescent="0.25">
      <c r="AC42" s="14"/>
      <c r="AD42" s="12"/>
      <c r="AE42" s="52" t="s">
        <v>151</v>
      </c>
      <c r="AF42" s="48"/>
      <c r="AG42" s="53"/>
      <c r="AH42" s="50"/>
      <c r="AI42" s="61"/>
      <c r="AJ42" s="51"/>
      <c r="AK42" s="75"/>
      <c r="AL42" s="10" t="s">
        <v>25</v>
      </c>
      <c r="AM42" s="11">
        <v>1</v>
      </c>
      <c r="AN42" s="10" t="s">
        <v>144</v>
      </c>
      <c r="AO42" s="12" t="s">
        <v>344</v>
      </c>
      <c r="AP42" s="22"/>
      <c r="AQ42" s="22"/>
      <c r="AR42" s="57"/>
      <c r="AS42" s="23"/>
      <c r="AT42" s="75"/>
      <c r="AU42" s="10" t="s">
        <v>31</v>
      </c>
      <c r="AV42" s="11">
        <v>1</v>
      </c>
      <c r="AW42" s="10" t="s">
        <v>38</v>
      </c>
      <c r="AX42" s="12" t="s">
        <v>275</v>
      </c>
      <c r="AY42" s="22"/>
      <c r="AZ42" s="22"/>
      <c r="BA42" s="57"/>
      <c r="BB42" s="23"/>
      <c r="BD42" s="14"/>
      <c r="BE42" s="12"/>
      <c r="BF42" s="52" t="s">
        <v>151</v>
      </c>
      <c r="BG42" s="48"/>
      <c r="BH42" s="53"/>
      <c r="BI42" s="50"/>
      <c r="BJ42" s="61"/>
      <c r="BK42" s="51"/>
      <c r="BL42" s="75"/>
      <c r="BM42" s="10" t="s">
        <v>25</v>
      </c>
      <c r="BN42" s="11">
        <v>1</v>
      </c>
      <c r="BO42" s="10" t="s">
        <v>144</v>
      </c>
      <c r="BP42" s="12" t="s">
        <v>337</v>
      </c>
      <c r="BQ42" s="22"/>
      <c r="BR42" s="22"/>
      <c r="BS42" s="57"/>
      <c r="BT42" s="23"/>
      <c r="BU42" s="75"/>
      <c r="BV42" s="10" t="s">
        <v>31</v>
      </c>
      <c r="BW42" s="11">
        <v>1</v>
      </c>
      <c r="BX42" s="10" t="s">
        <v>38</v>
      </c>
      <c r="BY42" s="12" t="s">
        <v>338</v>
      </c>
      <c r="BZ42" s="22"/>
      <c r="CA42" s="22"/>
      <c r="CB42" s="57"/>
      <c r="CC42" s="23"/>
    </row>
    <row r="43" spans="29:81" x14ac:dyDescent="0.25">
      <c r="AC43" s="14"/>
      <c r="AD43" s="12"/>
      <c r="AE43" s="52" t="s">
        <v>154</v>
      </c>
      <c r="AF43" s="48"/>
      <c r="AG43" s="54"/>
      <c r="AH43" s="50"/>
      <c r="AI43" s="61"/>
      <c r="AJ43" s="51"/>
      <c r="AK43" s="75"/>
      <c r="AL43" s="10" t="s">
        <v>25</v>
      </c>
      <c r="AM43" s="11">
        <v>1</v>
      </c>
      <c r="AN43" s="10" t="s">
        <v>146</v>
      </c>
      <c r="AO43" s="12" t="s">
        <v>344</v>
      </c>
      <c r="AP43" s="21"/>
      <c r="AQ43" s="22"/>
      <c r="AR43" s="57"/>
      <c r="AS43" s="23"/>
      <c r="AT43" s="75"/>
      <c r="AU43" s="10" t="s">
        <v>31</v>
      </c>
      <c r="AV43" s="11">
        <v>1</v>
      </c>
      <c r="AW43" s="10" t="s">
        <v>41</v>
      </c>
      <c r="AX43" s="12" t="s">
        <v>275</v>
      </c>
      <c r="AY43" s="21"/>
      <c r="AZ43" s="22"/>
      <c r="BA43" s="57"/>
      <c r="BB43" s="23"/>
      <c r="BD43" s="14"/>
      <c r="BE43" s="12"/>
      <c r="BF43" s="52" t="s">
        <v>154</v>
      </c>
      <c r="BG43" s="48"/>
      <c r="BH43" s="54"/>
      <c r="BI43" s="50"/>
      <c r="BJ43" s="61"/>
      <c r="BK43" s="51"/>
      <c r="BL43" s="75"/>
      <c r="BM43" s="10" t="s">
        <v>25</v>
      </c>
      <c r="BN43" s="11">
        <v>1</v>
      </c>
      <c r="BO43" s="10" t="s">
        <v>146</v>
      </c>
      <c r="BP43" s="12" t="s">
        <v>337</v>
      </c>
      <c r="BQ43" s="21"/>
      <c r="BR43" s="22"/>
      <c r="BS43" s="57"/>
      <c r="BT43" s="23"/>
      <c r="BU43" s="75"/>
      <c r="BV43" s="10" t="s">
        <v>31</v>
      </c>
      <c r="BW43" s="11">
        <v>1</v>
      </c>
      <c r="BX43" s="10" t="s">
        <v>41</v>
      </c>
      <c r="BY43" s="12" t="s">
        <v>338</v>
      </c>
      <c r="BZ43" s="21"/>
      <c r="CA43" s="22"/>
      <c r="CB43" s="57"/>
      <c r="CC43" s="23"/>
    </row>
    <row r="44" spans="29:81" x14ac:dyDescent="0.25">
      <c r="AC44" s="14"/>
      <c r="AD44" s="12"/>
      <c r="AE44" s="52" t="s">
        <v>155</v>
      </c>
      <c r="AF44" s="48"/>
      <c r="AG44" s="49"/>
      <c r="AH44" s="50"/>
      <c r="AI44" s="61"/>
      <c r="AJ44" s="51"/>
      <c r="AK44" s="75"/>
      <c r="AL44" s="10" t="s">
        <v>25</v>
      </c>
      <c r="AM44" s="11">
        <v>1</v>
      </c>
      <c r="AN44" s="10" t="s">
        <v>148</v>
      </c>
      <c r="AO44" s="12" t="s">
        <v>344</v>
      </c>
      <c r="AP44" s="21"/>
      <c r="AQ44" s="22"/>
      <c r="AR44" s="57"/>
      <c r="AS44" s="23"/>
      <c r="AT44" s="75"/>
      <c r="AU44" s="10" t="s">
        <v>31</v>
      </c>
      <c r="AV44" s="11">
        <v>1</v>
      </c>
      <c r="AW44" s="10" t="s">
        <v>136</v>
      </c>
      <c r="AX44" s="12" t="s">
        <v>275</v>
      </c>
      <c r="AY44" s="21"/>
      <c r="AZ44" s="22"/>
      <c r="BA44" s="57"/>
      <c r="BB44" s="23"/>
      <c r="BD44" s="14"/>
      <c r="BE44" s="12"/>
      <c r="BF44" s="52" t="s">
        <v>155</v>
      </c>
      <c r="BG44" s="48"/>
      <c r="BH44" s="49"/>
      <c r="BI44" s="50"/>
      <c r="BJ44" s="61"/>
      <c r="BK44" s="51"/>
      <c r="BL44" s="75"/>
      <c r="BM44" s="10" t="s">
        <v>25</v>
      </c>
      <c r="BN44" s="11">
        <v>1</v>
      </c>
      <c r="BO44" s="10" t="s">
        <v>148</v>
      </c>
      <c r="BP44" s="12" t="s">
        <v>337</v>
      </c>
      <c r="BQ44" s="21"/>
      <c r="BR44" s="22"/>
      <c r="BS44" s="57"/>
      <c r="BT44" s="23"/>
      <c r="BU44" s="75"/>
      <c r="BV44" s="10" t="s">
        <v>31</v>
      </c>
      <c r="BW44" s="11">
        <v>1</v>
      </c>
      <c r="BX44" s="10" t="s">
        <v>136</v>
      </c>
      <c r="BY44" s="12" t="s">
        <v>338</v>
      </c>
      <c r="BZ44" s="21"/>
      <c r="CA44" s="22"/>
      <c r="CB44" s="57"/>
      <c r="CC44" s="23"/>
    </row>
    <row r="45" spans="29:81" x14ac:dyDescent="0.25">
      <c r="AC45" s="14"/>
      <c r="AD45" s="12"/>
      <c r="AE45" s="52" t="s">
        <v>156</v>
      </c>
      <c r="AF45" s="48"/>
      <c r="AG45" s="49"/>
      <c r="AH45" s="50"/>
      <c r="AI45" s="61"/>
      <c r="AJ45" s="51"/>
      <c r="AK45" s="75"/>
      <c r="AL45" s="10" t="s">
        <v>25</v>
      </c>
      <c r="AM45" s="11">
        <v>1</v>
      </c>
      <c r="AN45" s="10" t="s">
        <v>159</v>
      </c>
      <c r="AO45" s="12" t="s">
        <v>344</v>
      </c>
      <c r="AP45" s="25"/>
      <c r="AQ45" s="26"/>
      <c r="AR45" s="57"/>
      <c r="AS45" s="23"/>
      <c r="AT45" s="75"/>
      <c r="AU45" s="10" t="s">
        <v>31</v>
      </c>
      <c r="AV45" s="11">
        <v>1</v>
      </c>
      <c r="AW45" s="10" t="s">
        <v>46</v>
      </c>
      <c r="AX45" s="12" t="s">
        <v>275</v>
      </c>
      <c r="AY45" s="21"/>
      <c r="AZ45" s="22"/>
      <c r="BA45" s="57"/>
      <c r="BB45" s="23"/>
      <c r="BD45" s="14"/>
      <c r="BE45" s="12"/>
      <c r="BF45" s="52" t="s">
        <v>156</v>
      </c>
      <c r="BG45" s="48"/>
      <c r="BH45" s="49"/>
      <c r="BI45" s="50"/>
      <c r="BJ45" s="61"/>
      <c r="BK45" s="51"/>
      <c r="BL45" s="75"/>
      <c r="BM45" s="10" t="s">
        <v>25</v>
      </c>
      <c r="BN45" s="11">
        <v>1</v>
      </c>
      <c r="BO45" s="10" t="s">
        <v>159</v>
      </c>
      <c r="BP45" s="12" t="s">
        <v>337</v>
      </c>
      <c r="BQ45" s="25"/>
      <c r="BR45" s="26"/>
      <c r="BS45" s="57"/>
      <c r="BT45" s="23"/>
      <c r="BU45" s="75"/>
      <c r="BV45" s="10" t="s">
        <v>31</v>
      </c>
      <c r="BW45" s="11">
        <v>1</v>
      </c>
      <c r="BX45" s="10" t="s">
        <v>46</v>
      </c>
      <c r="BY45" s="12" t="s">
        <v>338</v>
      </c>
      <c r="BZ45" s="21"/>
      <c r="CA45" s="22"/>
      <c r="CB45" s="57"/>
      <c r="CC45" s="23"/>
    </row>
    <row r="46" spans="29:81" x14ac:dyDescent="0.25">
      <c r="AC46" s="14"/>
      <c r="AD46" s="12"/>
      <c r="AE46" s="52" t="s">
        <v>157</v>
      </c>
      <c r="AF46" s="48"/>
      <c r="AG46" s="49"/>
      <c r="AH46" s="50"/>
      <c r="AI46" s="61"/>
      <c r="AJ46" s="51"/>
      <c r="AK46" s="75"/>
      <c r="AL46" s="10" t="s">
        <v>25</v>
      </c>
      <c r="AM46" s="11">
        <v>1</v>
      </c>
      <c r="AN46" s="10" t="s">
        <v>161</v>
      </c>
      <c r="AO46" s="12" t="s">
        <v>344</v>
      </c>
      <c r="AP46" s="15"/>
      <c r="AQ46" s="26"/>
      <c r="AR46" s="57"/>
      <c r="AS46" s="23"/>
      <c r="AT46" s="75"/>
      <c r="AU46" s="10" t="s">
        <v>31</v>
      </c>
      <c r="AV46" s="11">
        <v>1</v>
      </c>
      <c r="AW46" s="10" t="s">
        <v>49</v>
      </c>
      <c r="AX46" s="12" t="s">
        <v>275</v>
      </c>
      <c r="AY46" s="21"/>
      <c r="AZ46" s="22"/>
      <c r="BA46" s="57"/>
      <c r="BB46" s="23"/>
      <c r="BD46" s="14"/>
      <c r="BE46" s="12"/>
      <c r="BF46" s="52" t="s">
        <v>157</v>
      </c>
      <c r="BG46" s="48"/>
      <c r="BH46" s="49"/>
      <c r="BI46" s="50"/>
      <c r="BJ46" s="61"/>
      <c r="BK46" s="51"/>
      <c r="BL46" s="75"/>
      <c r="BM46" s="10" t="s">
        <v>25</v>
      </c>
      <c r="BN46" s="11">
        <v>1</v>
      </c>
      <c r="BO46" s="10" t="s">
        <v>161</v>
      </c>
      <c r="BP46" s="12" t="s">
        <v>337</v>
      </c>
      <c r="BQ46" s="15"/>
      <c r="BR46" s="26"/>
      <c r="BS46" s="57"/>
      <c r="BT46" s="23"/>
      <c r="BU46" s="75"/>
      <c r="BV46" s="10" t="s">
        <v>31</v>
      </c>
      <c r="BW46" s="11">
        <v>1</v>
      </c>
      <c r="BX46" s="10" t="s">
        <v>49</v>
      </c>
      <c r="BY46" s="12" t="s">
        <v>338</v>
      </c>
      <c r="BZ46" s="21"/>
      <c r="CA46" s="22"/>
      <c r="CB46" s="57"/>
      <c r="CC46" s="23"/>
    </row>
    <row r="47" spans="29:81" x14ac:dyDescent="0.25">
      <c r="AC47" s="14"/>
      <c r="AD47" s="12"/>
      <c r="AE47" s="16"/>
      <c r="AF47" s="11"/>
      <c r="AG47" s="15"/>
      <c r="AH47" s="26"/>
      <c r="AI47" s="60"/>
      <c r="AJ47" s="13"/>
      <c r="AK47" s="75"/>
      <c r="AL47" s="10" t="s">
        <v>25</v>
      </c>
      <c r="AM47" s="11">
        <v>1</v>
      </c>
      <c r="AN47" s="10" t="s">
        <v>163</v>
      </c>
      <c r="AO47" s="12" t="s">
        <v>344</v>
      </c>
      <c r="AP47" s="15"/>
      <c r="AQ47" s="26"/>
      <c r="AR47" s="57"/>
      <c r="AS47" s="23"/>
      <c r="AT47" s="75"/>
      <c r="AU47" s="10" t="s">
        <v>31</v>
      </c>
      <c r="AV47" s="11">
        <v>1</v>
      </c>
      <c r="AW47" s="10" t="s">
        <v>137</v>
      </c>
      <c r="AX47" s="12" t="s">
        <v>275</v>
      </c>
      <c r="AY47" s="22"/>
      <c r="AZ47" s="26"/>
      <c r="BA47" s="57"/>
      <c r="BB47" s="23"/>
      <c r="BD47" s="14"/>
      <c r="BE47" s="12"/>
      <c r="BF47" s="16"/>
      <c r="BG47" s="11"/>
      <c r="BH47" s="15"/>
      <c r="BI47" s="26"/>
      <c r="BJ47" s="60"/>
      <c r="BK47" s="13"/>
      <c r="BL47" s="75"/>
      <c r="BM47" s="10" t="s">
        <v>25</v>
      </c>
      <c r="BN47" s="11">
        <v>1</v>
      </c>
      <c r="BO47" s="10" t="s">
        <v>163</v>
      </c>
      <c r="BP47" s="12" t="s">
        <v>337</v>
      </c>
      <c r="BQ47" s="15"/>
      <c r="BR47" s="26"/>
      <c r="BS47" s="57"/>
      <c r="BT47" s="23"/>
      <c r="BU47" s="75"/>
      <c r="BV47" s="10" t="s">
        <v>31</v>
      </c>
      <c r="BW47" s="11">
        <v>1</v>
      </c>
      <c r="BX47" s="10" t="s">
        <v>137</v>
      </c>
      <c r="BY47" s="12" t="s">
        <v>338</v>
      </c>
      <c r="BZ47" s="22"/>
      <c r="CA47" s="26"/>
      <c r="CB47" s="57"/>
      <c r="CC47" s="23"/>
    </row>
    <row r="48" spans="29:81" x14ac:dyDescent="0.25">
      <c r="AC48" s="14"/>
      <c r="AD48" s="12"/>
      <c r="AE48" s="10"/>
      <c r="AF48" s="12"/>
      <c r="AG48" s="15"/>
      <c r="AH48" s="26"/>
      <c r="AI48" s="60"/>
      <c r="AJ48" s="13"/>
      <c r="AK48" s="75"/>
      <c r="AL48" s="10" t="s">
        <v>25</v>
      </c>
      <c r="AM48" s="11">
        <v>1</v>
      </c>
      <c r="AN48" s="10" t="s">
        <v>165</v>
      </c>
      <c r="AO48" s="12" t="s">
        <v>344</v>
      </c>
      <c r="AP48" s="15"/>
      <c r="AQ48" s="26"/>
      <c r="AR48" s="57"/>
      <c r="AS48" s="23"/>
      <c r="AT48" s="75"/>
      <c r="AU48" s="10" t="s">
        <v>31</v>
      </c>
      <c r="AV48" s="11">
        <v>1</v>
      </c>
      <c r="AW48" s="10" t="s">
        <v>54</v>
      </c>
      <c r="AX48" s="12" t="s">
        <v>275</v>
      </c>
      <c r="AY48" s="15"/>
      <c r="AZ48" s="26"/>
      <c r="BA48" s="57"/>
      <c r="BB48" s="23"/>
      <c r="BD48" s="14"/>
      <c r="BE48" s="12"/>
      <c r="BF48" s="10"/>
      <c r="BG48" s="12"/>
      <c r="BH48" s="15"/>
      <c r="BI48" s="26"/>
      <c r="BJ48" s="60"/>
      <c r="BK48" s="13"/>
      <c r="BL48" s="75"/>
      <c r="BM48" s="10" t="s">
        <v>25</v>
      </c>
      <c r="BN48" s="11">
        <v>1</v>
      </c>
      <c r="BO48" s="10" t="s">
        <v>165</v>
      </c>
      <c r="BP48" s="12" t="s">
        <v>337</v>
      </c>
      <c r="BQ48" s="15"/>
      <c r="BR48" s="26"/>
      <c r="BS48" s="57"/>
      <c r="BT48" s="23"/>
      <c r="BU48" s="75"/>
      <c r="BV48" s="10" t="s">
        <v>31</v>
      </c>
      <c r="BW48" s="11">
        <v>1</v>
      </c>
      <c r="BX48" s="10" t="s">
        <v>54</v>
      </c>
      <c r="BY48" s="12" t="s">
        <v>338</v>
      </c>
      <c r="BZ48" s="15"/>
      <c r="CA48" s="26"/>
      <c r="CB48" s="57"/>
      <c r="CC48" s="23"/>
    </row>
    <row r="49" spans="29:81" x14ac:dyDescent="0.25">
      <c r="AC49" s="14"/>
      <c r="AD49" s="12"/>
      <c r="AE49" s="10"/>
      <c r="AF49" s="12"/>
      <c r="AG49" s="15"/>
      <c r="AH49" s="26"/>
      <c r="AI49" s="60"/>
      <c r="AJ49" s="13"/>
      <c r="AK49" s="75"/>
      <c r="AL49" s="10" t="s">
        <v>25</v>
      </c>
      <c r="AM49" s="11">
        <v>1</v>
      </c>
      <c r="AN49" s="10" t="s">
        <v>167</v>
      </c>
      <c r="AO49" s="12" t="s">
        <v>344</v>
      </c>
      <c r="AP49" s="15"/>
      <c r="AQ49" s="26"/>
      <c r="AR49" s="57"/>
      <c r="AS49" s="23"/>
      <c r="AT49" s="75"/>
      <c r="AU49" s="10" t="s">
        <v>31</v>
      </c>
      <c r="AV49" s="11">
        <v>1</v>
      </c>
      <c r="AW49" s="10" t="s">
        <v>57</v>
      </c>
      <c r="AX49" s="12" t="s">
        <v>275</v>
      </c>
      <c r="AY49" s="15"/>
      <c r="AZ49" s="26"/>
      <c r="BA49" s="57"/>
      <c r="BB49" s="23"/>
      <c r="BD49" s="14"/>
      <c r="BE49" s="12"/>
      <c r="BF49" s="10"/>
      <c r="BG49" s="12"/>
      <c r="BH49" s="15"/>
      <c r="BI49" s="26"/>
      <c r="BJ49" s="60"/>
      <c r="BK49" s="13"/>
      <c r="BL49" s="75"/>
      <c r="BM49" s="10" t="s">
        <v>25</v>
      </c>
      <c r="BN49" s="11">
        <v>1</v>
      </c>
      <c r="BO49" s="10" t="s">
        <v>167</v>
      </c>
      <c r="BP49" s="12" t="s">
        <v>337</v>
      </c>
      <c r="BQ49" s="15"/>
      <c r="BR49" s="26"/>
      <c r="BS49" s="57"/>
      <c r="BT49" s="23"/>
      <c r="BU49" s="75"/>
      <c r="BV49" s="10" t="s">
        <v>31</v>
      </c>
      <c r="BW49" s="11">
        <v>1</v>
      </c>
      <c r="BX49" s="10" t="s">
        <v>57</v>
      </c>
      <c r="BY49" s="12" t="s">
        <v>338</v>
      </c>
      <c r="BZ49" s="15"/>
      <c r="CA49" s="26"/>
      <c r="CB49" s="57"/>
      <c r="CC49" s="23"/>
    </row>
    <row r="50" spans="29:81" x14ac:dyDescent="0.25">
      <c r="AC50" s="14"/>
      <c r="AD50" s="12"/>
      <c r="AE50" s="10"/>
      <c r="AF50" s="12"/>
      <c r="AG50" s="15"/>
      <c r="AH50" s="26"/>
      <c r="AI50" s="60"/>
      <c r="AJ50" s="13"/>
      <c r="AK50" s="75"/>
      <c r="AL50" s="10" t="s">
        <v>25</v>
      </c>
      <c r="AM50" s="11">
        <v>1</v>
      </c>
      <c r="AN50" s="10" t="s">
        <v>169</v>
      </c>
      <c r="AO50" s="12" t="s">
        <v>344</v>
      </c>
      <c r="AP50" s="15"/>
      <c r="AQ50" s="26"/>
      <c r="AR50" s="57"/>
      <c r="AS50" s="23"/>
      <c r="AT50" s="75"/>
      <c r="AU50" s="10" t="s">
        <v>31</v>
      </c>
      <c r="AV50" s="11">
        <v>1</v>
      </c>
      <c r="AW50" s="10" t="s">
        <v>138</v>
      </c>
      <c r="AX50" s="12" t="s">
        <v>275</v>
      </c>
      <c r="AY50" s="15"/>
      <c r="AZ50" s="26"/>
      <c r="BA50" s="57"/>
      <c r="BB50" s="23"/>
      <c r="BD50" s="14"/>
      <c r="BE50" s="12"/>
      <c r="BF50" s="10"/>
      <c r="BG50" s="12"/>
      <c r="BH50" s="15"/>
      <c r="BI50" s="26"/>
      <c r="BJ50" s="60"/>
      <c r="BK50" s="13"/>
      <c r="BL50" s="75"/>
      <c r="BM50" s="10" t="s">
        <v>25</v>
      </c>
      <c r="BN50" s="11">
        <v>1</v>
      </c>
      <c r="BO50" s="10" t="s">
        <v>169</v>
      </c>
      <c r="BP50" s="12" t="s">
        <v>337</v>
      </c>
      <c r="BQ50" s="15"/>
      <c r="BR50" s="26"/>
      <c r="BS50" s="57"/>
      <c r="BT50" s="23"/>
      <c r="BU50" s="75"/>
      <c r="BV50" s="10" t="s">
        <v>31</v>
      </c>
      <c r="BW50" s="11">
        <v>1</v>
      </c>
      <c r="BX50" s="10" t="s">
        <v>138</v>
      </c>
      <c r="BY50" s="12" t="s">
        <v>338</v>
      </c>
      <c r="BZ50" s="15"/>
      <c r="CA50" s="26"/>
      <c r="CB50" s="57"/>
      <c r="CC50" s="23"/>
    </row>
    <row r="51" spans="29:81" x14ac:dyDescent="0.25">
      <c r="AC51" s="14"/>
      <c r="AD51" s="12"/>
      <c r="AE51" s="16"/>
      <c r="AF51" s="11"/>
      <c r="AG51" s="15"/>
      <c r="AH51" s="26"/>
      <c r="AI51" s="60"/>
      <c r="AJ51" s="13"/>
      <c r="AK51" s="75"/>
      <c r="AL51" s="10" t="s">
        <v>25</v>
      </c>
      <c r="AM51" s="11">
        <v>1</v>
      </c>
      <c r="AN51" s="10" t="s">
        <v>171</v>
      </c>
      <c r="AO51" s="12" t="s">
        <v>344</v>
      </c>
      <c r="AP51" s="44"/>
      <c r="AQ51" s="44"/>
      <c r="AR51" s="57"/>
      <c r="AS51" s="23"/>
      <c r="AT51" s="75"/>
      <c r="AU51" s="10" t="s">
        <v>31</v>
      </c>
      <c r="AV51" s="11">
        <v>1</v>
      </c>
      <c r="AW51" s="10" t="s">
        <v>62</v>
      </c>
      <c r="AX51" s="12" t="s">
        <v>275</v>
      </c>
      <c r="AY51" s="15"/>
      <c r="AZ51" s="26"/>
      <c r="BA51" s="57"/>
      <c r="BB51" s="23"/>
      <c r="BD51" s="14"/>
      <c r="BE51" s="12"/>
      <c r="BF51" s="16"/>
      <c r="BG51" s="11"/>
      <c r="BH51" s="15"/>
      <c r="BI51" s="26"/>
      <c r="BJ51" s="60"/>
      <c r="BK51" s="13"/>
      <c r="BL51" s="75"/>
      <c r="BM51" s="10" t="s">
        <v>25</v>
      </c>
      <c r="BN51" s="11">
        <v>1</v>
      </c>
      <c r="BO51" s="10" t="s">
        <v>171</v>
      </c>
      <c r="BP51" s="12" t="s">
        <v>337</v>
      </c>
      <c r="BQ51" s="44"/>
      <c r="BR51" s="44"/>
      <c r="BS51" s="57"/>
      <c r="BT51" s="23"/>
      <c r="BU51" s="75"/>
      <c r="BV51" s="10" t="s">
        <v>31</v>
      </c>
      <c r="BW51" s="11">
        <v>1</v>
      </c>
      <c r="BX51" s="10" t="s">
        <v>62</v>
      </c>
      <c r="BY51" s="12" t="s">
        <v>338</v>
      </c>
      <c r="BZ51" s="15"/>
      <c r="CA51" s="26"/>
      <c r="CB51" s="57"/>
      <c r="CC51" s="23"/>
    </row>
    <row r="52" spans="29:81" x14ac:dyDescent="0.25">
      <c r="AC52" s="14"/>
      <c r="AD52" s="12"/>
      <c r="AE52" s="16"/>
      <c r="AF52" s="11"/>
      <c r="AG52" s="15"/>
      <c r="AH52" s="26"/>
      <c r="AI52" s="60"/>
      <c r="AJ52" s="13"/>
      <c r="AK52" s="75"/>
      <c r="AL52" s="10" t="s">
        <v>25</v>
      </c>
      <c r="AM52" s="11">
        <v>1</v>
      </c>
      <c r="AN52" s="10" t="s">
        <v>173</v>
      </c>
      <c r="AO52" s="12" t="s">
        <v>344</v>
      </c>
      <c r="AP52" s="44"/>
      <c r="AQ52" s="44"/>
      <c r="AR52" s="57"/>
      <c r="AS52" s="23"/>
      <c r="AT52" s="75"/>
      <c r="AU52" s="10" t="s">
        <v>31</v>
      </c>
      <c r="AV52" s="11">
        <v>1</v>
      </c>
      <c r="AW52" s="10" t="s">
        <v>65</v>
      </c>
      <c r="AX52" s="12" t="s">
        <v>275</v>
      </c>
      <c r="AY52" s="15"/>
      <c r="AZ52" s="26"/>
      <c r="BA52" s="57"/>
      <c r="BB52" s="23"/>
      <c r="BD52" s="14"/>
      <c r="BE52" s="12"/>
      <c r="BF52" s="16"/>
      <c r="BG52" s="11"/>
      <c r="BH52" s="15"/>
      <c r="BI52" s="26"/>
      <c r="BJ52" s="60"/>
      <c r="BK52" s="13"/>
      <c r="BL52" s="75"/>
      <c r="BM52" s="10" t="s">
        <v>25</v>
      </c>
      <c r="BN52" s="11">
        <v>1</v>
      </c>
      <c r="BO52" s="10" t="s">
        <v>173</v>
      </c>
      <c r="BP52" s="12" t="s">
        <v>337</v>
      </c>
      <c r="BQ52" s="44"/>
      <c r="BR52" s="44"/>
      <c r="BS52" s="57"/>
      <c r="BT52" s="23"/>
      <c r="BU52" s="75"/>
      <c r="BV52" s="10" t="s">
        <v>31</v>
      </c>
      <c r="BW52" s="11">
        <v>1</v>
      </c>
      <c r="BX52" s="10" t="s">
        <v>65</v>
      </c>
      <c r="BY52" s="12" t="s">
        <v>338</v>
      </c>
      <c r="BZ52" s="15"/>
      <c r="CA52" s="26"/>
      <c r="CB52" s="57"/>
      <c r="CC52" s="23"/>
    </row>
    <row r="53" spans="29:81" x14ac:dyDescent="0.25">
      <c r="AC53" s="14"/>
      <c r="AD53" s="12"/>
      <c r="AE53" s="16"/>
      <c r="AF53" s="11"/>
      <c r="AG53" s="15"/>
      <c r="AH53" s="26"/>
      <c r="AI53" s="60"/>
      <c r="AJ53" s="13"/>
      <c r="AK53" s="75"/>
      <c r="AL53" s="10" t="s">
        <v>25</v>
      </c>
      <c r="AM53" s="11">
        <v>1</v>
      </c>
      <c r="AN53" s="10" t="s">
        <v>175</v>
      </c>
      <c r="AO53" s="12" t="s">
        <v>344</v>
      </c>
      <c r="AP53" s="44"/>
      <c r="AQ53" s="44"/>
      <c r="AR53" s="57"/>
      <c r="AS53" s="23"/>
      <c r="AT53" s="75"/>
      <c r="AU53" s="10" t="s">
        <v>31</v>
      </c>
      <c r="AV53" s="11">
        <v>1</v>
      </c>
      <c r="AW53" s="10" t="s">
        <v>68</v>
      </c>
      <c r="AX53" s="12" t="s">
        <v>275</v>
      </c>
      <c r="AY53" s="15"/>
      <c r="AZ53" s="26"/>
      <c r="BA53" s="57"/>
      <c r="BB53" s="23"/>
      <c r="BD53" s="14"/>
      <c r="BE53" s="12"/>
      <c r="BF53" s="16"/>
      <c r="BG53" s="11"/>
      <c r="BH53" s="15"/>
      <c r="BI53" s="26"/>
      <c r="BJ53" s="60"/>
      <c r="BK53" s="13"/>
      <c r="BL53" s="75"/>
      <c r="BM53" s="10" t="s">
        <v>25</v>
      </c>
      <c r="BN53" s="11">
        <v>1</v>
      </c>
      <c r="BO53" s="10" t="s">
        <v>175</v>
      </c>
      <c r="BP53" s="12" t="s">
        <v>337</v>
      </c>
      <c r="BQ53" s="44"/>
      <c r="BR53" s="44"/>
      <c r="BS53" s="57"/>
      <c r="BT53" s="23"/>
      <c r="BU53" s="75"/>
      <c r="BV53" s="10" t="s">
        <v>31</v>
      </c>
      <c r="BW53" s="11">
        <v>1</v>
      </c>
      <c r="BX53" s="10" t="s">
        <v>68</v>
      </c>
      <c r="BY53" s="12" t="s">
        <v>338</v>
      </c>
      <c r="BZ53" s="15"/>
      <c r="CA53" s="26"/>
      <c r="CB53" s="57"/>
      <c r="CC53" s="23"/>
    </row>
    <row r="54" spans="29:81" x14ac:dyDescent="0.25">
      <c r="AC54" s="14"/>
      <c r="AD54" s="12"/>
      <c r="AE54" s="16"/>
      <c r="AF54" s="11"/>
      <c r="AG54" s="15"/>
      <c r="AH54" s="26"/>
      <c r="AI54" s="60"/>
      <c r="AJ54" s="13"/>
      <c r="AK54" s="75"/>
      <c r="AL54" s="10" t="s">
        <v>25</v>
      </c>
      <c r="AM54" s="11">
        <v>1</v>
      </c>
      <c r="AN54" s="10" t="s">
        <v>177</v>
      </c>
      <c r="AO54" s="12" t="s">
        <v>344</v>
      </c>
      <c r="AP54" s="44"/>
      <c r="AQ54" s="44"/>
      <c r="AR54" s="57"/>
      <c r="AS54" s="23"/>
      <c r="AT54" s="75"/>
      <c r="AU54" s="10" t="s">
        <v>31</v>
      </c>
      <c r="AV54" s="11">
        <v>1</v>
      </c>
      <c r="AW54" s="10" t="s">
        <v>139</v>
      </c>
      <c r="AX54" s="12" t="s">
        <v>275</v>
      </c>
      <c r="AY54" s="15"/>
      <c r="AZ54" s="26"/>
      <c r="BA54" s="57"/>
      <c r="BB54" s="23"/>
      <c r="BD54" s="14"/>
      <c r="BE54" s="12"/>
      <c r="BF54" s="16"/>
      <c r="BG54" s="11"/>
      <c r="BH54" s="15"/>
      <c r="BI54" s="26"/>
      <c r="BJ54" s="60"/>
      <c r="BK54" s="13"/>
      <c r="BL54" s="75"/>
      <c r="BM54" s="10" t="s">
        <v>25</v>
      </c>
      <c r="BN54" s="11">
        <v>1</v>
      </c>
      <c r="BO54" s="10" t="s">
        <v>177</v>
      </c>
      <c r="BP54" s="12" t="s">
        <v>337</v>
      </c>
      <c r="BQ54" s="44"/>
      <c r="BR54" s="44"/>
      <c r="BS54" s="57"/>
      <c r="BT54" s="23"/>
      <c r="BU54" s="75"/>
      <c r="BV54" s="10" t="s">
        <v>31</v>
      </c>
      <c r="BW54" s="11">
        <v>1</v>
      </c>
      <c r="BX54" s="10" t="s">
        <v>139</v>
      </c>
      <c r="BY54" s="12" t="s">
        <v>338</v>
      </c>
      <c r="BZ54" s="15"/>
      <c r="CA54" s="26"/>
      <c r="CB54" s="57"/>
      <c r="CC54" s="23"/>
    </row>
    <row r="55" spans="29:81" x14ac:dyDescent="0.25">
      <c r="AC55" s="14"/>
      <c r="AD55" s="12"/>
      <c r="AE55" s="16"/>
      <c r="AF55" s="11"/>
      <c r="AG55" s="15"/>
      <c r="AH55" s="26"/>
      <c r="AI55" s="60"/>
      <c r="AJ55" s="13"/>
      <c r="AK55" s="75"/>
      <c r="AL55" s="10" t="s">
        <v>25</v>
      </c>
      <c r="AM55" s="11">
        <v>1</v>
      </c>
      <c r="AN55" s="10" t="s">
        <v>179</v>
      </c>
      <c r="AO55" s="12" t="s">
        <v>344</v>
      </c>
      <c r="AP55" s="44"/>
      <c r="AQ55" s="44"/>
      <c r="AR55" s="57"/>
      <c r="AS55" s="23"/>
      <c r="AT55" s="75"/>
      <c r="AU55" s="10" t="s">
        <v>31</v>
      </c>
      <c r="AV55" s="11">
        <v>1</v>
      </c>
      <c r="AW55" s="10" t="s">
        <v>73</v>
      </c>
      <c r="AX55" s="12" t="s">
        <v>275</v>
      </c>
      <c r="AY55" s="15"/>
      <c r="AZ55" s="26"/>
      <c r="BA55" s="57"/>
      <c r="BB55" s="23"/>
      <c r="BD55" s="14"/>
      <c r="BE55" s="12"/>
      <c r="BF55" s="16"/>
      <c r="BG55" s="11"/>
      <c r="BH55" s="15"/>
      <c r="BI55" s="26"/>
      <c r="BJ55" s="60"/>
      <c r="BK55" s="13"/>
      <c r="BL55" s="75"/>
      <c r="BM55" s="10" t="s">
        <v>25</v>
      </c>
      <c r="BN55" s="11">
        <v>1</v>
      </c>
      <c r="BO55" s="10" t="s">
        <v>179</v>
      </c>
      <c r="BP55" s="12" t="s">
        <v>337</v>
      </c>
      <c r="BQ55" s="44"/>
      <c r="BR55" s="44"/>
      <c r="BS55" s="57"/>
      <c r="BT55" s="23"/>
      <c r="BU55" s="75"/>
      <c r="BV55" s="10" t="s">
        <v>31</v>
      </c>
      <c r="BW55" s="11">
        <v>1</v>
      </c>
      <c r="BX55" s="10" t="s">
        <v>73</v>
      </c>
      <c r="BY55" s="12" t="s">
        <v>338</v>
      </c>
      <c r="BZ55" s="15"/>
      <c r="CA55" s="26"/>
      <c r="CB55" s="57"/>
      <c r="CC55" s="23"/>
    </row>
    <row r="56" spans="29:81" ht="23.25" x14ac:dyDescent="0.35">
      <c r="AC56" s="579" t="s">
        <v>281</v>
      </c>
      <c r="AD56" s="580"/>
      <c r="AE56" s="580"/>
      <c r="AF56" s="580"/>
      <c r="AG56" s="580"/>
      <c r="AH56" s="580"/>
      <c r="AI56" s="580"/>
      <c r="AJ56" s="581"/>
      <c r="AK56" s="78"/>
      <c r="AL56" s="578" t="s">
        <v>279</v>
      </c>
      <c r="AM56" s="578"/>
      <c r="AN56" s="578"/>
      <c r="AO56" s="578"/>
      <c r="AP56" s="578"/>
      <c r="AQ56" s="578"/>
      <c r="AR56" s="578"/>
      <c r="AS56" s="578"/>
      <c r="AT56" s="78"/>
      <c r="AU56" s="579" t="s">
        <v>280</v>
      </c>
      <c r="AV56" s="580"/>
      <c r="AW56" s="580"/>
      <c r="AX56" s="580"/>
      <c r="AY56" s="580"/>
      <c r="AZ56" s="580"/>
      <c r="BA56" s="580"/>
      <c r="BB56" s="581"/>
      <c r="BD56" s="579" t="s">
        <v>281</v>
      </c>
      <c r="BE56" s="580"/>
      <c r="BF56" s="580"/>
      <c r="BG56" s="580"/>
      <c r="BH56" s="580"/>
      <c r="BI56" s="580"/>
      <c r="BJ56" s="580"/>
      <c r="BK56" s="581"/>
      <c r="BL56" s="78"/>
      <c r="BM56" s="578" t="s">
        <v>279</v>
      </c>
      <c r="BN56" s="578"/>
      <c r="BO56" s="578"/>
      <c r="BP56" s="578"/>
      <c r="BQ56" s="578"/>
      <c r="BR56" s="578"/>
      <c r="BS56" s="578"/>
      <c r="BT56" s="578"/>
      <c r="BU56" s="78"/>
      <c r="BV56" s="579" t="s">
        <v>280</v>
      </c>
      <c r="BW56" s="580"/>
      <c r="BX56" s="580"/>
      <c r="BY56" s="580"/>
      <c r="BZ56" s="580"/>
      <c r="CA56" s="580"/>
      <c r="CB56" s="580"/>
      <c r="CC56" s="581"/>
    </row>
    <row r="57" spans="29:81" ht="16.5" thickBot="1" x14ac:dyDescent="0.3">
      <c r="AC57" s="27" t="s">
        <v>0</v>
      </c>
      <c r="AD57" s="28" t="s">
        <v>1</v>
      </c>
      <c r="AE57" s="28" t="s">
        <v>2</v>
      </c>
      <c r="AF57" s="28" t="s">
        <v>24</v>
      </c>
      <c r="AG57" s="9" t="s">
        <v>7</v>
      </c>
      <c r="AH57" s="45" t="s">
        <v>9</v>
      </c>
      <c r="AI57" s="7" t="s">
        <v>133</v>
      </c>
      <c r="AJ57" s="7" t="s">
        <v>134</v>
      </c>
      <c r="AK57" s="75"/>
      <c r="AL57" s="27" t="s">
        <v>0</v>
      </c>
      <c r="AM57" s="28" t="s">
        <v>1</v>
      </c>
      <c r="AN57" s="28" t="s">
        <v>2</v>
      </c>
      <c r="AO57" s="28" t="s">
        <v>24</v>
      </c>
      <c r="AP57" s="9" t="s">
        <v>7</v>
      </c>
      <c r="AQ57" s="45" t="s">
        <v>9</v>
      </c>
      <c r="AR57" s="7" t="s">
        <v>133</v>
      </c>
      <c r="AS57" s="46" t="s">
        <v>134</v>
      </c>
      <c r="AT57" s="75"/>
      <c r="AU57" s="27" t="s">
        <v>0</v>
      </c>
      <c r="AV57" s="28" t="s">
        <v>1</v>
      </c>
      <c r="AW57" s="28" t="s">
        <v>2</v>
      </c>
      <c r="AX57" s="28" t="s">
        <v>24</v>
      </c>
      <c r="AY57" s="9" t="s">
        <v>7</v>
      </c>
      <c r="AZ57" s="45" t="s">
        <v>9</v>
      </c>
      <c r="BA57" s="7" t="s">
        <v>133</v>
      </c>
      <c r="BB57" s="46" t="s">
        <v>134</v>
      </c>
      <c r="BD57" s="27" t="s">
        <v>0</v>
      </c>
      <c r="BE57" s="28" t="s">
        <v>1</v>
      </c>
      <c r="BF57" s="28" t="s">
        <v>2</v>
      </c>
      <c r="BG57" s="28" t="s">
        <v>24</v>
      </c>
      <c r="BH57" s="9" t="s">
        <v>7</v>
      </c>
      <c r="BI57" s="45" t="s">
        <v>9</v>
      </c>
      <c r="BJ57" s="7" t="s">
        <v>133</v>
      </c>
      <c r="BK57" s="7" t="s">
        <v>134</v>
      </c>
      <c r="BL57" s="75"/>
      <c r="BM57" s="27" t="s">
        <v>0</v>
      </c>
      <c r="BN57" s="28" t="s">
        <v>1</v>
      </c>
      <c r="BO57" s="28" t="s">
        <v>2</v>
      </c>
      <c r="BP57" s="28" t="s">
        <v>24</v>
      </c>
      <c r="BQ57" s="9" t="s">
        <v>7</v>
      </c>
      <c r="BR57" s="45" t="s">
        <v>9</v>
      </c>
      <c r="BS57" s="7" t="s">
        <v>133</v>
      </c>
      <c r="BT57" s="46" t="s">
        <v>134</v>
      </c>
      <c r="BU57" s="75"/>
      <c r="BV57" s="27" t="s">
        <v>0</v>
      </c>
      <c r="BW57" s="28" t="s">
        <v>1</v>
      </c>
      <c r="BX57" s="28" t="s">
        <v>2</v>
      </c>
      <c r="BY57" s="28" t="s">
        <v>24</v>
      </c>
      <c r="BZ57" s="9" t="s">
        <v>7</v>
      </c>
      <c r="CA57" s="45" t="s">
        <v>9</v>
      </c>
      <c r="CB57" s="7" t="s">
        <v>133</v>
      </c>
      <c r="CC57" s="46" t="s">
        <v>134</v>
      </c>
    </row>
    <row r="58" spans="29:81" x14ac:dyDescent="0.25">
      <c r="AC58" s="14" t="s">
        <v>198</v>
      </c>
      <c r="AD58" s="12">
        <v>1</v>
      </c>
      <c r="AE58" s="10" t="s">
        <v>199</v>
      </c>
      <c r="AF58" s="12" t="s">
        <v>345</v>
      </c>
      <c r="AG58" s="22"/>
      <c r="AH58" s="26"/>
      <c r="AI58" s="59"/>
      <c r="AJ58" s="16"/>
      <c r="AK58" s="75"/>
      <c r="AL58" s="10" t="s">
        <v>28</v>
      </c>
      <c r="AM58" s="11">
        <v>1</v>
      </c>
      <c r="AN58" s="10" t="s">
        <v>141</v>
      </c>
      <c r="AO58" s="12" t="s">
        <v>342</v>
      </c>
      <c r="AP58" s="22"/>
      <c r="AQ58" s="26"/>
      <c r="AR58" s="57"/>
      <c r="AS58" s="23"/>
      <c r="AT58" s="75"/>
      <c r="AU58" s="10" t="s">
        <v>28</v>
      </c>
      <c r="AV58" s="11">
        <v>1</v>
      </c>
      <c r="AW58" s="10" t="s">
        <v>141</v>
      </c>
      <c r="AX58" s="12" t="s">
        <v>343</v>
      </c>
      <c r="AY58" s="22"/>
      <c r="AZ58" s="26"/>
      <c r="BA58" s="58"/>
      <c r="BB58" s="44"/>
      <c r="BD58" s="14" t="s">
        <v>198</v>
      </c>
      <c r="BE58" s="12">
        <v>1</v>
      </c>
      <c r="BF58" s="10" t="s">
        <v>199</v>
      </c>
      <c r="BG58" s="12" t="s">
        <v>341</v>
      </c>
      <c r="BH58" s="22"/>
      <c r="BI58" s="26"/>
      <c r="BJ58" s="59"/>
      <c r="BK58" s="16"/>
      <c r="BL58" s="75"/>
      <c r="BM58" s="10" t="s">
        <v>28</v>
      </c>
      <c r="BN58" s="11">
        <v>1</v>
      </c>
      <c r="BO58" s="10" t="s">
        <v>141</v>
      </c>
      <c r="BP58" s="12" t="s">
        <v>340</v>
      </c>
      <c r="BQ58" s="22"/>
      <c r="BR58" s="26"/>
      <c r="BS58" s="57"/>
      <c r="BT58" s="23"/>
      <c r="BU58" s="75"/>
      <c r="BV58" s="10" t="s">
        <v>28</v>
      </c>
      <c r="BW58" s="11">
        <v>1</v>
      </c>
      <c r="BX58" s="10" t="s">
        <v>141</v>
      </c>
      <c r="BY58" s="12" t="s">
        <v>339</v>
      </c>
      <c r="BZ58" s="22"/>
      <c r="CA58" s="26"/>
      <c r="CB58" s="58"/>
      <c r="CC58" s="44"/>
    </row>
    <row r="59" spans="29:81" x14ac:dyDescent="0.25">
      <c r="AC59" s="14" t="s">
        <v>198</v>
      </c>
      <c r="AD59" s="12">
        <v>1</v>
      </c>
      <c r="AE59" s="10" t="s">
        <v>200</v>
      </c>
      <c r="AF59" s="12" t="s">
        <v>345</v>
      </c>
      <c r="AG59" s="22"/>
      <c r="AH59" s="26"/>
      <c r="AI59" s="60"/>
      <c r="AJ59" s="13"/>
      <c r="AK59" s="75"/>
      <c r="AL59" s="10" t="s">
        <v>28</v>
      </c>
      <c r="AM59" s="11">
        <v>1</v>
      </c>
      <c r="AN59" s="10" t="s">
        <v>143</v>
      </c>
      <c r="AO59" s="12" t="s">
        <v>342</v>
      </c>
      <c r="AP59" s="22"/>
      <c r="AQ59" s="26"/>
      <c r="AR59" s="57"/>
      <c r="AS59" s="23"/>
      <c r="AT59" s="75"/>
      <c r="AU59" s="10" t="s">
        <v>28</v>
      </c>
      <c r="AV59" s="11">
        <v>1</v>
      </c>
      <c r="AW59" s="10" t="s">
        <v>143</v>
      </c>
      <c r="AX59" s="12" t="s">
        <v>343</v>
      </c>
      <c r="AY59" s="22"/>
      <c r="AZ59" s="26"/>
      <c r="BA59" s="58"/>
      <c r="BB59" s="44"/>
      <c r="BD59" s="14" t="s">
        <v>198</v>
      </c>
      <c r="BE59" s="12">
        <v>1</v>
      </c>
      <c r="BF59" s="10" t="s">
        <v>200</v>
      </c>
      <c r="BG59" s="12" t="s">
        <v>341</v>
      </c>
      <c r="BH59" s="22"/>
      <c r="BI59" s="26"/>
      <c r="BJ59" s="60"/>
      <c r="BK59" s="13"/>
      <c r="BL59" s="75"/>
      <c r="BM59" s="10" t="s">
        <v>28</v>
      </c>
      <c r="BN59" s="11">
        <v>1</v>
      </c>
      <c r="BO59" s="10" t="s">
        <v>143</v>
      </c>
      <c r="BP59" s="12" t="s">
        <v>340</v>
      </c>
      <c r="BQ59" s="22"/>
      <c r="BR59" s="26"/>
      <c r="BS59" s="57"/>
      <c r="BT59" s="23"/>
      <c r="BU59" s="75"/>
      <c r="BV59" s="10" t="s">
        <v>28</v>
      </c>
      <c r="BW59" s="11">
        <v>1</v>
      </c>
      <c r="BX59" s="10" t="s">
        <v>143</v>
      </c>
      <c r="BY59" s="12" t="s">
        <v>339</v>
      </c>
      <c r="BZ59" s="22"/>
      <c r="CA59" s="26"/>
      <c r="CB59" s="58"/>
      <c r="CC59" s="44"/>
    </row>
    <row r="60" spans="29:81" x14ac:dyDescent="0.25">
      <c r="AC60" s="14" t="s">
        <v>198</v>
      </c>
      <c r="AD60" s="12">
        <v>1</v>
      </c>
      <c r="AE60" s="10" t="s">
        <v>201</v>
      </c>
      <c r="AF60" s="12" t="s">
        <v>345</v>
      </c>
      <c r="AG60" s="22"/>
      <c r="AH60" s="26"/>
      <c r="AI60" s="60"/>
      <c r="AJ60" s="13"/>
      <c r="AK60" s="75"/>
      <c r="AL60" s="10" t="s">
        <v>28</v>
      </c>
      <c r="AM60" s="11">
        <v>1</v>
      </c>
      <c r="AN60" s="10" t="s">
        <v>145</v>
      </c>
      <c r="AO60" s="12" t="s">
        <v>342</v>
      </c>
      <c r="AP60" s="21"/>
      <c r="AQ60" s="22"/>
      <c r="AR60" s="57"/>
      <c r="AS60" s="23"/>
      <c r="AT60" s="75"/>
      <c r="AU60" s="10" t="s">
        <v>28</v>
      </c>
      <c r="AV60" s="11">
        <v>1</v>
      </c>
      <c r="AW60" s="10" t="s">
        <v>145</v>
      </c>
      <c r="AX60" s="12" t="s">
        <v>343</v>
      </c>
      <c r="AY60" s="21"/>
      <c r="AZ60" s="22"/>
      <c r="BA60" s="58"/>
      <c r="BB60" s="44"/>
      <c r="BD60" s="14" t="s">
        <v>198</v>
      </c>
      <c r="BE60" s="12">
        <v>1</v>
      </c>
      <c r="BF60" s="10" t="s">
        <v>201</v>
      </c>
      <c r="BG60" s="12" t="s">
        <v>341</v>
      </c>
      <c r="BH60" s="22"/>
      <c r="BI60" s="26"/>
      <c r="BJ60" s="60"/>
      <c r="BK60" s="13"/>
      <c r="BL60" s="75"/>
      <c r="BM60" s="10" t="s">
        <v>28</v>
      </c>
      <c r="BN60" s="11">
        <v>1</v>
      </c>
      <c r="BO60" s="10" t="s">
        <v>145</v>
      </c>
      <c r="BP60" s="12" t="s">
        <v>340</v>
      </c>
      <c r="BQ60" s="21"/>
      <c r="BR60" s="22"/>
      <c r="BS60" s="57"/>
      <c r="BT60" s="23"/>
      <c r="BU60" s="75"/>
      <c r="BV60" s="10" t="s">
        <v>28</v>
      </c>
      <c r="BW60" s="11">
        <v>1</v>
      </c>
      <c r="BX60" s="10" t="s">
        <v>145</v>
      </c>
      <c r="BY60" s="12" t="s">
        <v>339</v>
      </c>
      <c r="BZ60" s="21"/>
      <c r="CA60" s="22"/>
      <c r="CB60" s="58"/>
      <c r="CC60" s="44"/>
    </row>
    <row r="61" spans="29:81" x14ac:dyDescent="0.25">
      <c r="AC61" s="14" t="s">
        <v>198</v>
      </c>
      <c r="AD61" s="12">
        <v>1</v>
      </c>
      <c r="AE61" s="10" t="s">
        <v>202</v>
      </c>
      <c r="AF61" s="12" t="s">
        <v>345</v>
      </c>
      <c r="AG61" s="22"/>
      <c r="AH61" s="26"/>
      <c r="AI61" s="60"/>
      <c r="AJ61" s="13"/>
      <c r="AK61" s="75"/>
      <c r="AL61" s="10" t="s">
        <v>28</v>
      </c>
      <c r="AM61" s="11">
        <v>1</v>
      </c>
      <c r="AN61" s="10" t="s">
        <v>147</v>
      </c>
      <c r="AO61" s="12" t="s">
        <v>342</v>
      </c>
      <c r="AP61" s="21"/>
      <c r="AQ61" s="22"/>
      <c r="AR61" s="57"/>
      <c r="AS61" s="23"/>
      <c r="AT61" s="75"/>
      <c r="AU61" s="10" t="s">
        <v>28</v>
      </c>
      <c r="AV61" s="11">
        <v>1</v>
      </c>
      <c r="AW61" s="10" t="s">
        <v>147</v>
      </c>
      <c r="AX61" s="12" t="s">
        <v>343</v>
      </c>
      <c r="AY61" s="21"/>
      <c r="AZ61" s="22"/>
      <c r="BA61" s="58"/>
      <c r="BB61" s="44"/>
      <c r="BD61" s="14" t="s">
        <v>198</v>
      </c>
      <c r="BE61" s="12">
        <v>1</v>
      </c>
      <c r="BF61" s="10" t="s">
        <v>202</v>
      </c>
      <c r="BG61" s="12" t="s">
        <v>341</v>
      </c>
      <c r="BH61" s="22"/>
      <c r="BI61" s="26"/>
      <c r="BJ61" s="60"/>
      <c r="BK61" s="13"/>
      <c r="BL61" s="75"/>
      <c r="BM61" s="10" t="s">
        <v>28</v>
      </c>
      <c r="BN61" s="11">
        <v>1</v>
      </c>
      <c r="BO61" s="10" t="s">
        <v>147</v>
      </c>
      <c r="BP61" s="12" t="s">
        <v>340</v>
      </c>
      <c r="BQ61" s="21"/>
      <c r="BR61" s="22"/>
      <c r="BS61" s="57"/>
      <c r="BT61" s="23"/>
      <c r="BU61" s="75"/>
      <c r="BV61" s="10" t="s">
        <v>28</v>
      </c>
      <c r="BW61" s="11">
        <v>1</v>
      </c>
      <c r="BX61" s="10" t="s">
        <v>147</v>
      </c>
      <c r="BY61" s="12" t="s">
        <v>339</v>
      </c>
      <c r="BZ61" s="21"/>
      <c r="CA61" s="22"/>
      <c r="CB61" s="58"/>
      <c r="CC61" s="44"/>
    </row>
    <row r="62" spans="29:81" x14ac:dyDescent="0.25">
      <c r="AC62" s="14" t="s">
        <v>198</v>
      </c>
      <c r="AD62" s="12">
        <v>1</v>
      </c>
      <c r="AE62" s="10" t="s">
        <v>203</v>
      </c>
      <c r="AF62" s="12" t="s">
        <v>345</v>
      </c>
      <c r="AG62" s="22"/>
      <c r="AH62" s="26"/>
      <c r="AI62" s="60"/>
      <c r="AJ62" s="13"/>
      <c r="AK62" s="75"/>
      <c r="AL62" s="10" t="s">
        <v>28</v>
      </c>
      <c r="AM62" s="11">
        <v>1</v>
      </c>
      <c r="AN62" s="10" t="s">
        <v>149</v>
      </c>
      <c r="AO62" s="12" t="s">
        <v>342</v>
      </c>
      <c r="AP62" s="21"/>
      <c r="AQ62" s="22"/>
      <c r="AR62" s="57"/>
      <c r="AS62" s="23"/>
      <c r="AT62" s="75"/>
      <c r="AU62" s="10" t="s">
        <v>28</v>
      </c>
      <c r="AV62" s="11">
        <v>1</v>
      </c>
      <c r="AW62" s="10" t="s">
        <v>149</v>
      </c>
      <c r="AX62" s="12" t="s">
        <v>343</v>
      </c>
      <c r="AY62" s="21"/>
      <c r="AZ62" s="22"/>
      <c r="BA62" s="58"/>
      <c r="BB62" s="44"/>
      <c r="BD62" s="14" t="s">
        <v>198</v>
      </c>
      <c r="BE62" s="12">
        <v>1</v>
      </c>
      <c r="BF62" s="10" t="s">
        <v>203</v>
      </c>
      <c r="BG62" s="12" t="s">
        <v>341</v>
      </c>
      <c r="BH62" s="22"/>
      <c r="BI62" s="26"/>
      <c r="BJ62" s="60"/>
      <c r="BK62" s="13"/>
      <c r="BL62" s="75"/>
      <c r="BM62" s="10" t="s">
        <v>28</v>
      </c>
      <c r="BN62" s="11">
        <v>1</v>
      </c>
      <c r="BO62" s="10" t="s">
        <v>149</v>
      </c>
      <c r="BP62" s="12" t="s">
        <v>340</v>
      </c>
      <c r="BQ62" s="21"/>
      <c r="BR62" s="22"/>
      <c r="BS62" s="57"/>
      <c r="BT62" s="23"/>
      <c r="BU62" s="75"/>
      <c r="BV62" s="10" t="s">
        <v>28</v>
      </c>
      <c r="BW62" s="11">
        <v>1</v>
      </c>
      <c r="BX62" s="10" t="s">
        <v>149</v>
      </c>
      <c r="BY62" s="12" t="s">
        <v>339</v>
      </c>
      <c r="BZ62" s="21"/>
      <c r="CA62" s="22"/>
      <c r="CB62" s="58"/>
      <c r="CC62" s="44"/>
    </row>
    <row r="63" spans="29:81" x14ac:dyDescent="0.25">
      <c r="AC63" s="14" t="s">
        <v>198</v>
      </c>
      <c r="AD63" s="12">
        <v>1</v>
      </c>
      <c r="AE63" s="10" t="s">
        <v>204</v>
      </c>
      <c r="AF63" s="12" t="s">
        <v>345</v>
      </c>
      <c r="AG63" s="22"/>
      <c r="AH63" s="26"/>
      <c r="AI63" s="60"/>
      <c r="AJ63" s="13"/>
      <c r="AK63" s="75"/>
      <c r="AL63" s="10" t="s">
        <v>28</v>
      </c>
      <c r="AM63" s="11">
        <v>1</v>
      </c>
      <c r="AN63" s="10" t="s">
        <v>160</v>
      </c>
      <c r="AO63" s="12" t="s">
        <v>342</v>
      </c>
      <c r="AP63" s="22"/>
      <c r="AQ63" s="26"/>
      <c r="AR63" s="57"/>
      <c r="AS63" s="23"/>
      <c r="AT63" s="75"/>
      <c r="AU63" s="10" t="s">
        <v>28</v>
      </c>
      <c r="AV63" s="11">
        <v>1</v>
      </c>
      <c r="AW63" s="10" t="s">
        <v>160</v>
      </c>
      <c r="AX63" s="12" t="s">
        <v>343</v>
      </c>
      <c r="AY63" s="22"/>
      <c r="AZ63" s="26"/>
      <c r="BA63" s="58"/>
      <c r="BB63" s="44"/>
      <c r="BD63" s="14" t="s">
        <v>198</v>
      </c>
      <c r="BE63" s="12">
        <v>1</v>
      </c>
      <c r="BF63" s="10" t="s">
        <v>204</v>
      </c>
      <c r="BG63" s="12" t="s">
        <v>341</v>
      </c>
      <c r="BH63" s="22"/>
      <c r="BI63" s="26"/>
      <c r="BJ63" s="60"/>
      <c r="BK63" s="13"/>
      <c r="BL63" s="75"/>
      <c r="BM63" s="10" t="s">
        <v>28</v>
      </c>
      <c r="BN63" s="11">
        <v>1</v>
      </c>
      <c r="BO63" s="10" t="s">
        <v>160</v>
      </c>
      <c r="BP63" s="12" t="s">
        <v>340</v>
      </c>
      <c r="BQ63" s="22"/>
      <c r="BR63" s="26"/>
      <c r="BS63" s="57"/>
      <c r="BT63" s="23"/>
      <c r="BU63" s="75"/>
      <c r="BV63" s="10" t="s">
        <v>28</v>
      </c>
      <c r="BW63" s="11">
        <v>1</v>
      </c>
      <c r="BX63" s="10" t="s">
        <v>160</v>
      </c>
      <c r="BY63" s="12" t="s">
        <v>339</v>
      </c>
      <c r="BZ63" s="22"/>
      <c r="CA63" s="26"/>
      <c r="CB63" s="58"/>
      <c r="CC63" s="44"/>
    </row>
    <row r="64" spans="29:81" x14ac:dyDescent="0.25">
      <c r="AC64" s="10"/>
      <c r="AD64" s="11"/>
      <c r="AE64" s="34"/>
      <c r="AF64" s="12"/>
      <c r="AG64" s="22"/>
      <c r="AH64" s="26"/>
      <c r="AI64" s="60"/>
      <c r="AJ64" s="13"/>
      <c r="AK64" s="75"/>
      <c r="AL64" s="10" t="s">
        <v>28</v>
      </c>
      <c r="AM64" s="11">
        <v>1</v>
      </c>
      <c r="AN64" s="10" t="s">
        <v>162</v>
      </c>
      <c r="AO64" s="12" t="s">
        <v>342</v>
      </c>
      <c r="AP64" s="15"/>
      <c r="AQ64" s="26"/>
      <c r="AR64" s="57"/>
      <c r="AS64" s="23"/>
      <c r="AT64" s="75"/>
      <c r="AU64" s="10" t="s">
        <v>28</v>
      </c>
      <c r="AV64" s="11">
        <v>1</v>
      </c>
      <c r="AW64" s="10" t="s">
        <v>162</v>
      </c>
      <c r="AX64" s="12" t="s">
        <v>343</v>
      </c>
      <c r="AY64" s="15"/>
      <c r="AZ64" s="26"/>
      <c r="BA64" s="58"/>
      <c r="BB64" s="44"/>
      <c r="BD64" s="10"/>
      <c r="BE64" s="11"/>
      <c r="BF64" s="34"/>
      <c r="BG64" s="12"/>
      <c r="BH64" s="22"/>
      <c r="BI64" s="26"/>
      <c r="BJ64" s="60"/>
      <c r="BK64" s="13"/>
      <c r="BL64" s="75"/>
      <c r="BM64" s="10" t="s">
        <v>28</v>
      </c>
      <c r="BN64" s="11">
        <v>1</v>
      </c>
      <c r="BO64" s="10" t="s">
        <v>162</v>
      </c>
      <c r="BP64" s="12" t="s">
        <v>340</v>
      </c>
      <c r="BQ64" s="15"/>
      <c r="BR64" s="26"/>
      <c r="BS64" s="57"/>
      <c r="BT64" s="23"/>
      <c r="BU64" s="75"/>
      <c r="BV64" s="10" t="s">
        <v>28</v>
      </c>
      <c r="BW64" s="11">
        <v>1</v>
      </c>
      <c r="BX64" s="10" t="s">
        <v>162</v>
      </c>
      <c r="BY64" s="12" t="s">
        <v>339</v>
      </c>
      <c r="BZ64" s="15"/>
      <c r="CA64" s="26"/>
      <c r="CB64" s="58"/>
      <c r="CC64" s="44"/>
    </row>
    <row r="65" spans="29:81" x14ac:dyDescent="0.25">
      <c r="AC65" s="10"/>
      <c r="AD65" s="11"/>
      <c r="AE65" s="34"/>
      <c r="AF65" s="12"/>
      <c r="AG65" s="22"/>
      <c r="AH65" s="26"/>
      <c r="AI65" s="60"/>
      <c r="AJ65" s="13"/>
      <c r="AK65" s="75"/>
      <c r="AL65" s="10" t="s">
        <v>28</v>
      </c>
      <c r="AM65" s="11">
        <v>1</v>
      </c>
      <c r="AN65" s="10" t="s">
        <v>164</v>
      </c>
      <c r="AO65" s="12" t="s">
        <v>342</v>
      </c>
      <c r="AP65" s="22"/>
      <c r="AQ65" s="26"/>
      <c r="AR65" s="57"/>
      <c r="AS65" s="23"/>
      <c r="AT65" s="75"/>
      <c r="AU65" s="10" t="s">
        <v>28</v>
      </c>
      <c r="AV65" s="11">
        <v>1</v>
      </c>
      <c r="AW65" s="10" t="s">
        <v>164</v>
      </c>
      <c r="AX65" s="12" t="s">
        <v>343</v>
      </c>
      <c r="AY65" s="22"/>
      <c r="AZ65" s="26"/>
      <c r="BA65" s="58"/>
      <c r="BB65" s="44"/>
      <c r="BD65" s="10"/>
      <c r="BE65" s="11"/>
      <c r="BF65" s="34"/>
      <c r="BG65" s="12"/>
      <c r="BH65" s="22"/>
      <c r="BI65" s="26"/>
      <c r="BJ65" s="60"/>
      <c r="BK65" s="13"/>
      <c r="BL65" s="75"/>
      <c r="BM65" s="10" t="s">
        <v>28</v>
      </c>
      <c r="BN65" s="11">
        <v>1</v>
      </c>
      <c r="BO65" s="10" t="s">
        <v>164</v>
      </c>
      <c r="BP65" s="12" t="s">
        <v>340</v>
      </c>
      <c r="BQ65" s="22"/>
      <c r="BR65" s="26"/>
      <c r="BS65" s="57"/>
      <c r="BT65" s="23"/>
      <c r="BU65" s="75"/>
      <c r="BV65" s="10" t="s">
        <v>28</v>
      </c>
      <c r="BW65" s="11">
        <v>1</v>
      </c>
      <c r="BX65" s="10" t="s">
        <v>164</v>
      </c>
      <c r="BY65" s="12" t="s">
        <v>339</v>
      </c>
      <c r="BZ65" s="22"/>
      <c r="CA65" s="26"/>
      <c r="CB65" s="58"/>
      <c r="CC65" s="44"/>
    </row>
    <row r="66" spans="29:81" x14ac:dyDescent="0.25">
      <c r="AC66" s="10"/>
      <c r="AD66" s="11"/>
      <c r="AE66" s="34"/>
      <c r="AF66" s="12"/>
      <c r="AG66" s="22"/>
      <c r="AH66" s="22"/>
      <c r="AI66" s="62"/>
      <c r="AJ66" s="24"/>
      <c r="AK66" s="75"/>
      <c r="AL66" s="10" t="s">
        <v>28</v>
      </c>
      <c r="AM66" s="11">
        <v>1</v>
      </c>
      <c r="AN66" s="10" t="s">
        <v>166</v>
      </c>
      <c r="AO66" s="12" t="s">
        <v>342</v>
      </c>
      <c r="AP66" s="15"/>
      <c r="AQ66" s="26"/>
      <c r="AR66" s="57"/>
      <c r="AS66" s="23"/>
      <c r="AT66" s="75"/>
      <c r="AU66" s="10" t="s">
        <v>28</v>
      </c>
      <c r="AV66" s="11">
        <v>1</v>
      </c>
      <c r="AW66" s="10" t="s">
        <v>166</v>
      </c>
      <c r="AX66" s="12" t="s">
        <v>343</v>
      </c>
      <c r="AY66" s="15"/>
      <c r="AZ66" s="26"/>
      <c r="BA66" s="58"/>
      <c r="BB66" s="44"/>
      <c r="BD66" s="10"/>
      <c r="BE66" s="11"/>
      <c r="BF66" s="34"/>
      <c r="BG66" s="12"/>
      <c r="BH66" s="22"/>
      <c r="BI66" s="22"/>
      <c r="BJ66" s="62"/>
      <c r="BK66" s="24"/>
      <c r="BL66" s="75"/>
      <c r="BM66" s="10" t="s">
        <v>28</v>
      </c>
      <c r="BN66" s="11">
        <v>1</v>
      </c>
      <c r="BO66" s="10" t="s">
        <v>166</v>
      </c>
      <c r="BP66" s="12" t="s">
        <v>340</v>
      </c>
      <c r="BQ66" s="15"/>
      <c r="BR66" s="26"/>
      <c r="BS66" s="57"/>
      <c r="BT66" s="23"/>
      <c r="BU66" s="75"/>
      <c r="BV66" s="10" t="s">
        <v>28</v>
      </c>
      <c r="BW66" s="11">
        <v>1</v>
      </c>
      <c r="BX66" s="10" t="s">
        <v>166</v>
      </c>
      <c r="BY66" s="12" t="s">
        <v>339</v>
      </c>
      <c r="BZ66" s="15"/>
      <c r="CA66" s="26"/>
      <c r="CB66" s="58"/>
      <c r="CC66" s="44"/>
    </row>
    <row r="67" spans="29:81" x14ac:dyDescent="0.25">
      <c r="AC67" s="14"/>
      <c r="AD67" s="12"/>
      <c r="AE67" s="35"/>
      <c r="AF67" s="12"/>
      <c r="AG67" s="22"/>
      <c r="AH67" s="22"/>
      <c r="AI67" s="62"/>
      <c r="AJ67" s="24"/>
      <c r="AK67" s="75"/>
      <c r="AL67" s="10" t="s">
        <v>28</v>
      </c>
      <c r="AM67" s="11">
        <v>1</v>
      </c>
      <c r="AN67" s="10" t="s">
        <v>168</v>
      </c>
      <c r="AO67" s="12" t="s">
        <v>342</v>
      </c>
      <c r="AP67" s="15"/>
      <c r="AQ67" s="26"/>
      <c r="AR67" s="57"/>
      <c r="AS67" s="23"/>
      <c r="AT67" s="75"/>
      <c r="AU67" s="10" t="s">
        <v>28</v>
      </c>
      <c r="AV67" s="11">
        <v>1</v>
      </c>
      <c r="AW67" s="10" t="s">
        <v>168</v>
      </c>
      <c r="AX67" s="12" t="s">
        <v>343</v>
      </c>
      <c r="AY67" s="15"/>
      <c r="AZ67" s="26"/>
      <c r="BA67" s="58"/>
      <c r="BB67" s="44"/>
      <c r="BD67" s="14"/>
      <c r="BE67" s="12"/>
      <c r="BF67" s="35"/>
      <c r="BG67" s="12"/>
      <c r="BH67" s="22"/>
      <c r="BI67" s="22"/>
      <c r="BJ67" s="62"/>
      <c r="BK67" s="24"/>
      <c r="BL67" s="75"/>
      <c r="BM67" s="10" t="s">
        <v>28</v>
      </c>
      <c r="BN67" s="11">
        <v>1</v>
      </c>
      <c r="BO67" s="10" t="s">
        <v>168</v>
      </c>
      <c r="BP67" s="12" t="s">
        <v>340</v>
      </c>
      <c r="BQ67" s="15"/>
      <c r="BR67" s="26"/>
      <c r="BS67" s="57"/>
      <c r="BT67" s="23"/>
      <c r="BU67" s="75"/>
      <c r="BV67" s="10" t="s">
        <v>28</v>
      </c>
      <c r="BW67" s="11">
        <v>1</v>
      </c>
      <c r="BX67" s="10" t="s">
        <v>168</v>
      </c>
      <c r="BY67" s="12" t="s">
        <v>339</v>
      </c>
      <c r="BZ67" s="15"/>
      <c r="CA67" s="26"/>
      <c r="CB67" s="58"/>
      <c r="CC67" s="44"/>
    </row>
    <row r="68" spans="29:81" x14ac:dyDescent="0.25">
      <c r="AC68" s="10"/>
      <c r="AD68" s="11"/>
      <c r="AE68" s="32"/>
      <c r="AF68" s="12"/>
      <c r="AG68" s="21"/>
      <c r="AH68" s="22"/>
      <c r="AI68" s="62"/>
      <c r="AJ68" s="24"/>
      <c r="AK68" s="75"/>
      <c r="AL68" s="10" t="s">
        <v>28</v>
      </c>
      <c r="AM68" s="11">
        <v>1</v>
      </c>
      <c r="AN68" s="10" t="s">
        <v>170</v>
      </c>
      <c r="AO68" s="12" t="s">
        <v>342</v>
      </c>
      <c r="AP68" s="15"/>
      <c r="AQ68" s="26"/>
      <c r="AR68" s="57"/>
      <c r="AS68" s="23"/>
      <c r="AT68" s="75"/>
      <c r="AU68" s="10" t="s">
        <v>28</v>
      </c>
      <c r="AV68" s="11">
        <v>1</v>
      </c>
      <c r="AW68" s="10" t="s">
        <v>170</v>
      </c>
      <c r="AX68" s="12" t="s">
        <v>343</v>
      </c>
      <c r="AY68" s="15"/>
      <c r="AZ68" s="26"/>
      <c r="BA68" s="58"/>
      <c r="BB68" s="44"/>
      <c r="BD68" s="10"/>
      <c r="BE68" s="11"/>
      <c r="BF68" s="32"/>
      <c r="BG68" s="12"/>
      <c r="BH68" s="21"/>
      <c r="BI68" s="22"/>
      <c r="BJ68" s="62"/>
      <c r="BK68" s="24"/>
      <c r="BL68" s="75"/>
      <c r="BM68" s="10" t="s">
        <v>28</v>
      </c>
      <c r="BN68" s="11">
        <v>1</v>
      </c>
      <c r="BO68" s="10" t="s">
        <v>170</v>
      </c>
      <c r="BP68" s="12" t="s">
        <v>340</v>
      </c>
      <c r="BQ68" s="15"/>
      <c r="BR68" s="26"/>
      <c r="BS68" s="57"/>
      <c r="BT68" s="23"/>
      <c r="BU68" s="75"/>
      <c r="BV68" s="10" t="s">
        <v>28</v>
      </c>
      <c r="BW68" s="11">
        <v>1</v>
      </c>
      <c r="BX68" s="10" t="s">
        <v>170</v>
      </c>
      <c r="BY68" s="12" t="s">
        <v>339</v>
      </c>
      <c r="BZ68" s="15"/>
      <c r="CA68" s="26"/>
      <c r="CB68" s="58"/>
      <c r="CC68" s="44"/>
    </row>
    <row r="69" spans="29:81" x14ac:dyDescent="0.25">
      <c r="AC69" s="10"/>
      <c r="AD69" s="11"/>
      <c r="AE69" s="10"/>
      <c r="AF69" s="12"/>
      <c r="AG69" s="21"/>
      <c r="AH69" s="22"/>
      <c r="AI69" s="62"/>
      <c r="AJ69" s="24"/>
      <c r="AK69" s="75"/>
      <c r="AL69" s="10" t="s">
        <v>28</v>
      </c>
      <c r="AM69" s="11">
        <v>1</v>
      </c>
      <c r="AN69" s="10" t="s">
        <v>172</v>
      </c>
      <c r="AO69" s="12" t="s">
        <v>342</v>
      </c>
      <c r="AP69" s="44"/>
      <c r="AQ69" s="44"/>
      <c r="AR69" s="57"/>
      <c r="AS69" s="23"/>
      <c r="AT69" s="75"/>
      <c r="AU69" s="10" t="s">
        <v>28</v>
      </c>
      <c r="AV69" s="11">
        <v>1</v>
      </c>
      <c r="AW69" s="10" t="s">
        <v>172</v>
      </c>
      <c r="AX69" s="12" t="s">
        <v>343</v>
      </c>
      <c r="AY69" s="44"/>
      <c r="AZ69" s="44"/>
      <c r="BA69" s="58"/>
      <c r="BB69" s="44"/>
      <c r="BD69" s="10"/>
      <c r="BE69" s="11"/>
      <c r="BF69" s="10"/>
      <c r="BG69" s="12"/>
      <c r="BH69" s="21"/>
      <c r="BI69" s="22"/>
      <c r="BJ69" s="62"/>
      <c r="BK69" s="24"/>
      <c r="BL69" s="75"/>
      <c r="BM69" s="10" t="s">
        <v>28</v>
      </c>
      <c r="BN69" s="11">
        <v>1</v>
      </c>
      <c r="BO69" s="10" t="s">
        <v>172</v>
      </c>
      <c r="BP69" s="12" t="s">
        <v>340</v>
      </c>
      <c r="BQ69" s="44"/>
      <c r="BR69" s="44"/>
      <c r="BS69" s="57"/>
      <c r="BT69" s="23"/>
      <c r="BU69" s="75"/>
      <c r="BV69" s="10" t="s">
        <v>28</v>
      </c>
      <c r="BW69" s="11">
        <v>1</v>
      </c>
      <c r="BX69" s="10" t="s">
        <v>172</v>
      </c>
      <c r="BY69" s="12" t="s">
        <v>339</v>
      </c>
      <c r="BZ69" s="44"/>
      <c r="CA69" s="44"/>
      <c r="CB69" s="58"/>
      <c r="CC69" s="44"/>
    </row>
    <row r="70" spans="29:81" x14ac:dyDescent="0.25">
      <c r="AC70" s="10"/>
      <c r="AD70" s="11"/>
      <c r="AE70" s="10"/>
      <c r="AF70" s="12"/>
      <c r="AG70" s="21"/>
      <c r="AH70" s="22"/>
      <c r="AI70" s="62"/>
      <c r="AJ70" s="24"/>
      <c r="AK70" s="75"/>
      <c r="AL70" s="10" t="s">
        <v>28</v>
      </c>
      <c r="AM70" s="11">
        <v>1</v>
      </c>
      <c r="AN70" s="10" t="s">
        <v>174</v>
      </c>
      <c r="AO70" s="12" t="s">
        <v>342</v>
      </c>
      <c r="AP70" s="44"/>
      <c r="AQ70" s="44"/>
      <c r="AR70" s="57"/>
      <c r="AS70" s="23"/>
      <c r="AT70" s="75"/>
      <c r="AU70" s="10" t="s">
        <v>28</v>
      </c>
      <c r="AV70" s="11">
        <v>1</v>
      </c>
      <c r="AW70" s="10" t="s">
        <v>174</v>
      </c>
      <c r="AX70" s="12" t="s">
        <v>343</v>
      </c>
      <c r="AY70" s="44"/>
      <c r="AZ70" s="44"/>
      <c r="BA70" s="58"/>
      <c r="BB70" s="44"/>
      <c r="BD70" s="10"/>
      <c r="BE70" s="11"/>
      <c r="BF70" s="10"/>
      <c r="BG70" s="12"/>
      <c r="BH70" s="21"/>
      <c r="BI70" s="22"/>
      <c r="BJ70" s="62"/>
      <c r="BK70" s="24"/>
      <c r="BL70" s="75"/>
      <c r="BM70" s="10" t="s">
        <v>28</v>
      </c>
      <c r="BN70" s="11">
        <v>1</v>
      </c>
      <c r="BO70" s="10" t="s">
        <v>174</v>
      </c>
      <c r="BP70" s="12" t="s">
        <v>340</v>
      </c>
      <c r="BQ70" s="44"/>
      <c r="BR70" s="44"/>
      <c r="BS70" s="57"/>
      <c r="BT70" s="23"/>
      <c r="BU70" s="75"/>
      <c r="BV70" s="10" t="s">
        <v>28</v>
      </c>
      <c r="BW70" s="11">
        <v>1</v>
      </c>
      <c r="BX70" s="10" t="s">
        <v>174</v>
      </c>
      <c r="BY70" s="12" t="s">
        <v>339</v>
      </c>
      <c r="BZ70" s="44"/>
      <c r="CA70" s="44"/>
      <c r="CB70" s="58"/>
      <c r="CC70" s="44"/>
    </row>
    <row r="71" spans="29:81" ht="15.75" x14ac:dyDescent="0.25">
      <c r="AC71" s="74"/>
      <c r="AD71" s="74"/>
      <c r="AE71" s="74"/>
      <c r="AF71" s="74"/>
      <c r="AG71" s="74"/>
      <c r="AH71" s="74"/>
      <c r="AI71" s="74"/>
      <c r="AJ71" s="74"/>
      <c r="AK71" s="75"/>
      <c r="AL71" s="10" t="s">
        <v>28</v>
      </c>
      <c r="AM71" s="11">
        <v>1</v>
      </c>
      <c r="AN71" s="10" t="s">
        <v>176</v>
      </c>
      <c r="AO71" s="12" t="s">
        <v>342</v>
      </c>
      <c r="AP71" s="44"/>
      <c r="AQ71" s="44"/>
      <c r="AR71" s="57"/>
      <c r="AS71" s="23"/>
      <c r="AT71" s="75"/>
      <c r="AU71" s="10" t="s">
        <v>28</v>
      </c>
      <c r="AV71" s="11">
        <v>1</v>
      </c>
      <c r="AW71" s="10" t="s">
        <v>176</v>
      </c>
      <c r="AX71" s="12" t="s">
        <v>343</v>
      </c>
      <c r="AY71" s="44"/>
      <c r="AZ71" s="44"/>
      <c r="BA71" s="58"/>
      <c r="BB71" s="44"/>
      <c r="BD71" s="74"/>
      <c r="BE71" s="74"/>
      <c r="BF71" s="74"/>
      <c r="BG71" s="74"/>
      <c r="BH71" s="74"/>
      <c r="BI71" s="74"/>
      <c r="BJ71" s="74"/>
      <c r="BK71" s="74"/>
      <c r="BL71" s="75"/>
      <c r="BM71" s="10" t="s">
        <v>28</v>
      </c>
      <c r="BN71" s="11">
        <v>1</v>
      </c>
      <c r="BO71" s="10" t="s">
        <v>176</v>
      </c>
      <c r="BP71" s="12" t="s">
        <v>340</v>
      </c>
      <c r="BQ71" s="44"/>
      <c r="BR71" s="44"/>
      <c r="BS71" s="57"/>
      <c r="BT71" s="23"/>
      <c r="BU71" s="75"/>
      <c r="BV71" s="10" t="s">
        <v>28</v>
      </c>
      <c r="BW71" s="11">
        <v>1</v>
      </c>
      <c r="BX71" s="10" t="s">
        <v>176</v>
      </c>
      <c r="BY71" s="12" t="s">
        <v>339</v>
      </c>
      <c r="BZ71" s="44"/>
      <c r="CA71" s="44"/>
      <c r="CB71" s="58"/>
      <c r="CC71" s="44"/>
    </row>
    <row r="72" spans="29:81" x14ac:dyDescent="0.25">
      <c r="AC72" s="10"/>
      <c r="AD72" s="11"/>
      <c r="AE72" s="10"/>
      <c r="AF72" s="12"/>
      <c r="AG72" s="21"/>
      <c r="AH72" s="22"/>
      <c r="AI72" s="62"/>
      <c r="AJ72" s="24"/>
      <c r="AK72" s="75"/>
      <c r="AL72" s="10" t="s">
        <v>28</v>
      </c>
      <c r="AM72" s="11">
        <v>1</v>
      </c>
      <c r="AN72" s="10" t="s">
        <v>178</v>
      </c>
      <c r="AO72" s="12" t="s">
        <v>342</v>
      </c>
      <c r="AP72" s="44"/>
      <c r="AQ72" s="44"/>
      <c r="AR72" s="57"/>
      <c r="AS72" s="23"/>
      <c r="AT72" s="75"/>
      <c r="AU72" s="10" t="s">
        <v>28</v>
      </c>
      <c r="AV72" s="11">
        <v>1</v>
      </c>
      <c r="AW72" s="10" t="s">
        <v>178</v>
      </c>
      <c r="AX72" s="12" t="s">
        <v>343</v>
      </c>
      <c r="AY72" s="44"/>
      <c r="AZ72" s="44"/>
      <c r="BA72" s="58"/>
      <c r="BB72" s="44"/>
      <c r="BD72" s="10"/>
      <c r="BE72" s="11"/>
      <c r="BF72" s="10"/>
      <c r="BG72" s="12"/>
      <c r="BH72" s="21"/>
      <c r="BI72" s="22"/>
      <c r="BJ72" s="62"/>
      <c r="BK72" s="24"/>
      <c r="BL72" s="75"/>
      <c r="BM72" s="10" t="s">
        <v>28</v>
      </c>
      <c r="BN72" s="11">
        <v>1</v>
      </c>
      <c r="BO72" s="10" t="s">
        <v>178</v>
      </c>
      <c r="BP72" s="12" t="s">
        <v>340</v>
      </c>
      <c r="BQ72" s="44"/>
      <c r="BR72" s="44"/>
      <c r="BS72" s="57"/>
      <c r="BT72" s="23"/>
      <c r="BU72" s="75"/>
      <c r="BV72" s="10" t="s">
        <v>28</v>
      </c>
      <c r="BW72" s="11">
        <v>1</v>
      </c>
      <c r="BX72" s="10" t="s">
        <v>178</v>
      </c>
      <c r="BY72" s="12" t="s">
        <v>339</v>
      </c>
      <c r="BZ72" s="44"/>
      <c r="CA72" s="44"/>
      <c r="CB72" s="58"/>
      <c r="CC72" s="44"/>
    </row>
    <row r="73" spans="29:81" x14ac:dyDescent="0.25">
      <c r="AC73" s="10"/>
      <c r="AD73" s="11"/>
      <c r="AE73" s="10"/>
      <c r="AF73" s="12"/>
      <c r="AG73" s="21"/>
      <c r="AH73" s="22"/>
      <c r="AI73" s="62"/>
      <c r="AJ73" s="24"/>
      <c r="AK73" s="75"/>
      <c r="AL73" s="10" t="s">
        <v>28</v>
      </c>
      <c r="AM73" s="11">
        <v>1</v>
      </c>
      <c r="AN73" s="10" t="s">
        <v>180</v>
      </c>
      <c r="AO73" s="12" t="s">
        <v>342</v>
      </c>
      <c r="AP73" s="44"/>
      <c r="AQ73" s="44"/>
      <c r="AR73" s="57"/>
      <c r="AS73" s="23"/>
      <c r="AT73" s="75"/>
      <c r="AU73" s="10" t="s">
        <v>28</v>
      </c>
      <c r="AV73" s="11">
        <v>1</v>
      </c>
      <c r="AW73" s="10" t="s">
        <v>180</v>
      </c>
      <c r="AX73" s="12" t="s">
        <v>343</v>
      </c>
      <c r="AY73" s="44"/>
      <c r="AZ73" s="44"/>
      <c r="BA73" s="58"/>
      <c r="BB73" s="44"/>
      <c r="BD73" s="10"/>
      <c r="BE73" s="11"/>
      <c r="BF73" s="10"/>
      <c r="BG73" s="12"/>
      <c r="BH73" s="21"/>
      <c r="BI73" s="22"/>
      <c r="BJ73" s="62"/>
      <c r="BK73" s="24"/>
      <c r="BL73" s="75"/>
      <c r="BM73" s="10" t="s">
        <v>28</v>
      </c>
      <c r="BN73" s="11">
        <v>1</v>
      </c>
      <c r="BO73" s="10" t="s">
        <v>180</v>
      </c>
      <c r="BP73" s="12" t="s">
        <v>340</v>
      </c>
      <c r="BQ73" s="44"/>
      <c r="BR73" s="44"/>
      <c r="BS73" s="57"/>
      <c r="BT73" s="23"/>
      <c r="BU73" s="75"/>
      <c r="BV73" s="10" t="s">
        <v>28</v>
      </c>
      <c r="BW73" s="11">
        <v>1</v>
      </c>
      <c r="BX73" s="10" t="s">
        <v>180</v>
      </c>
      <c r="BY73" s="12" t="s">
        <v>339</v>
      </c>
      <c r="BZ73" s="44"/>
      <c r="CA73" s="44"/>
      <c r="CB73" s="58"/>
      <c r="CC73" s="44"/>
    </row>
    <row r="74" spans="29:81" x14ac:dyDescent="0.25">
      <c r="AC74" s="611"/>
      <c r="AD74" s="612"/>
      <c r="AE74" s="612"/>
      <c r="AF74" s="612"/>
      <c r="AG74" s="612"/>
      <c r="AH74" s="612"/>
      <c r="AI74" s="612"/>
      <c r="AJ74" s="613"/>
      <c r="AK74" s="78"/>
      <c r="AL74" s="611"/>
      <c r="AM74" s="612"/>
      <c r="AN74" s="612"/>
      <c r="AO74" s="612"/>
      <c r="AP74" s="612"/>
      <c r="AQ74" s="612"/>
      <c r="AR74" s="612"/>
      <c r="AS74" s="613"/>
      <c r="AT74" s="78"/>
      <c r="AU74" s="611"/>
      <c r="AV74" s="612"/>
      <c r="AW74" s="612"/>
      <c r="AX74" s="612"/>
      <c r="AY74" s="612"/>
      <c r="AZ74" s="612"/>
      <c r="BA74" s="612"/>
      <c r="BB74" s="613"/>
      <c r="BD74" s="611"/>
      <c r="BE74" s="612"/>
      <c r="BF74" s="612"/>
      <c r="BG74" s="612"/>
      <c r="BH74" s="612"/>
      <c r="BI74" s="612"/>
      <c r="BJ74" s="612"/>
      <c r="BK74" s="613"/>
      <c r="BL74" s="78"/>
      <c r="BM74" s="611"/>
      <c r="BN74" s="612"/>
      <c r="BO74" s="612"/>
      <c r="BP74" s="612"/>
      <c r="BQ74" s="612"/>
      <c r="BR74" s="612"/>
      <c r="BS74" s="612"/>
      <c r="BT74" s="613"/>
      <c r="BU74" s="78"/>
      <c r="BV74" s="611"/>
      <c r="BW74" s="612"/>
      <c r="BX74" s="612"/>
      <c r="BY74" s="612"/>
      <c r="BZ74" s="612"/>
      <c r="CA74" s="612"/>
      <c r="CB74" s="612"/>
      <c r="CC74" s="613"/>
    </row>
    <row r="75" spans="29:81" x14ac:dyDescent="0.25">
      <c r="AC75" s="10" t="s">
        <v>115</v>
      </c>
      <c r="AD75" s="11">
        <v>1</v>
      </c>
      <c r="AE75" s="10" t="s">
        <v>121</v>
      </c>
      <c r="AF75" s="11"/>
      <c r="AG75" s="21"/>
      <c r="AH75" s="22"/>
      <c r="AI75" s="62"/>
      <c r="AJ75" s="24"/>
      <c r="AK75" s="75"/>
      <c r="AL75" s="10"/>
      <c r="AM75" s="11"/>
      <c r="AN75" s="10"/>
      <c r="AO75" s="12"/>
      <c r="AP75" s="22"/>
      <c r="AQ75" s="26"/>
      <c r="AR75" s="58"/>
      <c r="AS75" s="44"/>
      <c r="AT75" s="75"/>
      <c r="AU75" s="23"/>
      <c r="AV75" s="12"/>
      <c r="AW75" s="23"/>
      <c r="AX75" s="12"/>
      <c r="AY75" s="21"/>
      <c r="AZ75" s="26"/>
      <c r="BA75" s="58"/>
      <c r="BB75" s="44"/>
      <c r="BD75" s="10" t="s">
        <v>115</v>
      </c>
      <c r="BE75" s="11">
        <v>1</v>
      </c>
      <c r="BF75" s="10" t="s">
        <v>121</v>
      </c>
      <c r="BG75" s="11"/>
      <c r="BH75" s="21"/>
      <c r="BI75" s="22"/>
      <c r="BJ75" s="62"/>
      <c r="BK75" s="24"/>
      <c r="BL75" s="75"/>
      <c r="BM75" s="10"/>
      <c r="BN75" s="11"/>
      <c r="BO75" s="10"/>
      <c r="BP75" s="12"/>
      <c r="BQ75" s="22"/>
      <c r="BR75" s="26"/>
      <c r="BS75" s="58"/>
      <c r="BT75" s="44"/>
      <c r="BU75" s="75"/>
      <c r="BV75" s="23"/>
      <c r="BW75" s="12"/>
      <c r="BX75" s="23"/>
      <c r="BY75" s="12"/>
      <c r="BZ75" s="21"/>
      <c r="CA75" s="26"/>
      <c r="CB75" s="58"/>
      <c r="CC75" s="44"/>
    </row>
    <row r="76" spans="29:81" x14ac:dyDescent="0.25">
      <c r="AC76" s="10" t="s">
        <v>116</v>
      </c>
      <c r="AD76" s="11">
        <v>1</v>
      </c>
      <c r="AE76" s="10" t="s">
        <v>97</v>
      </c>
      <c r="AF76" s="12"/>
      <c r="AG76" s="21"/>
      <c r="AH76" s="22"/>
      <c r="AI76" s="62"/>
      <c r="AJ76" s="24"/>
      <c r="AK76" s="75"/>
      <c r="AL76" s="10"/>
      <c r="AM76" s="11"/>
      <c r="AN76" s="10"/>
      <c r="AO76" s="12"/>
      <c r="AP76" s="22"/>
      <c r="AQ76" s="26"/>
      <c r="AR76" s="58"/>
      <c r="AS76" s="44"/>
      <c r="AT76" s="75"/>
      <c r="AU76" s="10"/>
      <c r="AV76" s="11"/>
      <c r="AW76" s="10"/>
      <c r="AX76" s="12"/>
      <c r="AY76" s="15"/>
      <c r="AZ76" s="26"/>
      <c r="BA76" s="58"/>
      <c r="BB76" s="44"/>
      <c r="BD76" s="10" t="s">
        <v>116</v>
      </c>
      <c r="BE76" s="11">
        <v>1</v>
      </c>
      <c r="BF76" s="10" t="s">
        <v>97</v>
      </c>
      <c r="BG76" s="12"/>
      <c r="BH76" s="21"/>
      <c r="BI76" s="22"/>
      <c r="BJ76" s="62"/>
      <c r="BK76" s="24"/>
      <c r="BL76" s="75"/>
      <c r="BM76" s="10"/>
      <c r="BN76" s="11"/>
      <c r="BO76" s="10"/>
      <c r="BP76" s="12"/>
      <c r="BQ76" s="22"/>
      <c r="BR76" s="26"/>
      <c r="BS76" s="58"/>
      <c r="BT76" s="44"/>
      <c r="BU76" s="75"/>
      <c r="BV76" s="10"/>
      <c r="BW76" s="11"/>
      <c r="BX76" s="10"/>
      <c r="BY76" s="12"/>
      <c r="BZ76" s="15"/>
      <c r="CA76" s="26"/>
      <c r="CB76" s="58"/>
      <c r="CC76" s="44"/>
    </row>
    <row r="77" spans="29:81" x14ac:dyDescent="0.25">
      <c r="AC77" s="10" t="s">
        <v>117</v>
      </c>
      <c r="AD77" s="11">
        <v>1</v>
      </c>
      <c r="AE77" s="10" t="s">
        <v>97</v>
      </c>
      <c r="AF77" s="12"/>
      <c r="AG77" s="21"/>
      <c r="AH77" s="22"/>
      <c r="AI77" s="62"/>
      <c r="AJ77" s="24"/>
      <c r="AK77" s="75"/>
      <c r="AL77" s="10"/>
      <c r="AM77" s="11"/>
      <c r="AN77" s="10"/>
      <c r="AO77" s="12"/>
      <c r="AP77" s="21"/>
      <c r="AQ77" s="22"/>
      <c r="AR77" s="58"/>
      <c r="AS77" s="44"/>
      <c r="AT77" s="75"/>
      <c r="AU77" s="10"/>
      <c r="AV77" s="11"/>
      <c r="AW77" s="10"/>
      <c r="AX77" s="12"/>
      <c r="AY77" s="15"/>
      <c r="AZ77" s="26"/>
      <c r="BA77" s="58"/>
      <c r="BB77" s="44"/>
      <c r="BD77" s="10" t="s">
        <v>117</v>
      </c>
      <c r="BE77" s="11">
        <v>1</v>
      </c>
      <c r="BF77" s="10" t="s">
        <v>97</v>
      </c>
      <c r="BG77" s="12"/>
      <c r="BH77" s="21"/>
      <c r="BI77" s="22"/>
      <c r="BJ77" s="62"/>
      <c r="BK77" s="24"/>
      <c r="BL77" s="75"/>
      <c r="BM77" s="10"/>
      <c r="BN77" s="11"/>
      <c r="BO77" s="10"/>
      <c r="BP77" s="12"/>
      <c r="BQ77" s="21"/>
      <c r="BR77" s="22"/>
      <c r="BS77" s="58"/>
      <c r="BT77" s="44"/>
      <c r="BU77" s="75"/>
      <c r="BV77" s="10"/>
      <c r="BW77" s="11"/>
      <c r="BX77" s="10"/>
      <c r="BY77" s="12"/>
      <c r="BZ77" s="15"/>
      <c r="CA77" s="26"/>
      <c r="CB77" s="58"/>
      <c r="CC77" s="44"/>
    </row>
    <row r="78" spans="29:81" x14ac:dyDescent="0.25">
      <c r="AC78" s="10" t="s">
        <v>99</v>
      </c>
      <c r="AD78" s="11">
        <v>1</v>
      </c>
      <c r="AE78" s="10" t="s">
        <v>242</v>
      </c>
      <c r="AF78" s="12"/>
      <c r="AG78" s="21"/>
      <c r="AH78" s="22"/>
      <c r="AI78" s="62"/>
      <c r="AJ78" s="24"/>
      <c r="AK78" s="75"/>
      <c r="AL78" s="10"/>
      <c r="AM78" s="11"/>
      <c r="AN78" s="10"/>
      <c r="AO78" s="12"/>
      <c r="AP78" s="21"/>
      <c r="AQ78" s="22"/>
      <c r="AR78" s="58"/>
      <c r="AS78" s="44"/>
      <c r="AT78" s="75"/>
      <c r="AU78" s="23"/>
      <c r="AV78" s="12"/>
      <c r="AW78" s="23"/>
      <c r="AX78" s="12"/>
      <c r="AY78" s="15"/>
      <c r="AZ78" s="26"/>
      <c r="BA78" s="58"/>
      <c r="BB78" s="44"/>
      <c r="BD78" s="10" t="s">
        <v>99</v>
      </c>
      <c r="BE78" s="11">
        <v>1</v>
      </c>
      <c r="BF78" s="10" t="s">
        <v>242</v>
      </c>
      <c r="BG78" s="12"/>
      <c r="BH78" s="21"/>
      <c r="BI78" s="22"/>
      <c r="BJ78" s="62"/>
      <c r="BK78" s="24"/>
      <c r="BL78" s="75"/>
      <c r="BM78" s="10"/>
      <c r="BN78" s="11"/>
      <c r="BO78" s="10"/>
      <c r="BP78" s="12"/>
      <c r="BQ78" s="21"/>
      <c r="BR78" s="22"/>
      <c r="BS78" s="58"/>
      <c r="BT78" s="44"/>
      <c r="BU78" s="75"/>
      <c r="BV78" s="23"/>
      <c r="BW78" s="12"/>
      <c r="BX78" s="23"/>
      <c r="BY78" s="12"/>
      <c r="BZ78" s="15"/>
      <c r="CA78" s="26"/>
      <c r="CB78" s="58"/>
      <c r="CC78" s="44"/>
    </row>
    <row r="79" spans="29:81" x14ac:dyDescent="0.25">
      <c r="AC79" s="10"/>
      <c r="AD79" s="11"/>
      <c r="AE79" s="32"/>
      <c r="AF79" s="12"/>
      <c r="AG79" s="21"/>
      <c r="AH79" s="22"/>
      <c r="AI79" s="62"/>
      <c r="AJ79" s="24"/>
      <c r="AK79" s="75"/>
      <c r="AL79" s="10"/>
      <c r="AM79" s="11"/>
      <c r="AN79" s="10"/>
      <c r="AO79" s="12"/>
      <c r="AP79" s="21"/>
      <c r="AQ79" s="22"/>
      <c r="AR79" s="58"/>
      <c r="AS79" s="44"/>
      <c r="AT79" s="75"/>
      <c r="AU79" s="10"/>
      <c r="AV79" s="11"/>
      <c r="AW79" s="10"/>
      <c r="AX79" s="12"/>
      <c r="AY79" s="15"/>
      <c r="AZ79" s="26"/>
      <c r="BA79" s="58"/>
      <c r="BB79" s="44"/>
      <c r="BD79" s="10"/>
      <c r="BE79" s="11"/>
      <c r="BF79" s="32"/>
      <c r="BG79" s="12"/>
      <c r="BH79" s="21"/>
      <c r="BI79" s="22"/>
      <c r="BJ79" s="62"/>
      <c r="BK79" s="24"/>
      <c r="BL79" s="75"/>
      <c r="BM79" s="10"/>
      <c r="BN79" s="11"/>
      <c r="BO79" s="10"/>
      <c r="BP79" s="12"/>
      <c r="BQ79" s="21"/>
      <c r="BR79" s="22"/>
      <c r="BS79" s="58"/>
      <c r="BT79" s="44"/>
      <c r="BU79" s="75"/>
      <c r="BV79" s="10"/>
      <c r="BW79" s="11"/>
      <c r="BX79" s="10"/>
      <c r="BY79" s="12"/>
      <c r="BZ79" s="15"/>
      <c r="CA79" s="26"/>
      <c r="CB79" s="58"/>
      <c r="CC79" s="44"/>
    </row>
    <row r="80" spans="29:81" x14ac:dyDescent="0.25">
      <c r="AC80" s="10" t="s">
        <v>95</v>
      </c>
      <c r="AD80" s="11">
        <v>1</v>
      </c>
      <c r="AE80" s="10" t="s">
        <v>100</v>
      </c>
      <c r="AF80" s="12"/>
      <c r="AG80" s="21"/>
      <c r="AH80" s="26"/>
      <c r="AI80" s="60"/>
      <c r="AJ80" s="13"/>
      <c r="AK80" s="75"/>
      <c r="AL80" s="10"/>
      <c r="AM80" s="11"/>
      <c r="AN80" s="10"/>
      <c r="AO80" s="12"/>
      <c r="AP80" s="22"/>
      <c r="AQ80" s="26"/>
      <c r="AR80" s="58"/>
      <c r="AS80" s="44"/>
      <c r="AT80" s="75"/>
      <c r="AU80" s="10"/>
      <c r="AV80" s="11"/>
      <c r="AW80" s="10"/>
      <c r="AX80" s="12"/>
      <c r="AY80" s="22"/>
      <c r="AZ80" s="26"/>
      <c r="BA80" s="58"/>
      <c r="BB80" s="44"/>
      <c r="BD80" s="10" t="s">
        <v>95</v>
      </c>
      <c r="BE80" s="11">
        <v>1</v>
      </c>
      <c r="BF80" s="10" t="s">
        <v>100</v>
      </c>
      <c r="BG80" s="12"/>
      <c r="BH80" s="21"/>
      <c r="BI80" s="26"/>
      <c r="BJ80" s="60"/>
      <c r="BK80" s="13"/>
      <c r="BL80" s="75"/>
      <c r="BM80" s="10"/>
      <c r="BN80" s="11"/>
      <c r="BO80" s="10"/>
      <c r="BP80" s="12"/>
      <c r="BQ80" s="22"/>
      <c r="BR80" s="26"/>
      <c r="BS80" s="58"/>
      <c r="BT80" s="44"/>
      <c r="BU80" s="75"/>
      <c r="BV80" s="10"/>
      <c r="BW80" s="11"/>
      <c r="BX80" s="10"/>
      <c r="BY80" s="12"/>
      <c r="BZ80" s="22"/>
      <c r="CA80" s="26"/>
      <c r="CB80" s="58"/>
      <c r="CC80" s="44"/>
    </row>
    <row r="81" spans="29:81" x14ac:dyDescent="0.25">
      <c r="AC81" s="10" t="s">
        <v>96</v>
      </c>
      <c r="AD81" s="11">
        <v>1</v>
      </c>
      <c r="AE81" s="10" t="s">
        <v>97</v>
      </c>
      <c r="AF81" s="12"/>
      <c r="AG81" s="25"/>
      <c r="AH81" s="26"/>
      <c r="AI81" s="60"/>
      <c r="AJ81" s="13"/>
      <c r="AK81" s="75"/>
      <c r="AL81" s="10"/>
      <c r="AM81" s="11"/>
      <c r="AN81" s="10"/>
      <c r="AO81" s="12"/>
      <c r="AP81" s="15"/>
      <c r="AQ81" s="26"/>
      <c r="AR81" s="58"/>
      <c r="AS81" s="44"/>
      <c r="AT81" s="75"/>
      <c r="AU81" s="23"/>
      <c r="AV81" s="12"/>
      <c r="AW81" s="23"/>
      <c r="AX81" s="12"/>
      <c r="AY81" s="21"/>
      <c r="AZ81" s="26"/>
      <c r="BA81" s="58"/>
      <c r="BB81" s="44"/>
      <c r="BD81" s="10" t="s">
        <v>96</v>
      </c>
      <c r="BE81" s="11">
        <v>1</v>
      </c>
      <c r="BF81" s="10" t="s">
        <v>97</v>
      </c>
      <c r="BG81" s="12"/>
      <c r="BH81" s="25"/>
      <c r="BI81" s="26"/>
      <c r="BJ81" s="60"/>
      <c r="BK81" s="13"/>
      <c r="BL81" s="75"/>
      <c r="BM81" s="10"/>
      <c r="BN81" s="11"/>
      <c r="BO81" s="10"/>
      <c r="BP81" s="12"/>
      <c r="BQ81" s="15"/>
      <c r="BR81" s="26"/>
      <c r="BS81" s="58"/>
      <c r="BT81" s="44"/>
      <c r="BU81" s="75"/>
      <c r="BV81" s="23"/>
      <c r="BW81" s="12"/>
      <c r="BX81" s="23"/>
      <c r="BY81" s="12"/>
      <c r="BZ81" s="21"/>
      <c r="CA81" s="26"/>
      <c r="CB81" s="58"/>
      <c r="CC81" s="44"/>
    </row>
    <row r="82" spans="29:81" x14ac:dyDescent="0.25">
      <c r="AC82" s="10" t="s">
        <v>98</v>
      </c>
      <c r="AD82" s="11">
        <v>1</v>
      </c>
      <c r="AE82" s="10" t="s">
        <v>97</v>
      </c>
      <c r="AF82" s="12"/>
      <c r="AG82" s="22"/>
      <c r="AH82" s="26"/>
      <c r="AI82" s="60"/>
      <c r="AJ82" s="13"/>
      <c r="AK82" s="75"/>
      <c r="AL82" s="10"/>
      <c r="AM82" s="11"/>
      <c r="AN82" s="10"/>
      <c r="AO82" s="12"/>
      <c r="AP82" s="22"/>
      <c r="AQ82" s="26"/>
      <c r="AR82" s="58"/>
      <c r="AS82" s="44"/>
      <c r="AT82" s="75"/>
      <c r="AU82" s="10"/>
      <c r="AV82" s="11"/>
      <c r="AW82" s="10"/>
      <c r="AX82" s="12"/>
      <c r="AY82" s="15"/>
      <c r="AZ82" s="26"/>
      <c r="BA82" s="58"/>
      <c r="BB82" s="44"/>
      <c r="BD82" s="10" t="s">
        <v>98</v>
      </c>
      <c r="BE82" s="11">
        <v>1</v>
      </c>
      <c r="BF82" s="10" t="s">
        <v>97</v>
      </c>
      <c r="BG82" s="12"/>
      <c r="BH82" s="22"/>
      <c r="BI82" s="26"/>
      <c r="BJ82" s="60"/>
      <c r="BK82" s="13"/>
      <c r="BL82" s="75"/>
      <c r="BM82" s="10"/>
      <c r="BN82" s="11"/>
      <c r="BO82" s="10"/>
      <c r="BP82" s="12"/>
      <c r="BQ82" s="22"/>
      <c r="BR82" s="26"/>
      <c r="BS82" s="58"/>
      <c r="BT82" s="44"/>
      <c r="BU82" s="75"/>
      <c r="BV82" s="10"/>
      <c r="BW82" s="11"/>
      <c r="BX82" s="10"/>
      <c r="BY82" s="12"/>
      <c r="BZ82" s="15"/>
      <c r="CA82" s="26"/>
      <c r="CB82" s="58"/>
      <c r="CC82" s="44"/>
    </row>
    <row r="83" spans="29:81" x14ac:dyDescent="0.25">
      <c r="AC83" s="10" t="s">
        <v>99</v>
      </c>
      <c r="AD83" s="11">
        <v>1</v>
      </c>
      <c r="AE83" s="10" t="s">
        <v>242</v>
      </c>
      <c r="AF83" s="12"/>
      <c r="AG83" s="22"/>
      <c r="AH83" s="26"/>
      <c r="AI83" s="60"/>
      <c r="AJ83" s="13"/>
      <c r="AK83" s="75"/>
      <c r="AL83" s="10"/>
      <c r="AM83" s="11"/>
      <c r="AN83" s="10"/>
      <c r="AO83" s="12"/>
      <c r="AP83" s="15"/>
      <c r="AQ83" s="26"/>
      <c r="AR83" s="58"/>
      <c r="AS83" s="44"/>
      <c r="AT83" s="75"/>
      <c r="AU83" s="10"/>
      <c r="AV83" s="11"/>
      <c r="AW83" s="10"/>
      <c r="AX83" s="12"/>
      <c r="AY83" s="15"/>
      <c r="AZ83" s="26"/>
      <c r="BA83" s="58"/>
      <c r="BB83" s="44"/>
      <c r="BD83" s="10" t="s">
        <v>99</v>
      </c>
      <c r="BE83" s="11">
        <v>1</v>
      </c>
      <c r="BF83" s="10" t="s">
        <v>242</v>
      </c>
      <c r="BG83" s="12"/>
      <c r="BH83" s="22"/>
      <c r="BI83" s="26"/>
      <c r="BJ83" s="60"/>
      <c r="BK83" s="13"/>
      <c r="BL83" s="75"/>
      <c r="BM83" s="10"/>
      <c r="BN83" s="11"/>
      <c r="BO83" s="10"/>
      <c r="BP83" s="12"/>
      <c r="BQ83" s="15"/>
      <c r="BR83" s="26"/>
      <c r="BS83" s="58"/>
      <c r="BT83" s="44"/>
      <c r="BU83" s="75"/>
      <c r="BV83" s="10"/>
      <c r="BW83" s="11"/>
      <c r="BX83" s="10"/>
      <c r="BY83" s="12"/>
      <c r="BZ83" s="15"/>
      <c r="CA83" s="26"/>
      <c r="CB83" s="58"/>
      <c r="CC83" s="44"/>
    </row>
    <row r="84" spans="29:81" x14ac:dyDescent="0.25">
      <c r="AC84" s="10"/>
      <c r="AD84" s="11"/>
      <c r="AE84" s="10"/>
      <c r="AF84" s="12"/>
      <c r="AG84" s="21"/>
      <c r="AH84" s="26"/>
      <c r="AI84" s="60"/>
      <c r="AJ84" s="13"/>
      <c r="AK84" s="75"/>
      <c r="AL84" s="10"/>
      <c r="AM84" s="11"/>
      <c r="AN84" s="10"/>
      <c r="AO84" s="12"/>
      <c r="AP84" s="15"/>
      <c r="AQ84" s="26"/>
      <c r="AR84" s="58"/>
      <c r="AS84" s="44"/>
      <c r="AT84" s="75"/>
      <c r="AU84" s="23"/>
      <c r="AV84" s="12"/>
      <c r="AW84" s="23"/>
      <c r="AX84" s="12"/>
      <c r="AY84" s="15"/>
      <c r="AZ84" s="26"/>
      <c r="BA84" s="58"/>
      <c r="BB84" s="44"/>
      <c r="BD84" s="10"/>
      <c r="BE84" s="11"/>
      <c r="BF84" s="10"/>
      <c r="BG84" s="12"/>
      <c r="BH84" s="21"/>
      <c r="BI84" s="26"/>
      <c r="BJ84" s="60"/>
      <c r="BK84" s="13"/>
      <c r="BL84" s="75"/>
      <c r="BM84" s="10"/>
      <c r="BN84" s="11"/>
      <c r="BO84" s="10"/>
      <c r="BP84" s="12"/>
      <c r="BQ84" s="15"/>
      <c r="BR84" s="26"/>
      <c r="BS84" s="58"/>
      <c r="BT84" s="44"/>
      <c r="BU84" s="75"/>
      <c r="BV84" s="23"/>
      <c r="BW84" s="12"/>
      <c r="BX84" s="23"/>
      <c r="BY84" s="12"/>
      <c r="BZ84" s="15"/>
      <c r="CA84" s="26"/>
      <c r="CB84" s="58"/>
      <c r="CC84" s="44"/>
    </row>
    <row r="85" spans="29:81" x14ac:dyDescent="0.25">
      <c r="AC85" s="10" t="s">
        <v>118</v>
      </c>
      <c r="AD85" s="11">
        <v>1</v>
      </c>
      <c r="AE85" s="10" t="s">
        <v>122</v>
      </c>
      <c r="AF85" s="12"/>
      <c r="AG85" s="15"/>
      <c r="AH85" s="26"/>
      <c r="AI85" s="60"/>
      <c r="AJ85" s="13"/>
      <c r="AK85" s="75"/>
      <c r="AL85" s="10"/>
      <c r="AM85" s="11"/>
      <c r="AN85" s="10"/>
      <c r="AO85" s="12"/>
      <c r="AP85" s="15"/>
      <c r="AQ85" s="26"/>
      <c r="AR85" s="58"/>
      <c r="AS85" s="44"/>
      <c r="AT85" s="75"/>
      <c r="AU85" s="10"/>
      <c r="AV85" s="11"/>
      <c r="AW85" s="10"/>
      <c r="AX85" s="12"/>
      <c r="AY85" s="15"/>
      <c r="AZ85" s="26"/>
      <c r="BA85" s="58"/>
      <c r="BB85" s="44"/>
      <c r="BD85" s="10" t="s">
        <v>118</v>
      </c>
      <c r="BE85" s="11">
        <v>1</v>
      </c>
      <c r="BF85" s="10" t="s">
        <v>122</v>
      </c>
      <c r="BG85" s="12"/>
      <c r="BH85" s="15"/>
      <c r="BI85" s="26"/>
      <c r="BJ85" s="60"/>
      <c r="BK85" s="13"/>
      <c r="BL85" s="75"/>
      <c r="BM85" s="10"/>
      <c r="BN85" s="11"/>
      <c r="BO85" s="10"/>
      <c r="BP85" s="12"/>
      <c r="BQ85" s="15"/>
      <c r="BR85" s="26"/>
      <c r="BS85" s="58"/>
      <c r="BT85" s="44"/>
      <c r="BU85" s="75"/>
      <c r="BV85" s="10"/>
      <c r="BW85" s="11"/>
      <c r="BX85" s="10"/>
      <c r="BY85" s="12"/>
      <c r="BZ85" s="15"/>
      <c r="CA85" s="26"/>
      <c r="CB85" s="58"/>
      <c r="CC85" s="44"/>
    </row>
    <row r="86" spans="29:81" x14ac:dyDescent="0.25">
      <c r="AC86" s="10" t="s">
        <v>119</v>
      </c>
      <c r="AD86" s="11">
        <v>1</v>
      </c>
      <c r="AE86" s="10" t="s">
        <v>97</v>
      </c>
      <c r="AF86" s="12"/>
      <c r="AG86" s="15"/>
      <c r="AH86" s="26"/>
      <c r="AI86" s="60"/>
      <c r="AJ86" s="13"/>
      <c r="AK86" s="75"/>
      <c r="AL86" s="10"/>
      <c r="AM86" s="11"/>
      <c r="AN86" s="10"/>
      <c r="AO86" s="12"/>
      <c r="AP86" s="44"/>
      <c r="AQ86" s="44"/>
      <c r="AR86" s="58"/>
      <c r="AS86" s="44"/>
      <c r="AT86" s="75"/>
      <c r="AU86" s="10"/>
      <c r="AV86" s="11"/>
      <c r="AW86" s="10"/>
      <c r="AX86" s="12"/>
      <c r="AY86" s="15"/>
      <c r="AZ86" s="26"/>
      <c r="BA86" s="58"/>
      <c r="BB86" s="44"/>
      <c r="BD86" s="10" t="s">
        <v>119</v>
      </c>
      <c r="BE86" s="11">
        <v>1</v>
      </c>
      <c r="BF86" s="10" t="s">
        <v>97</v>
      </c>
      <c r="BG86" s="12"/>
      <c r="BH86" s="15"/>
      <c r="BI86" s="26"/>
      <c r="BJ86" s="60"/>
      <c r="BK86" s="13"/>
      <c r="BL86" s="75"/>
      <c r="BM86" s="10"/>
      <c r="BN86" s="11"/>
      <c r="BO86" s="10"/>
      <c r="BP86" s="12"/>
      <c r="BQ86" s="44"/>
      <c r="BR86" s="44"/>
      <c r="BS86" s="58"/>
      <c r="BT86" s="44"/>
      <c r="BU86" s="75"/>
      <c r="BV86" s="10"/>
      <c r="BW86" s="11"/>
      <c r="BX86" s="10"/>
      <c r="BY86" s="12"/>
      <c r="BZ86" s="15"/>
      <c r="CA86" s="26"/>
      <c r="CB86" s="58"/>
      <c r="CC86" s="44"/>
    </row>
    <row r="87" spans="29:81" x14ac:dyDescent="0.25">
      <c r="AC87" s="10" t="s">
        <v>120</v>
      </c>
      <c r="AD87" s="11">
        <v>1</v>
      </c>
      <c r="AE87" s="10" t="s">
        <v>97</v>
      </c>
      <c r="AF87" s="12"/>
      <c r="AG87" s="15"/>
      <c r="AH87" s="26"/>
      <c r="AI87" s="60"/>
      <c r="AJ87" s="13"/>
      <c r="AK87" s="75"/>
      <c r="AL87" s="10"/>
      <c r="AM87" s="11"/>
      <c r="AN87" s="10"/>
      <c r="AO87" s="12"/>
      <c r="AP87" s="44"/>
      <c r="AQ87" s="44"/>
      <c r="AR87" s="58"/>
      <c r="AS87" s="44"/>
      <c r="AT87" s="75"/>
      <c r="AU87" s="23"/>
      <c r="AV87" s="12"/>
      <c r="AW87" s="23"/>
      <c r="AX87" s="12"/>
      <c r="AY87" s="15"/>
      <c r="AZ87" s="26"/>
      <c r="BA87" s="58"/>
      <c r="BB87" s="44"/>
      <c r="BD87" s="10" t="s">
        <v>120</v>
      </c>
      <c r="BE87" s="11">
        <v>1</v>
      </c>
      <c r="BF87" s="10" t="s">
        <v>97</v>
      </c>
      <c r="BG87" s="12"/>
      <c r="BH87" s="15"/>
      <c r="BI87" s="26"/>
      <c r="BJ87" s="60"/>
      <c r="BK87" s="13"/>
      <c r="BL87" s="75"/>
      <c r="BM87" s="10"/>
      <c r="BN87" s="11"/>
      <c r="BO87" s="10"/>
      <c r="BP87" s="12"/>
      <c r="BQ87" s="44"/>
      <c r="BR87" s="44"/>
      <c r="BS87" s="58"/>
      <c r="BT87" s="44"/>
      <c r="BU87" s="75"/>
      <c r="BV87" s="23"/>
      <c r="BW87" s="12"/>
      <c r="BX87" s="23"/>
      <c r="BY87" s="12"/>
      <c r="BZ87" s="15"/>
      <c r="CA87" s="26"/>
      <c r="CB87" s="58"/>
      <c r="CC87" s="44"/>
    </row>
    <row r="88" spans="29:81" x14ac:dyDescent="0.25">
      <c r="AC88" s="10" t="s">
        <v>99</v>
      </c>
      <c r="AD88" s="11">
        <v>1</v>
      </c>
      <c r="AE88" s="10" t="s">
        <v>242</v>
      </c>
      <c r="AF88" s="12"/>
      <c r="AG88" s="15"/>
      <c r="AH88" s="26"/>
      <c r="AI88" s="60"/>
      <c r="AJ88" s="13"/>
      <c r="AK88" s="75"/>
      <c r="AL88" s="10"/>
      <c r="AM88" s="11"/>
      <c r="AN88" s="10"/>
      <c r="AO88" s="12"/>
      <c r="AP88" s="44"/>
      <c r="AQ88" s="44"/>
      <c r="AR88" s="58"/>
      <c r="AS88" s="44"/>
      <c r="AT88" s="75"/>
      <c r="AU88" s="10"/>
      <c r="AV88" s="11"/>
      <c r="AW88" s="10"/>
      <c r="AX88" s="12"/>
      <c r="AY88" s="15"/>
      <c r="AZ88" s="26"/>
      <c r="BA88" s="58"/>
      <c r="BB88" s="44"/>
      <c r="BD88" s="10" t="s">
        <v>99</v>
      </c>
      <c r="BE88" s="11">
        <v>1</v>
      </c>
      <c r="BF88" s="10" t="s">
        <v>242</v>
      </c>
      <c r="BG88" s="12"/>
      <c r="BH88" s="15"/>
      <c r="BI88" s="26"/>
      <c r="BJ88" s="60"/>
      <c r="BK88" s="13"/>
      <c r="BL88" s="75"/>
      <c r="BM88" s="10"/>
      <c r="BN88" s="11"/>
      <c r="BO88" s="10"/>
      <c r="BP88" s="12"/>
      <c r="BQ88" s="44"/>
      <c r="BR88" s="44"/>
      <c r="BS88" s="58"/>
      <c r="BT88" s="44"/>
      <c r="BU88" s="75"/>
      <c r="BV88" s="10"/>
      <c r="BW88" s="11"/>
      <c r="BX88" s="10"/>
      <c r="BY88" s="12"/>
      <c r="BZ88" s="15"/>
      <c r="CA88" s="26"/>
      <c r="CB88" s="58"/>
      <c r="CC88" s="44"/>
    </row>
    <row r="89" spans="29:81" ht="15.75" x14ac:dyDescent="0.25">
      <c r="AC89" s="10"/>
      <c r="AD89" s="11"/>
      <c r="AE89" s="47"/>
      <c r="AF89" s="48"/>
      <c r="AG89" s="49"/>
      <c r="AH89" s="50"/>
      <c r="AI89" s="61"/>
      <c r="AJ89" s="51"/>
      <c r="AK89" s="75"/>
      <c r="AL89" s="10"/>
      <c r="AM89" s="11"/>
      <c r="AN89" s="10"/>
      <c r="AO89" s="12"/>
      <c r="AP89" s="44"/>
      <c r="AQ89" s="44"/>
      <c r="AR89" s="58"/>
      <c r="AS89" s="44"/>
      <c r="AT89" s="75"/>
      <c r="AU89" s="10"/>
      <c r="AV89" s="11"/>
      <c r="AW89" s="10"/>
      <c r="AX89" s="12"/>
      <c r="AY89" s="15"/>
      <c r="AZ89" s="26"/>
      <c r="BA89" s="58"/>
      <c r="BB89" s="44"/>
      <c r="BD89" s="10"/>
      <c r="BE89" s="11"/>
      <c r="BF89" s="47"/>
      <c r="BG89" s="48"/>
      <c r="BH89" s="49"/>
      <c r="BI89" s="50"/>
      <c r="BJ89" s="61"/>
      <c r="BK89" s="51"/>
      <c r="BL89" s="75"/>
      <c r="BM89" s="10"/>
      <c r="BN89" s="11"/>
      <c r="BO89" s="10"/>
      <c r="BP89" s="12"/>
      <c r="BQ89" s="44"/>
      <c r="BR89" s="44"/>
      <c r="BS89" s="58"/>
      <c r="BT89" s="44"/>
      <c r="BU89" s="75"/>
      <c r="BV89" s="10"/>
      <c r="BW89" s="11"/>
      <c r="BX89" s="10"/>
      <c r="BY89" s="12"/>
      <c r="BZ89" s="15"/>
      <c r="CA89" s="26"/>
      <c r="CB89" s="58"/>
      <c r="CC89" s="44"/>
    </row>
    <row r="90" spans="29:81" x14ac:dyDescent="0.25">
      <c r="AC90" s="10"/>
      <c r="AD90" s="11"/>
      <c r="AE90" s="52"/>
      <c r="AF90" s="48"/>
      <c r="AG90" s="49"/>
      <c r="AH90" s="50"/>
      <c r="AI90" s="61"/>
      <c r="AJ90" s="51"/>
      <c r="AK90" s="75"/>
      <c r="AL90" s="10"/>
      <c r="AM90" s="11"/>
      <c r="AN90" s="10"/>
      <c r="AO90" s="12"/>
      <c r="AP90" s="44"/>
      <c r="AQ90" s="44"/>
      <c r="AR90" s="58"/>
      <c r="AS90" s="44"/>
      <c r="AT90" s="75"/>
      <c r="AU90" s="23"/>
      <c r="AV90" s="12"/>
      <c r="AW90" s="23"/>
      <c r="AX90" s="12"/>
      <c r="AY90" s="13"/>
      <c r="AZ90" s="13"/>
      <c r="BA90" s="58"/>
      <c r="BB90" s="44"/>
      <c r="BD90" s="10"/>
      <c r="BE90" s="11"/>
      <c r="BF90" s="52"/>
      <c r="BG90" s="48"/>
      <c r="BH90" s="49"/>
      <c r="BI90" s="50"/>
      <c r="BJ90" s="61"/>
      <c r="BK90" s="51"/>
      <c r="BL90" s="75"/>
      <c r="BM90" s="10"/>
      <c r="BN90" s="11"/>
      <c r="BO90" s="10"/>
      <c r="BP90" s="12"/>
      <c r="BQ90" s="44"/>
      <c r="BR90" s="44"/>
      <c r="BS90" s="58"/>
      <c r="BT90" s="44"/>
      <c r="BU90" s="75"/>
      <c r="BV90" s="23"/>
      <c r="BW90" s="12"/>
      <c r="BX90" s="23"/>
      <c r="BY90" s="12"/>
      <c r="BZ90" s="13"/>
      <c r="CA90" s="13"/>
      <c r="CB90" s="58"/>
      <c r="CC90" s="44"/>
    </row>
    <row r="91" spans="29:81" x14ac:dyDescent="0.25">
      <c r="AC91" s="611"/>
      <c r="AD91" s="612"/>
      <c r="AE91" s="612"/>
      <c r="AF91" s="612"/>
      <c r="AG91" s="612"/>
      <c r="AH91" s="612"/>
      <c r="AI91" s="612"/>
      <c r="AJ91" s="613"/>
      <c r="AK91" s="75"/>
      <c r="AL91" s="611"/>
      <c r="AM91" s="612"/>
      <c r="AN91" s="612"/>
      <c r="AO91" s="612"/>
      <c r="AP91" s="612"/>
      <c r="AQ91" s="612"/>
      <c r="AR91" s="612"/>
      <c r="AS91" s="613"/>
      <c r="AT91" s="75"/>
      <c r="AU91" s="611"/>
      <c r="AV91" s="612"/>
      <c r="AW91" s="612"/>
      <c r="AX91" s="612"/>
      <c r="AY91" s="612"/>
      <c r="AZ91" s="612"/>
      <c r="BA91" s="612"/>
      <c r="BB91" s="613"/>
      <c r="BD91" s="611"/>
      <c r="BE91" s="612"/>
      <c r="BF91" s="612"/>
      <c r="BG91" s="612"/>
      <c r="BH91" s="612"/>
      <c r="BI91" s="612"/>
      <c r="BJ91" s="612"/>
      <c r="BK91" s="613"/>
      <c r="BL91" s="75"/>
      <c r="BM91" s="611"/>
      <c r="BN91" s="612"/>
      <c r="BO91" s="612"/>
      <c r="BP91" s="612"/>
      <c r="BQ91" s="612"/>
      <c r="BR91" s="612"/>
      <c r="BS91" s="612"/>
      <c r="BT91" s="613"/>
      <c r="BU91" s="75"/>
      <c r="BV91" s="611"/>
      <c r="BW91" s="612"/>
      <c r="BX91" s="612"/>
      <c r="BY91" s="612"/>
      <c r="BZ91" s="612"/>
      <c r="CA91" s="612"/>
      <c r="CB91" s="612"/>
      <c r="CC91" s="613"/>
    </row>
  </sheetData>
  <mergeCells count="74">
    <mergeCell ref="BV91:CC91"/>
    <mergeCell ref="BV39:CC39"/>
    <mergeCell ref="BD56:BK56"/>
    <mergeCell ref="BM56:BT56"/>
    <mergeCell ref="BV56:CC56"/>
    <mergeCell ref="BD74:BK74"/>
    <mergeCell ref="BM74:BT74"/>
    <mergeCell ref="BV74:CC74"/>
    <mergeCell ref="BV4:CC4"/>
    <mergeCell ref="BD19:BK19"/>
    <mergeCell ref="BD22:BK22"/>
    <mergeCell ref="BM22:BT22"/>
    <mergeCell ref="BV22:CC22"/>
    <mergeCell ref="BV1:CC1"/>
    <mergeCell ref="BD2:BK2"/>
    <mergeCell ref="BM2:BT2"/>
    <mergeCell ref="BV2:CC2"/>
    <mergeCell ref="BD3:BK3"/>
    <mergeCell ref="BM3:BT3"/>
    <mergeCell ref="BV3:CC3"/>
    <mergeCell ref="AC91:AJ91"/>
    <mergeCell ref="AL91:AS91"/>
    <mergeCell ref="AU91:BB91"/>
    <mergeCell ref="BD1:BK1"/>
    <mergeCell ref="BM1:BT1"/>
    <mergeCell ref="BD4:BK4"/>
    <mergeCell ref="BM4:BT4"/>
    <mergeCell ref="BD39:BK39"/>
    <mergeCell ref="BM39:BT39"/>
    <mergeCell ref="BD91:BK91"/>
    <mergeCell ref="BM91:BT91"/>
    <mergeCell ref="AC56:AJ56"/>
    <mergeCell ref="AL56:AS56"/>
    <mergeCell ref="AU56:BB56"/>
    <mergeCell ref="AC74:AJ74"/>
    <mergeCell ref="AL74:AS74"/>
    <mergeCell ref="AU74:BB74"/>
    <mergeCell ref="AC19:AJ19"/>
    <mergeCell ref="AC22:AJ22"/>
    <mergeCell ref="AL22:AS22"/>
    <mergeCell ref="AU22:BB22"/>
    <mergeCell ref="AC39:AJ39"/>
    <mergeCell ref="AL39:AS39"/>
    <mergeCell ref="AU39:BB39"/>
    <mergeCell ref="AC3:AJ3"/>
    <mergeCell ref="AL3:AS3"/>
    <mergeCell ref="AU3:BB3"/>
    <mergeCell ref="AC4:AJ4"/>
    <mergeCell ref="AL4:AS4"/>
    <mergeCell ref="AU4:BB4"/>
    <mergeCell ref="AC1:AJ1"/>
    <mergeCell ref="AL1:AS1"/>
    <mergeCell ref="AU1:BB1"/>
    <mergeCell ref="AC2:AJ2"/>
    <mergeCell ref="AL2:AS2"/>
    <mergeCell ref="AU2:BB2"/>
    <mergeCell ref="A17:F17"/>
    <mergeCell ref="A18:F18"/>
    <mergeCell ref="A19:F19"/>
    <mergeCell ref="A12:F12"/>
    <mergeCell ref="A13:F13"/>
    <mergeCell ref="A14:F14"/>
    <mergeCell ref="A15:F15"/>
    <mergeCell ref="A16:F16"/>
    <mergeCell ref="A7:F7"/>
    <mergeCell ref="A8:F8"/>
    <mergeCell ref="A9:F9"/>
    <mergeCell ref="A10:F10"/>
    <mergeCell ref="A11:F11"/>
    <mergeCell ref="A2:F2"/>
    <mergeCell ref="A3:F3"/>
    <mergeCell ref="A4:F4"/>
    <mergeCell ref="A5:F5"/>
    <mergeCell ref="A6:F6"/>
  </mergeCells>
  <hyperlinks>
    <hyperlink ref="B21" location="Notes!AC1" display="Notes!AC1" xr:uid="{1852196D-9044-4CEE-B9C7-634203023E7D}"/>
    <hyperlink ref="B22" location="Notes!BD1" display="Notes!BD1" xr:uid="{EC0EDFC8-D5E9-492A-B1FA-F35531C77757}"/>
  </hyperlinks>
  <printOptions horizontalCentered="1"/>
  <pageMargins left="0.25" right="0.25" top="0.75" bottom="0.75" header="0.3" footer="0.3"/>
  <pageSetup fitToHeight="0" orientation="portrait" r:id="rId1"/>
  <headerFooter>
    <oddFooter>&amp;Z&amp;F&amp;RPage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2090C-7ECA-4FC4-858C-BB55BBB54F64}">
  <sheetPr>
    <tabColor theme="0"/>
    <pageSetUpPr fitToPage="1"/>
  </sheetPr>
  <dimension ref="A1:I118"/>
  <sheetViews>
    <sheetView showGridLines="0" showWhiteSpace="0" topLeftCell="A60" zoomScale="85" zoomScaleNormal="85" workbookViewId="0">
      <selection activeCell="C87" sqref="C87:F95"/>
    </sheetView>
  </sheetViews>
  <sheetFormatPr defaultRowHeight="15" x14ac:dyDescent="0.25"/>
  <cols>
    <col min="1" max="1" width="20.42578125" style="1" bestFit="1" customWidth="1"/>
    <col min="2" max="2" width="5.7109375" style="1" bestFit="1" customWidth="1"/>
    <col min="3" max="3" width="40.5703125" customWidth="1"/>
    <col min="4" max="4" width="20.28515625" bestFit="1" customWidth="1"/>
    <col min="5" max="5" width="16" bestFit="1" customWidth="1"/>
    <col min="6" max="6" width="7.85546875" bestFit="1" customWidth="1"/>
    <col min="7" max="7" width="15.7109375" customWidth="1"/>
    <col min="8" max="8" width="12.7109375" customWidth="1"/>
    <col min="9" max="9" width="15.7109375" customWidth="1"/>
  </cols>
  <sheetData>
    <row r="1" spans="1:9" ht="17.100000000000001" customHeight="1" thickBot="1" x14ac:dyDescent="0.3">
      <c r="A1" s="97"/>
      <c r="B1" s="98"/>
      <c r="C1" s="3"/>
      <c r="D1" s="3"/>
      <c r="E1" s="3"/>
      <c r="F1" s="99"/>
    </row>
    <row r="2" spans="1:9" ht="25.5" customHeight="1" thickBot="1" x14ac:dyDescent="0.3">
      <c r="A2" s="662" t="s">
        <v>4</v>
      </c>
      <c r="B2" s="663"/>
      <c r="C2" s="663"/>
      <c r="D2" s="663"/>
      <c r="E2" s="663"/>
      <c r="F2" s="663"/>
      <c r="G2" s="662"/>
      <c r="H2" s="663"/>
      <c r="I2" s="664"/>
    </row>
    <row r="3" spans="1:9" s="2" customFormat="1" ht="15.75" x14ac:dyDescent="0.25">
      <c r="A3" s="118" t="s">
        <v>5</v>
      </c>
      <c r="B3" s="665"/>
      <c r="C3" s="666"/>
      <c r="D3" s="119" t="s">
        <v>8</v>
      </c>
      <c r="E3" s="667">
        <f ca="1">TODAY()</f>
        <v>45826</v>
      </c>
      <c r="F3" s="668"/>
      <c r="G3" s="669"/>
      <c r="H3" s="670"/>
      <c r="I3" s="671"/>
    </row>
    <row r="4" spans="1:9" s="2" customFormat="1" ht="15.75" x14ac:dyDescent="0.25">
      <c r="A4" s="5" t="s">
        <v>3</v>
      </c>
      <c r="B4" s="655"/>
      <c r="C4" s="656"/>
      <c r="D4" s="4" t="s">
        <v>6</v>
      </c>
      <c r="E4" s="657"/>
      <c r="F4" s="658"/>
      <c r="G4" s="659" t="s">
        <v>361</v>
      </c>
      <c r="H4" s="660"/>
      <c r="I4" s="661"/>
    </row>
    <row r="5" spans="1:9" ht="16.5" thickBot="1" x14ac:dyDescent="0.3">
      <c r="A5" s="6" t="s">
        <v>0</v>
      </c>
      <c r="B5" s="7" t="s">
        <v>1</v>
      </c>
      <c r="C5" s="7" t="s">
        <v>2</v>
      </c>
      <c r="D5" s="9" t="s">
        <v>7</v>
      </c>
      <c r="E5" s="7" t="s">
        <v>357</v>
      </c>
      <c r="F5" s="45" t="s">
        <v>9</v>
      </c>
      <c r="G5" s="6" t="s">
        <v>358</v>
      </c>
      <c r="H5" s="128" t="s">
        <v>359</v>
      </c>
      <c r="I5" s="117" t="s">
        <v>360</v>
      </c>
    </row>
    <row r="6" spans="1:9" ht="15.75" x14ac:dyDescent="0.25">
      <c r="A6" s="130"/>
      <c r="B6" s="131"/>
      <c r="C6" s="132"/>
      <c r="D6" s="116"/>
      <c r="E6" s="175"/>
      <c r="F6" s="177"/>
      <c r="G6" s="121"/>
      <c r="H6" s="134"/>
      <c r="I6" s="120"/>
    </row>
    <row r="7" spans="1:9" ht="15.75" x14ac:dyDescent="0.25">
      <c r="A7" s="113"/>
      <c r="B7" s="11"/>
      <c r="C7" s="10"/>
      <c r="D7" s="344"/>
      <c r="E7" s="345"/>
      <c r="F7" s="346"/>
      <c r="G7" s="121"/>
      <c r="H7" s="127">
        <f t="shared" ref="H7:H39" si="0">G7-E7</f>
        <v>0</v>
      </c>
      <c r="I7" s="120"/>
    </row>
    <row r="8" spans="1:9" ht="15.75" x14ac:dyDescent="0.25">
      <c r="A8" s="113"/>
      <c r="B8" s="11"/>
      <c r="C8" s="10"/>
      <c r="D8" s="344"/>
      <c r="E8" s="345"/>
      <c r="F8" s="346"/>
      <c r="G8" s="121"/>
      <c r="H8" s="127">
        <f t="shared" si="0"/>
        <v>0</v>
      </c>
      <c r="I8" s="120"/>
    </row>
    <row r="9" spans="1:9" ht="15.75" x14ac:dyDescent="0.25">
      <c r="A9" s="113"/>
      <c r="B9" s="11"/>
      <c r="C9" s="10"/>
      <c r="D9" s="344"/>
      <c r="E9" s="345"/>
      <c r="F9" s="346"/>
      <c r="G9" s="121"/>
      <c r="H9" s="127">
        <f t="shared" si="0"/>
        <v>0</v>
      </c>
      <c r="I9" s="120"/>
    </row>
    <row r="10" spans="1:9" ht="15.75" x14ac:dyDescent="0.25">
      <c r="A10" s="113"/>
      <c r="B10" s="11"/>
      <c r="C10" s="10"/>
      <c r="D10" s="344"/>
      <c r="E10" s="345"/>
      <c r="F10" s="346"/>
      <c r="G10" s="121"/>
      <c r="H10" s="127">
        <f t="shared" si="0"/>
        <v>0</v>
      </c>
      <c r="I10" s="120"/>
    </row>
    <row r="11" spans="1:9" ht="15.75" x14ac:dyDescent="0.25">
      <c r="A11" s="113"/>
      <c r="B11" s="11"/>
      <c r="C11" s="10"/>
      <c r="D11" s="344"/>
      <c r="E11" s="345"/>
      <c r="F11" s="346"/>
      <c r="G11" s="121"/>
      <c r="H11" s="127">
        <f t="shared" si="0"/>
        <v>0</v>
      </c>
      <c r="I11" s="120"/>
    </row>
    <row r="12" spans="1:9" ht="15.75" x14ac:dyDescent="0.25">
      <c r="A12" s="113"/>
      <c r="B12" s="11"/>
      <c r="C12" s="10"/>
      <c r="D12" s="344"/>
      <c r="E12" s="345"/>
      <c r="F12" s="346"/>
      <c r="G12" s="121"/>
      <c r="H12" s="127">
        <f t="shared" si="0"/>
        <v>0</v>
      </c>
      <c r="I12" s="120"/>
    </row>
    <row r="13" spans="1:9" ht="15.75" x14ac:dyDescent="0.25">
      <c r="A13" s="113"/>
      <c r="B13" s="11"/>
      <c r="C13" s="10"/>
      <c r="D13" s="344"/>
      <c r="E13" s="345"/>
      <c r="F13" s="346"/>
      <c r="G13" s="121"/>
      <c r="H13" s="127">
        <f t="shared" si="0"/>
        <v>0</v>
      </c>
      <c r="I13" s="120"/>
    </row>
    <row r="14" spans="1:9" ht="15.75" x14ac:dyDescent="0.25">
      <c r="A14" s="113"/>
      <c r="B14" s="11"/>
      <c r="C14" s="10"/>
      <c r="D14" s="344"/>
      <c r="E14" s="345"/>
      <c r="F14" s="346"/>
      <c r="G14" s="121"/>
      <c r="H14" s="127">
        <f t="shared" si="0"/>
        <v>0</v>
      </c>
      <c r="I14" s="120"/>
    </row>
    <row r="15" spans="1:9" ht="15.75" x14ac:dyDescent="0.25">
      <c r="A15" s="113"/>
      <c r="B15" s="11"/>
      <c r="C15" s="10"/>
      <c r="D15" s="344"/>
      <c r="E15" s="345"/>
      <c r="F15" s="346"/>
      <c r="G15" s="121"/>
      <c r="H15" s="127">
        <f t="shared" si="0"/>
        <v>0</v>
      </c>
      <c r="I15" s="120"/>
    </row>
    <row r="16" spans="1:9" ht="15.75" x14ac:dyDescent="0.25">
      <c r="A16" s="113"/>
      <c r="B16" s="11"/>
      <c r="C16" s="10"/>
      <c r="D16" s="344"/>
      <c r="E16" s="345"/>
      <c r="F16" s="346"/>
      <c r="G16" s="121"/>
      <c r="H16" s="127">
        <f t="shared" si="0"/>
        <v>0</v>
      </c>
      <c r="I16" s="120"/>
    </row>
    <row r="17" spans="1:9" ht="15.75" x14ac:dyDescent="0.25">
      <c r="A17" s="113"/>
      <c r="B17" s="11"/>
      <c r="C17" s="10"/>
      <c r="D17" s="344"/>
      <c r="E17" s="345"/>
      <c r="F17" s="346"/>
      <c r="G17" s="121"/>
      <c r="H17" s="127">
        <f t="shared" si="0"/>
        <v>0</v>
      </c>
      <c r="I17" s="120"/>
    </row>
    <row r="18" spans="1:9" ht="15.75" x14ac:dyDescent="0.25">
      <c r="A18" s="113"/>
      <c r="B18" s="11"/>
      <c r="C18" s="10"/>
      <c r="D18" s="344"/>
      <c r="E18" s="345"/>
      <c r="F18" s="346"/>
      <c r="G18" s="121"/>
      <c r="H18" s="127">
        <f t="shared" si="0"/>
        <v>0</v>
      </c>
      <c r="I18" s="120"/>
    </row>
    <row r="19" spans="1:9" ht="15.75" x14ac:dyDescent="0.25">
      <c r="A19" s="113"/>
      <c r="B19" s="11"/>
      <c r="C19" s="10"/>
      <c r="D19" s="344"/>
      <c r="E19" s="345"/>
      <c r="F19" s="346"/>
      <c r="G19" s="121"/>
      <c r="H19" s="127">
        <f t="shared" si="0"/>
        <v>0</v>
      </c>
      <c r="I19" s="120"/>
    </row>
    <row r="20" spans="1:9" ht="15.75" x14ac:dyDescent="0.25">
      <c r="A20" s="113"/>
      <c r="B20" s="11"/>
      <c r="C20" s="10"/>
      <c r="D20" s="344"/>
      <c r="E20" s="345"/>
      <c r="F20" s="346"/>
      <c r="G20" s="121"/>
      <c r="H20" s="127">
        <f t="shared" si="0"/>
        <v>0</v>
      </c>
      <c r="I20" s="120"/>
    </row>
    <row r="21" spans="1:9" ht="15.75" x14ac:dyDescent="0.25">
      <c r="A21" s="113"/>
      <c r="B21" s="11"/>
      <c r="C21" s="10"/>
      <c r="D21" s="344"/>
      <c r="E21" s="345"/>
      <c r="F21" s="346"/>
      <c r="G21" s="121"/>
      <c r="H21" s="127">
        <f t="shared" si="0"/>
        <v>0</v>
      </c>
      <c r="I21" s="120"/>
    </row>
    <row r="22" spans="1:9" ht="15.75" x14ac:dyDescent="0.25">
      <c r="A22" s="113"/>
      <c r="B22" s="11"/>
      <c r="C22" s="10"/>
      <c r="D22" s="344"/>
      <c r="E22" s="345"/>
      <c r="F22" s="346"/>
      <c r="G22" s="121"/>
      <c r="H22" s="127">
        <f t="shared" si="0"/>
        <v>0</v>
      </c>
      <c r="I22" s="120"/>
    </row>
    <row r="23" spans="1:9" ht="15.75" x14ac:dyDescent="0.25">
      <c r="A23" s="113"/>
      <c r="B23" s="11"/>
      <c r="C23" s="10"/>
      <c r="D23" s="344"/>
      <c r="E23" s="345"/>
      <c r="F23" s="346"/>
      <c r="G23" s="121"/>
      <c r="H23" s="127">
        <f t="shared" si="0"/>
        <v>0</v>
      </c>
      <c r="I23" s="120"/>
    </row>
    <row r="24" spans="1:9" ht="15.75" x14ac:dyDescent="0.25">
      <c r="A24" s="113"/>
      <c r="B24" s="11"/>
      <c r="C24" s="10"/>
      <c r="D24" s="344"/>
      <c r="E24" s="345"/>
      <c r="F24" s="346"/>
      <c r="G24" s="121"/>
      <c r="H24" s="127">
        <f t="shared" si="0"/>
        <v>0</v>
      </c>
      <c r="I24" s="120"/>
    </row>
    <row r="25" spans="1:9" ht="15.75" x14ac:dyDescent="0.25">
      <c r="A25" s="113"/>
      <c r="B25" s="11"/>
      <c r="C25" s="10"/>
      <c r="D25" s="344"/>
      <c r="E25" s="345"/>
      <c r="F25" s="346"/>
      <c r="G25" s="121"/>
      <c r="H25" s="127">
        <f t="shared" si="0"/>
        <v>0</v>
      </c>
      <c r="I25" s="120"/>
    </row>
    <row r="26" spans="1:9" ht="15.75" x14ac:dyDescent="0.25">
      <c r="A26" s="113"/>
      <c r="B26" s="11"/>
      <c r="C26" s="10"/>
      <c r="D26" s="344"/>
      <c r="E26" s="345"/>
      <c r="F26" s="346"/>
      <c r="G26" s="121"/>
      <c r="H26" s="127">
        <f t="shared" si="0"/>
        <v>0</v>
      </c>
      <c r="I26" s="120"/>
    </row>
    <row r="27" spans="1:9" ht="15.75" x14ac:dyDescent="0.25">
      <c r="A27" s="113"/>
      <c r="B27" s="11"/>
      <c r="C27" s="10"/>
      <c r="D27" s="344"/>
      <c r="E27" s="345"/>
      <c r="F27" s="346"/>
      <c r="G27" s="121"/>
      <c r="H27" s="127">
        <f t="shared" si="0"/>
        <v>0</v>
      </c>
      <c r="I27" s="120"/>
    </row>
    <row r="28" spans="1:9" ht="15.75" x14ac:dyDescent="0.25">
      <c r="A28" s="113"/>
      <c r="B28" s="11"/>
      <c r="C28" s="10"/>
      <c r="D28" s="344"/>
      <c r="E28" s="345"/>
      <c r="F28" s="346"/>
      <c r="G28" s="121"/>
      <c r="H28" s="127">
        <f t="shared" si="0"/>
        <v>0</v>
      </c>
      <c r="I28" s="120"/>
    </row>
    <row r="29" spans="1:9" ht="15.75" x14ac:dyDescent="0.25">
      <c r="A29" s="113"/>
      <c r="B29" s="11"/>
      <c r="C29" s="10"/>
      <c r="D29" s="344"/>
      <c r="E29" s="345"/>
      <c r="F29" s="346"/>
      <c r="G29" s="121"/>
      <c r="H29" s="127">
        <f t="shared" si="0"/>
        <v>0</v>
      </c>
      <c r="I29" s="120"/>
    </row>
    <row r="30" spans="1:9" ht="15.75" x14ac:dyDescent="0.25">
      <c r="A30" s="113"/>
      <c r="B30" s="11"/>
      <c r="C30" s="10"/>
      <c r="D30" s="344"/>
      <c r="E30" s="345"/>
      <c r="F30" s="346"/>
      <c r="G30" s="121"/>
      <c r="H30" s="127">
        <f t="shared" si="0"/>
        <v>0</v>
      </c>
      <c r="I30" s="120"/>
    </row>
    <row r="31" spans="1:9" ht="15.75" x14ac:dyDescent="0.25">
      <c r="A31" s="113"/>
      <c r="B31" s="11"/>
      <c r="C31" s="10"/>
      <c r="D31" s="344"/>
      <c r="E31" s="345"/>
      <c r="F31" s="346"/>
      <c r="G31" s="121"/>
      <c r="H31" s="127">
        <f t="shared" si="0"/>
        <v>0</v>
      </c>
      <c r="I31" s="120"/>
    </row>
    <row r="32" spans="1:9" ht="15.75" x14ac:dyDescent="0.25">
      <c r="A32" s="113"/>
      <c r="B32" s="11"/>
      <c r="C32" s="10"/>
      <c r="D32" s="344"/>
      <c r="E32" s="345"/>
      <c r="F32" s="346"/>
      <c r="G32" s="121"/>
      <c r="H32" s="127">
        <f t="shared" si="0"/>
        <v>0</v>
      </c>
      <c r="I32" s="120"/>
    </row>
    <row r="33" spans="1:9" ht="15.75" x14ac:dyDescent="0.25">
      <c r="A33" s="113"/>
      <c r="B33" s="11"/>
      <c r="C33" s="10"/>
      <c r="D33" s="344"/>
      <c r="E33" s="345"/>
      <c r="F33" s="346"/>
      <c r="G33" s="121"/>
      <c r="H33" s="127">
        <f t="shared" si="0"/>
        <v>0</v>
      </c>
      <c r="I33" s="120"/>
    </row>
    <row r="34" spans="1:9" ht="15.75" x14ac:dyDescent="0.25">
      <c r="A34" s="113"/>
      <c r="B34" s="11"/>
      <c r="C34" s="10"/>
      <c r="D34" s="344"/>
      <c r="E34" s="345"/>
      <c r="F34" s="346"/>
      <c r="G34" s="121"/>
      <c r="H34" s="127">
        <f t="shared" si="0"/>
        <v>0</v>
      </c>
      <c r="I34" s="120"/>
    </row>
    <row r="35" spans="1:9" ht="15.75" x14ac:dyDescent="0.25">
      <c r="A35" s="113"/>
      <c r="B35" s="11"/>
      <c r="C35" s="10"/>
      <c r="D35" s="344"/>
      <c r="E35" s="345"/>
      <c r="F35" s="346"/>
      <c r="G35" s="121"/>
      <c r="H35" s="127">
        <f t="shared" si="0"/>
        <v>0</v>
      </c>
      <c r="I35" s="120"/>
    </row>
    <row r="36" spans="1:9" ht="15.75" x14ac:dyDescent="0.25">
      <c r="A36" s="113"/>
      <c r="B36" s="11"/>
      <c r="C36" s="10"/>
      <c r="D36" s="344"/>
      <c r="E36" s="345"/>
      <c r="F36" s="346"/>
      <c r="G36" s="121"/>
      <c r="H36" s="127">
        <f t="shared" si="0"/>
        <v>0</v>
      </c>
      <c r="I36" s="120"/>
    </row>
    <row r="37" spans="1:9" ht="15.75" x14ac:dyDescent="0.25">
      <c r="A37" s="113"/>
      <c r="B37" s="11"/>
      <c r="C37" s="10"/>
      <c r="D37" s="344"/>
      <c r="E37" s="345"/>
      <c r="F37" s="346"/>
      <c r="G37" s="121"/>
      <c r="H37" s="127">
        <f t="shared" si="0"/>
        <v>0</v>
      </c>
      <c r="I37" s="120"/>
    </row>
    <row r="38" spans="1:9" ht="15.75" x14ac:dyDescent="0.25">
      <c r="A38" s="113"/>
      <c r="B38" s="11"/>
      <c r="C38" s="10"/>
      <c r="D38" s="344"/>
      <c r="E38" s="345"/>
      <c r="F38" s="346"/>
      <c r="G38" s="121"/>
      <c r="H38" s="127">
        <f t="shared" si="0"/>
        <v>0</v>
      </c>
      <c r="I38" s="120"/>
    </row>
    <row r="39" spans="1:9" ht="15.75" x14ac:dyDescent="0.25">
      <c r="A39" s="113"/>
      <c r="B39" s="11"/>
      <c r="C39" s="10"/>
      <c r="D39" s="344"/>
      <c r="E39" s="345"/>
      <c r="F39" s="346"/>
      <c r="G39" s="121"/>
      <c r="H39" s="127">
        <f t="shared" si="0"/>
        <v>0</v>
      </c>
      <c r="I39" s="120"/>
    </row>
    <row r="40" spans="1:9" x14ac:dyDescent="0.25">
      <c r="A40" s="39"/>
      <c r="B40" s="12"/>
      <c r="C40" s="143"/>
      <c r="D40" s="12"/>
      <c r="E40" s="24"/>
      <c r="F40" s="67"/>
      <c r="G40" s="102"/>
      <c r="H40" s="127">
        <f>G40-E40</f>
        <v>0</v>
      </c>
      <c r="I40" s="126"/>
    </row>
    <row r="41" spans="1:9" x14ac:dyDescent="0.25">
      <c r="A41" s="39"/>
      <c r="B41" s="12"/>
      <c r="C41" s="143"/>
      <c r="D41" s="12"/>
      <c r="E41" s="24"/>
      <c r="F41" s="67"/>
      <c r="G41" s="102"/>
      <c r="H41" s="127">
        <f t="shared" ref="H41:H73" si="1">G41-E41</f>
        <v>0</v>
      </c>
      <c r="I41" s="126"/>
    </row>
    <row r="42" spans="1:9" x14ac:dyDescent="0.25">
      <c r="A42" s="39"/>
      <c r="B42" s="12"/>
      <c r="C42" s="143"/>
      <c r="D42" s="12"/>
      <c r="E42" s="24"/>
      <c r="F42" s="67"/>
      <c r="G42" s="102"/>
      <c r="H42" s="127">
        <f t="shared" si="1"/>
        <v>0</v>
      </c>
      <c r="I42" s="126"/>
    </row>
    <row r="43" spans="1:9" x14ac:dyDescent="0.25">
      <c r="A43" s="39"/>
      <c r="B43" s="12"/>
      <c r="C43" s="143"/>
      <c r="D43" s="12"/>
      <c r="E43" s="24"/>
      <c r="F43" s="67"/>
      <c r="G43" s="102"/>
      <c r="H43" s="127">
        <f t="shared" si="1"/>
        <v>0</v>
      </c>
      <c r="I43" s="126"/>
    </row>
    <row r="44" spans="1:9" x14ac:dyDescent="0.25">
      <c r="A44" s="39"/>
      <c r="B44" s="12"/>
      <c r="C44" s="143"/>
      <c r="D44" s="12"/>
      <c r="E44" s="24"/>
      <c r="F44" s="67"/>
      <c r="G44" s="102"/>
      <c r="H44" s="127">
        <f t="shared" si="1"/>
        <v>0</v>
      </c>
      <c r="I44" s="126"/>
    </row>
    <row r="45" spans="1:9" x14ac:dyDescent="0.25">
      <c r="A45" s="39"/>
      <c r="B45" s="12"/>
      <c r="C45" s="143"/>
      <c r="D45" s="12"/>
      <c r="E45" s="24"/>
      <c r="F45" s="67"/>
      <c r="G45" s="102"/>
      <c r="H45" s="127">
        <f t="shared" si="1"/>
        <v>0</v>
      </c>
      <c r="I45" s="126"/>
    </row>
    <row r="46" spans="1:9" x14ac:dyDescent="0.25">
      <c r="A46" s="39"/>
      <c r="B46" s="12"/>
      <c r="C46" s="143"/>
      <c r="D46" s="12"/>
      <c r="E46" s="24"/>
      <c r="F46" s="67"/>
      <c r="G46" s="102"/>
      <c r="H46" s="127">
        <f t="shared" si="1"/>
        <v>0</v>
      </c>
      <c r="I46" s="126"/>
    </row>
    <row r="47" spans="1:9" x14ac:dyDescent="0.25">
      <c r="A47" s="39"/>
      <c r="B47" s="12"/>
      <c r="C47" s="143"/>
      <c r="D47" s="12"/>
      <c r="E47" s="24"/>
      <c r="F47" s="183"/>
      <c r="G47" s="102"/>
      <c r="H47" s="127">
        <f t="shared" si="1"/>
        <v>0</v>
      </c>
      <c r="I47" s="126"/>
    </row>
    <row r="48" spans="1:9" x14ac:dyDescent="0.25">
      <c r="A48" s="39"/>
      <c r="B48" s="12"/>
      <c r="C48" s="106"/>
      <c r="D48" s="12"/>
      <c r="E48" s="24"/>
      <c r="F48" s="183"/>
      <c r="G48" s="102"/>
      <c r="H48" s="127">
        <f t="shared" si="1"/>
        <v>0</v>
      </c>
      <c r="I48" s="126"/>
    </row>
    <row r="49" spans="1:9" x14ac:dyDescent="0.25">
      <c r="A49" s="39"/>
      <c r="B49" s="12"/>
      <c r="C49" s="143"/>
      <c r="D49" s="12"/>
      <c r="E49" s="17"/>
      <c r="F49" s="122"/>
      <c r="G49" s="102"/>
      <c r="H49" s="127">
        <f t="shared" si="1"/>
        <v>0</v>
      </c>
      <c r="I49" s="126"/>
    </row>
    <row r="50" spans="1:9" x14ac:dyDescent="0.25">
      <c r="A50" s="39"/>
      <c r="B50" s="12"/>
      <c r="C50" s="14"/>
      <c r="D50" s="12"/>
      <c r="E50" s="153"/>
      <c r="F50" s="122"/>
      <c r="G50" s="102"/>
      <c r="H50" s="127">
        <f t="shared" si="1"/>
        <v>0</v>
      </c>
      <c r="I50" s="126"/>
    </row>
    <row r="51" spans="1:9" x14ac:dyDescent="0.25">
      <c r="A51" s="113"/>
      <c r="B51" s="11"/>
      <c r="C51" s="10"/>
      <c r="D51" s="12"/>
      <c r="E51" s="149"/>
      <c r="F51" s="122"/>
      <c r="G51" s="102"/>
      <c r="H51" s="127">
        <f t="shared" si="1"/>
        <v>0</v>
      </c>
      <c r="I51" s="126"/>
    </row>
    <row r="52" spans="1:9" x14ac:dyDescent="0.25">
      <c r="A52" s="39"/>
      <c r="B52" s="12"/>
      <c r="C52" s="14"/>
      <c r="D52" s="12"/>
      <c r="E52" s="153"/>
      <c r="F52" s="122"/>
      <c r="G52" s="102"/>
      <c r="H52" s="127">
        <f t="shared" si="1"/>
        <v>0</v>
      </c>
      <c r="I52" s="126"/>
    </row>
    <row r="53" spans="1:9" x14ac:dyDescent="0.25">
      <c r="A53" s="113"/>
      <c r="B53" s="11"/>
      <c r="C53" s="10"/>
      <c r="D53" s="12"/>
      <c r="E53" s="149"/>
      <c r="F53" s="122"/>
      <c r="G53" s="102"/>
      <c r="H53" s="127">
        <f t="shared" si="1"/>
        <v>0</v>
      </c>
      <c r="I53" s="126"/>
    </row>
    <row r="54" spans="1:9" x14ac:dyDescent="0.25">
      <c r="A54" s="66"/>
      <c r="B54" s="12"/>
      <c r="C54" s="23"/>
      <c r="D54" s="88"/>
      <c r="E54" s="145"/>
      <c r="F54" s="122"/>
      <c r="G54" s="102"/>
      <c r="H54" s="127">
        <f t="shared" si="1"/>
        <v>0</v>
      </c>
      <c r="I54" s="126"/>
    </row>
    <row r="55" spans="1:9" x14ac:dyDescent="0.25">
      <c r="A55" s="39"/>
      <c r="B55" s="12"/>
      <c r="C55" s="14"/>
      <c r="D55" s="12"/>
      <c r="E55" s="153"/>
      <c r="F55" s="122"/>
      <c r="G55" s="102"/>
      <c r="H55" s="127">
        <f t="shared" si="1"/>
        <v>0</v>
      </c>
      <c r="I55" s="126"/>
    </row>
    <row r="56" spans="1:9" x14ac:dyDescent="0.25">
      <c r="A56" s="39"/>
      <c r="B56" s="12"/>
      <c r="C56" s="14"/>
      <c r="D56" s="12"/>
      <c r="E56" s="153"/>
      <c r="F56" s="122"/>
      <c r="G56" s="102"/>
      <c r="H56" s="127">
        <f t="shared" si="1"/>
        <v>0</v>
      </c>
      <c r="I56" s="126"/>
    </row>
    <row r="57" spans="1:9" x14ac:dyDescent="0.25">
      <c r="A57" s="113"/>
      <c r="B57" s="11"/>
      <c r="C57" s="10"/>
      <c r="D57" s="12"/>
      <c r="E57" s="149"/>
      <c r="F57" s="122"/>
      <c r="G57" s="102"/>
      <c r="H57" s="127">
        <f t="shared" si="1"/>
        <v>0</v>
      </c>
      <c r="I57" s="126"/>
    </row>
    <row r="58" spans="1:9" x14ac:dyDescent="0.25">
      <c r="A58" s="39"/>
      <c r="B58" s="12"/>
      <c r="C58" s="14"/>
      <c r="D58" s="12"/>
      <c r="E58" s="153"/>
      <c r="F58" s="122"/>
      <c r="G58" s="102"/>
      <c r="H58" s="127">
        <f t="shared" si="1"/>
        <v>0</v>
      </c>
      <c r="I58" s="126"/>
    </row>
    <row r="59" spans="1:9" x14ac:dyDescent="0.25">
      <c r="A59" s="113"/>
      <c r="B59" s="11"/>
      <c r="C59" s="10"/>
      <c r="D59" s="12"/>
      <c r="E59" s="145"/>
      <c r="F59" s="122"/>
      <c r="G59" s="102"/>
      <c r="H59" s="127">
        <f t="shared" si="1"/>
        <v>0</v>
      </c>
      <c r="I59" s="126"/>
    </row>
    <row r="60" spans="1:9" x14ac:dyDescent="0.25">
      <c r="A60" s="39"/>
      <c r="B60" s="12"/>
      <c r="C60" s="14"/>
      <c r="D60" s="12"/>
      <c r="E60" s="153"/>
      <c r="F60" s="122"/>
      <c r="G60" s="102"/>
      <c r="H60" s="127">
        <f t="shared" si="1"/>
        <v>0</v>
      </c>
      <c r="I60" s="126"/>
    </row>
    <row r="61" spans="1:9" x14ac:dyDescent="0.25">
      <c r="A61" s="113"/>
      <c r="B61" s="11"/>
      <c r="C61" s="10"/>
      <c r="D61" s="12"/>
      <c r="E61" s="145"/>
      <c r="F61" s="122"/>
      <c r="G61" s="102"/>
      <c r="H61" s="127">
        <f t="shared" si="1"/>
        <v>0</v>
      </c>
      <c r="I61" s="126"/>
    </row>
    <row r="62" spans="1:9" x14ac:dyDescent="0.25">
      <c r="A62" s="39"/>
      <c r="B62" s="12"/>
      <c r="C62" s="10"/>
      <c r="D62" s="12"/>
      <c r="E62" s="347"/>
      <c r="F62" s="122"/>
      <c r="G62" s="102"/>
      <c r="H62" s="127">
        <f t="shared" si="1"/>
        <v>0</v>
      </c>
      <c r="I62" s="126"/>
    </row>
    <row r="63" spans="1:9" x14ac:dyDescent="0.25">
      <c r="A63" s="113"/>
      <c r="B63" s="11"/>
      <c r="C63" s="10"/>
      <c r="D63" s="11"/>
      <c r="E63" s="348"/>
      <c r="F63" s="122"/>
      <c r="G63" s="102"/>
      <c r="H63" s="127">
        <f t="shared" si="1"/>
        <v>0</v>
      </c>
      <c r="I63" s="126"/>
    </row>
    <row r="64" spans="1:9" x14ac:dyDescent="0.25">
      <c r="A64" s="113"/>
      <c r="B64" s="11"/>
      <c r="C64" s="10"/>
      <c r="D64" s="12"/>
      <c r="E64" s="349"/>
      <c r="F64" s="122"/>
      <c r="G64" s="102"/>
      <c r="H64" s="127">
        <f t="shared" si="1"/>
        <v>0</v>
      </c>
      <c r="I64" s="126"/>
    </row>
    <row r="65" spans="1:9" x14ac:dyDescent="0.25">
      <c r="A65" s="39"/>
      <c r="B65" s="12"/>
      <c r="C65" s="14"/>
      <c r="D65" s="12"/>
      <c r="E65" s="350"/>
      <c r="F65" s="122"/>
      <c r="G65" s="102"/>
      <c r="H65" s="127">
        <f t="shared" si="1"/>
        <v>0</v>
      </c>
      <c r="I65" s="126"/>
    </row>
    <row r="66" spans="1:9" x14ac:dyDescent="0.25">
      <c r="A66" s="113"/>
      <c r="B66" s="11"/>
      <c r="C66" s="10"/>
      <c r="D66" s="12"/>
      <c r="E66" s="349"/>
      <c r="F66" s="122"/>
      <c r="G66" s="102"/>
      <c r="H66" s="127">
        <f t="shared" si="1"/>
        <v>0</v>
      </c>
      <c r="I66" s="126"/>
    </row>
    <row r="67" spans="1:9" x14ac:dyDescent="0.25">
      <c r="A67" s="39"/>
      <c r="B67" s="12"/>
      <c r="C67" s="14"/>
      <c r="D67" s="12"/>
      <c r="E67" s="350"/>
      <c r="F67" s="122"/>
      <c r="G67" s="102"/>
      <c r="H67" s="127">
        <f t="shared" si="1"/>
        <v>0</v>
      </c>
      <c r="I67" s="126"/>
    </row>
    <row r="68" spans="1:9" x14ac:dyDescent="0.25">
      <c r="A68" s="113"/>
      <c r="B68" s="11"/>
      <c r="C68" s="10"/>
      <c r="D68" s="12"/>
      <c r="E68" s="349"/>
      <c r="F68" s="122"/>
      <c r="G68" s="102"/>
      <c r="H68" s="127">
        <f t="shared" si="1"/>
        <v>0</v>
      </c>
      <c r="I68" s="126"/>
    </row>
    <row r="69" spans="1:9" x14ac:dyDescent="0.25">
      <c r="A69" s="39"/>
      <c r="B69" s="12"/>
      <c r="C69" s="14"/>
      <c r="D69" s="12"/>
      <c r="E69" s="350"/>
      <c r="F69" s="122"/>
      <c r="G69" s="102"/>
      <c r="H69" s="127">
        <f t="shared" si="1"/>
        <v>0</v>
      </c>
      <c r="I69" s="126"/>
    </row>
    <row r="70" spans="1:9" x14ac:dyDescent="0.25">
      <c r="A70" s="113"/>
      <c r="B70" s="11"/>
      <c r="C70" s="10"/>
      <c r="D70" s="12"/>
      <c r="E70" s="347"/>
      <c r="F70" s="122"/>
      <c r="G70" s="102"/>
      <c r="H70" s="127">
        <f t="shared" si="1"/>
        <v>0</v>
      </c>
      <c r="I70" s="126"/>
    </row>
    <row r="71" spans="1:9" x14ac:dyDescent="0.25">
      <c r="A71" s="113"/>
      <c r="B71" s="11"/>
      <c r="C71" s="10"/>
      <c r="D71" s="12"/>
      <c r="E71" s="347"/>
      <c r="F71" s="122"/>
      <c r="G71" s="102"/>
      <c r="H71" s="127">
        <f t="shared" si="1"/>
        <v>0</v>
      </c>
      <c r="I71" s="126"/>
    </row>
    <row r="72" spans="1:9" x14ac:dyDescent="0.25">
      <c r="A72" s="66"/>
      <c r="B72" s="12"/>
      <c r="C72" s="23"/>
      <c r="D72" s="12"/>
      <c r="E72" s="349"/>
      <c r="F72" s="122"/>
      <c r="G72" s="102"/>
      <c r="H72" s="127">
        <f t="shared" si="1"/>
        <v>0</v>
      </c>
      <c r="I72" s="126"/>
    </row>
    <row r="73" spans="1:9" x14ac:dyDescent="0.25">
      <c r="A73" s="39"/>
      <c r="B73" s="12"/>
      <c r="C73" s="14"/>
      <c r="D73" s="12"/>
      <c r="E73" s="347"/>
      <c r="F73" s="122"/>
      <c r="G73" s="102"/>
      <c r="H73" s="127">
        <f t="shared" si="1"/>
        <v>0</v>
      </c>
      <c r="I73" s="126"/>
    </row>
    <row r="74" spans="1:9" x14ac:dyDescent="0.25">
      <c r="A74" s="39"/>
      <c r="B74" s="12"/>
      <c r="C74" s="10"/>
      <c r="D74" s="12"/>
      <c r="E74" s="176"/>
      <c r="F74" s="122"/>
      <c r="G74" s="102" t="s">
        <v>1105</v>
      </c>
      <c r="H74" s="127">
        <f>SUM(H40:H73)</f>
        <v>0</v>
      </c>
      <c r="I74" s="126"/>
    </row>
    <row r="75" spans="1:9" x14ac:dyDescent="0.25">
      <c r="A75" s="351" t="s">
        <v>1106</v>
      </c>
      <c r="B75" s="11"/>
      <c r="C75" s="10"/>
      <c r="D75" s="12"/>
      <c r="E75" s="176"/>
      <c r="F75" s="122"/>
      <c r="G75" s="102"/>
      <c r="H75" s="127"/>
      <c r="I75" s="126"/>
    </row>
    <row r="76" spans="1:9" x14ac:dyDescent="0.25">
      <c r="A76" s="113"/>
      <c r="B76" s="11"/>
      <c r="C76" s="10"/>
      <c r="D76" s="12"/>
      <c r="E76" s="176"/>
      <c r="F76" s="122"/>
      <c r="G76" s="102"/>
      <c r="H76" s="127"/>
      <c r="I76" s="126"/>
    </row>
    <row r="77" spans="1:9" x14ac:dyDescent="0.25">
      <c r="A77" s="113"/>
      <c r="B77" s="11"/>
      <c r="C77" s="10"/>
      <c r="D77" s="12"/>
      <c r="E77" s="176"/>
      <c r="F77" s="122"/>
      <c r="G77" s="102"/>
      <c r="H77" s="127"/>
      <c r="I77" s="126"/>
    </row>
    <row r="78" spans="1:9" x14ac:dyDescent="0.25">
      <c r="A78" s="113"/>
      <c r="B78" s="11"/>
      <c r="C78" s="10"/>
      <c r="D78" s="12"/>
      <c r="E78" s="176"/>
      <c r="F78" s="122"/>
      <c r="G78" s="102"/>
      <c r="H78" s="127"/>
      <c r="I78" s="126"/>
    </row>
    <row r="79" spans="1:9" x14ac:dyDescent="0.25">
      <c r="A79" s="351" t="s">
        <v>1107</v>
      </c>
      <c r="B79" s="11"/>
      <c r="C79" s="10"/>
      <c r="D79" s="12"/>
      <c r="E79" s="176"/>
      <c r="F79" s="122"/>
      <c r="G79" s="102"/>
      <c r="H79" s="127"/>
      <c r="I79" s="126"/>
    </row>
    <row r="80" spans="1:9" x14ac:dyDescent="0.25">
      <c r="A80" s="113"/>
      <c r="B80" s="11"/>
      <c r="C80" s="10"/>
      <c r="D80" s="12"/>
      <c r="E80" s="176"/>
      <c r="F80" s="122"/>
      <c r="G80" s="102"/>
      <c r="H80" s="127"/>
      <c r="I80" s="126"/>
    </row>
    <row r="81" spans="1:9" x14ac:dyDescent="0.25">
      <c r="A81" s="113"/>
      <c r="B81" s="11"/>
      <c r="C81" s="10"/>
      <c r="D81" s="12"/>
      <c r="E81" s="176"/>
      <c r="F81" s="122"/>
      <c r="G81" s="102"/>
      <c r="H81" s="127"/>
      <c r="I81" s="126"/>
    </row>
    <row r="82" spans="1:9" x14ac:dyDescent="0.25">
      <c r="A82" s="113"/>
      <c r="B82" s="11"/>
      <c r="C82" s="10"/>
      <c r="D82" s="12"/>
      <c r="E82" s="176"/>
      <c r="F82" s="122"/>
      <c r="G82" s="102"/>
      <c r="H82" s="127"/>
      <c r="I82" s="126"/>
    </row>
    <row r="83" spans="1:9" x14ac:dyDescent="0.25">
      <c r="A83" s="113"/>
      <c r="B83" s="11"/>
      <c r="C83" s="10"/>
      <c r="D83" s="12"/>
      <c r="E83" s="176"/>
      <c r="F83" s="122"/>
      <c r="G83" s="102"/>
      <c r="H83" s="127"/>
      <c r="I83" s="126"/>
    </row>
    <row r="84" spans="1:9" x14ac:dyDescent="0.25">
      <c r="A84" s="113"/>
      <c r="B84" s="11"/>
      <c r="C84" s="10"/>
      <c r="D84" s="12"/>
      <c r="E84" s="176"/>
      <c r="F84" s="122"/>
      <c r="G84" s="102"/>
      <c r="H84" s="127"/>
      <c r="I84" s="126"/>
    </row>
    <row r="85" spans="1:9" x14ac:dyDescent="0.25">
      <c r="A85" s="113"/>
      <c r="B85" s="11"/>
      <c r="C85" s="10"/>
      <c r="D85" s="12"/>
      <c r="E85" s="176"/>
      <c r="F85" s="122"/>
      <c r="G85" s="102" t="s">
        <v>577</v>
      </c>
      <c r="H85" s="126">
        <f>SUM(H75:H84)</f>
        <v>0</v>
      </c>
      <c r="I85" s="126">
        <f>SUM(I75:I84)</f>
        <v>0</v>
      </c>
    </row>
    <row r="86" spans="1:9" x14ac:dyDescent="0.25">
      <c r="A86" s="113"/>
      <c r="B86" s="11"/>
      <c r="C86" s="10"/>
      <c r="D86" s="12"/>
      <c r="E86" s="176"/>
      <c r="F86" s="122"/>
      <c r="G86" s="102"/>
      <c r="H86" s="127"/>
      <c r="I86" s="126"/>
    </row>
    <row r="87" spans="1:9" x14ac:dyDescent="0.25">
      <c r="A87" s="113"/>
      <c r="B87" s="11"/>
      <c r="C87" s="16" t="s">
        <v>330</v>
      </c>
      <c r="D87" s="12"/>
      <c r="E87" s="21"/>
      <c r="F87" s="67"/>
      <c r="G87" s="102"/>
      <c r="H87" s="127"/>
      <c r="I87" s="126"/>
    </row>
    <row r="88" spans="1:9" x14ac:dyDescent="0.25">
      <c r="A88" s="113"/>
      <c r="B88" s="11"/>
      <c r="C88" s="16" t="s">
        <v>424</v>
      </c>
      <c r="D88" s="12"/>
      <c r="E88" s="21"/>
      <c r="F88" s="67"/>
      <c r="G88" s="102"/>
      <c r="H88" s="127"/>
      <c r="I88" s="126"/>
    </row>
    <row r="89" spans="1:9" x14ac:dyDescent="0.25">
      <c r="A89" s="113"/>
      <c r="B89" s="11"/>
      <c r="C89" s="16" t="s">
        <v>352</v>
      </c>
      <c r="D89" s="12"/>
      <c r="E89" s="21">
        <v>750</v>
      </c>
      <c r="F89" s="67">
        <v>4</v>
      </c>
      <c r="G89" s="102"/>
      <c r="H89" s="127"/>
      <c r="I89" s="126"/>
    </row>
    <row r="90" spans="1:9" x14ac:dyDescent="0.25">
      <c r="A90" s="113"/>
      <c r="B90" s="11"/>
      <c r="C90" s="16" t="s">
        <v>425</v>
      </c>
      <c r="D90" s="11"/>
      <c r="E90" s="21"/>
      <c r="F90" s="67"/>
      <c r="G90" s="102"/>
      <c r="H90" s="127"/>
      <c r="I90" s="126"/>
    </row>
    <row r="91" spans="1:9" x14ac:dyDescent="0.25">
      <c r="A91" s="39"/>
      <c r="B91" s="12"/>
      <c r="C91" s="16" t="s">
        <v>11</v>
      </c>
      <c r="D91" s="11"/>
      <c r="E91" s="15"/>
      <c r="F91" s="67"/>
      <c r="G91" s="102"/>
      <c r="H91" s="127"/>
      <c r="I91" s="126"/>
    </row>
    <row r="92" spans="1:9" x14ac:dyDescent="0.25">
      <c r="A92" s="39"/>
      <c r="B92" s="12"/>
      <c r="C92" s="16" t="s">
        <v>426</v>
      </c>
      <c r="D92" s="11"/>
      <c r="E92" s="15"/>
      <c r="F92" s="67"/>
      <c r="G92" s="102"/>
      <c r="H92" s="127"/>
      <c r="I92" s="126"/>
    </row>
    <row r="93" spans="1:9" x14ac:dyDescent="0.25">
      <c r="A93" s="39"/>
      <c r="B93" s="12"/>
      <c r="C93" s="16" t="s">
        <v>12</v>
      </c>
      <c r="D93" s="11"/>
      <c r="E93" s="15"/>
      <c r="F93" s="67"/>
      <c r="G93" s="102"/>
      <c r="H93" s="127"/>
      <c r="I93" s="126"/>
    </row>
    <row r="94" spans="1:9" x14ac:dyDescent="0.25">
      <c r="A94" s="39"/>
      <c r="B94" s="12"/>
      <c r="C94" s="16" t="s">
        <v>13</v>
      </c>
      <c r="D94" s="11"/>
      <c r="E94" s="15"/>
      <c r="F94" s="122">
        <f>SUM(F6:F93)</f>
        <v>4</v>
      </c>
      <c r="G94" s="102"/>
      <c r="H94" s="127"/>
      <c r="I94" s="126"/>
    </row>
    <row r="95" spans="1:9" x14ac:dyDescent="0.25">
      <c r="A95" s="39"/>
      <c r="B95" s="12"/>
      <c r="C95" s="16" t="s">
        <v>14</v>
      </c>
      <c r="D95" s="11"/>
      <c r="E95" s="15"/>
      <c r="F95" s="122">
        <f>F94*1.05</f>
        <v>4.2</v>
      </c>
      <c r="G95" s="102" t="s">
        <v>14</v>
      </c>
      <c r="H95" s="127"/>
      <c r="I95" s="126">
        <f>I94*1.05</f>
        <v>0</v>
      </c>
    </row>
    <row r="96" spans="1:9" x14ac:dyDescent="0.25">
      <c r="A96" s="39"/>
      <c r="B96" s="12"/>
      <c r="C96" s="107"/>
      <c r="D96" s="107" t="s">
        <v>15</v>
      </c>
      <c r="E96" s="17">
        <f>SUM(E6:E95)</f>
        <v>750</v>
      </c>
      <c r="F96" s="122"/>
      <c r="G96" s="102"/>
      <c r="H96" s="127">
        <f>H85+H74</f>
        <v>0</v>
      </c>
      <c r="I96" s="126"/>
    </row>
    <row r="97" spans="1:9" x14ac:dyDescent="0.25">
      <c r="A97" s="39"/>
      <c r="B97" s="12"/>
      <c r="C97" s="108"/>
      <c r="D97" s="108" t="s">
        <v>16</v>
      </c>
      <c r="E97" s="17">
        <f>E96/0.9</f>
        <v>833.33333333333326</v>
      </c>
      <c r="F97" s="122"/>
      <c r="G97" s="20"/>
      <c r="H97" s="17">
        <f>H96/0.9</f>
        <v>0</v>
      </c>
      <c r="I97" s="126"/>
    </row>
    <row r="98" spans="1:9" x14ac:dyDescent="0.25">
      <c r="A98" s="39"/>
      <c r="B98" s="12"/>
      <c r="C98" s="26" t="s">
        <v>393</v>
      </c>
      <c r="D98" s="100">
        <f>F95</f>
        <v>4.2</v>
      </c>
      <c r="E98" s="101">
        <f>D98*80</f>
        <v>336</v>
      </c>
      <c r="F98" s="112"/>
      <c r="G98" s="136">
        <f>I95</f>
        <v>0</v>
      </c>
      <c r="H98" s="133">
        <f>G98*120</f>
        <v>0</v>
      </c>
      <c r="I98" s="126" t="s">
        <v>578</v>
      </c>
    </row>
    <row r="99" spans="1:9" x14ac:dyDescent="0.25">
      <c r="A99" s="114"/>
      <c r="B99" s="18"/>
      <c r="C99" s="102"/>
      <c r="D99" s="13" t="s">
        <v>329</v>
      </c>
      <c r="E99" s="17">
        <f>E98/0.8</f>
        <v>420</v>
      </c>
      <c r="F99" s="112"/>
      <c r="G99" s="20"/>
      <c r="H99" s="133">
        <f>H98/0.8</f>
        <v>0</v>
      </c>
      <c r="I99" s="126"/>
    </row>
    <row r="100" spans="1:9" x14ac:dyDescent="0.25">
      <c r="A100" s="114"/>
      <c r="B100" s="18"/>
      <c r="C100" s="102"/>
      <c r="D100" s="13" t="s">
        <v>17</v>
      </c>
      <c r="E100" s="17">
        <f>E97+E99</f>
        <v>1253.3333333333333</v>
      </c>
      <c r="F100" s="112"/>
      <c r="G100" s="20"/>
      <c r="H100" s="17">
        <f>H97+H99</f>
        <v>0</v>
      </c>
      <c r="I100" s="126"/>
    </row>
    <row r="101" spans="1:9" ht="15.75" thickBot="1" x14ac:dyDescent="0.3">
      <c r="A101" s="184"/>
      <c r="B101" s="185"/>
      <c r="C101" s="186"/>
      <c r="D101" s="103" t="s">
        <v>18</v>
      </c>
      <c r="E101" s="17">
        <f>(E96+E98)*0.0333</f>
        <v>36.163800000000002</v>
      </c>
      <c r="F101" s="112"/>
      <c r="G101" s="20"/>
      <c r="H101" s="17">
        <f>(H96+H98)*0.0333</f>
        <v>0</v>
      </c>
      <c r="I101" s="126"/>
    </row>
    <row r="102" spans="1:9" x14ac:dyDescent="0.25">
      <c r="A102" s="130" t="s">
        <v>572</v>
      </c>
      <c r="B102" s="650"/>
      <c r="C102" s="651"/>
      <c r="D102" s="104" t="s">
        <v>19</v>
      </c>
      <c r="E102" s="17">
        <f>E100+E101</f>
        <v>1289.4971333333333</v>
      </c>
      <c r="F102" s="112"/>
      <c r="G102" s="146"/>
      <c r="H102" s="17">
        <f>H100+H101</f>
        <v>0</v>
      </c>
      <c r="I102" s="126"/>
    </row>
    <row r="103" spans="1:9" x14ac:dyDescent="0.25">
      <c r="A103" s="187"/>
      <c r="B103" s="652"/>
      <c r="C103" s="653"/>
      <c r="D103" s="109"/>
      <c r="E103" s="109"/>
      <c r="F103" s="123"/>
      <c r="G103" s="20"/>
      <c r="H103" s="129"/>
      <c r="I103" s="126"/>
    </row>
    <row r="104" spans="1:9" x14ac:dyDescent="0.25">
      <c r="A104" s="39" t="s">
        <v>573</v>
      </c>
      <c r="B104" s="466">
        <f>B102-H96</f>
        <v>0</v>
      </c>
      <c r="C104" s="654"/>
      <c r="D104" s="104" t="s">
        <v>20</v>
      </c>
      <c r="E104" s="17">
        <f>E102-E96</f>
        <v>539.4971333333333</v>
      </c>
      <c r="F104" s="112"/>
      <c r="G104" s="199" t="s">
        <v>20</v>
      </c>
      <c r="H104" s="17">
        <f>H102-H96</f>
        <v>0</v>
      </c>
      <c r="I104" s="126"/>
    </row>
    <row r="105" spans="1:9" x14ac:dyDescent="0.25">
      <c r="A105" s="39" t="s">
        <v>574</v>
      </c>
      <c r="B105" s="466" t="e">
        <f>B104/I95</f>
        <v>#DIV/0!</v>
      </c>
      <c r="C105" s="654"/>
      <c r="D105" s="104" t="s">
        <v>21</v>
      </c>
      <c r="E105" s="105">
        <f>E104/F95</f>
        <v>128.45169841269839</v>
      </c>
      <c r="F105" s="112"/>
      <c r="G105" s="200" t="s">
        <v>21</v>
      </c>
      <c r="H105" s="105" t="e">
        <f>H104/I95</f>
        <v>#DIV/0!</v>
      </c>
      <c r="I105" s="126"/>
    </row>
    <row r="106" spans="1:9" x14ac:dyDescent="0.25">
      <c r="A106" s="39" t="s">
        <v>575</v>
      </c>
      <c r="B106" s="466">
        <f>B102-H96-H98-H101</f>
        <v>0</v>
      </c>
      <c r="C106" s="654"/>
      <c r="D106" s="104" t="s">
        <v>22</v>
      </c>
      <c r="E106" s="17">
        <f>E102-E96-E98-E101</f>
        <v>167.33333333333329</v>
      </c>
      <c r="F106" s="112"/>
      <c r="G106" s="104" t="s">
        <v>22</v>
      </c>
      <c r="H106" s="17">
        <f>H102-H96-H98-H101</f>
        <v>0</v>
      </c>
      <c r="I106" s="126"/>
    </row>
    <row r="107" spans="1:9" ht="15.75" thickBot="1" x14ac:dyDescent="0.3">
      <c r="A107" s="188" t="s">
        <v>576</v>
      </c>
      <c r="B107" s="638" t="e">
        <f>B106/B102</f>
        <v>#DIV/0!</v>
      </c>
      <c r="C107" s="639"/>
      <c r="D107" s="124" t="s">
        <v>23</v>
      </c>
      <c r="E107" s="125">
        <f>E106/E102</f>
        <v>0.12976634767754683</v>
      </c>
      <c r="F107" s="115"/>
      <c r="G107" s="124" t="s">
        <v>23</v>
      </c>
      <c r="H107" s="125" t="e">
        <f>H106/H102</f>
        <v>#DIV/0!</v>
      </c>
      <c r="I107" s="135"/>
    </row>
    <row r="108" spans="1:9" x14ac:dyDescent="0.25">
      <c r="A108" s="640" t="s">
        <v>10</v>
      </c>
      <c r="B108" s="641"/>
      <c r="C108" s="641"/>
      <c r="D108" s="642"/>
      <c r="E108" s="642"/>
      <c r="F108" s="642"/>
      <c r="G108" s="642"/>
      <c r="H108" s="642"/>
      <c r="I108" s="643"/>
    </row>
    <row r="109" spans="1:9" x14ac:dyDescent="0.25">
      <c r="A109" s="644"/>
      <c r="B109" s="645"/>
      <c r="C109" s="645"/>
      <c r="D109" s="645"/>
      <c r="E109" s="645"/>
      <c r="F109" s="645"/>
      <c r="G109" s="645"/>
      <c r="H109" s="645"/>
      <c r="I109" s="646"/>
    </row>
    <row r="110" spans="1:9" ht="15.75" thickBot="1" x14ac:dyDescent="0.3">
      <c r="A110" s="647"/>
      <c r="B110" s="648"/>
      <c r="C110" s="648"/>
      <c r="D110" s="648"/>
      <c r="E110" s="648"/>
      <c r="F110" s="648"/>
      <c r="G110" s="648"/>
      <c r="H110" s="648"/>
      <c r="I110" s="649"/>
    </row>
    <row r="114" spans="2:2" x14ac:dyDescent="0.25">
      <c r="B114" s="168"/>
    </row>
    <row r="115" spans="2:2" x14ac:dyDescent="0.25">
      <c r="B115" s="168"/>
    </row>
    <row r="116" spans="2:2" x14ac:dyDescent="0.25">
      <c r="B116" s="168"/>
    </row>
    <row r="117" spans="2:2" x14ac:dyDescent="0.25">
      <c r="B117" s="168"/>
    </row>
    <row r="118" spans="2:2" x14ac:dyDescent="0.25">
      <c r="B118" s="169"/>
    </row>
  </sheetData>
  <mergeCells count="17">
    <mergeCell ref="B4:C4"/>
    <mergeCell ref="E4:F4"/>
    <mergeCell ref="G4:I4"/>
    <mergeCell ref="A2:F2"/>
    <mergeCell ref="G2:I2"/>
    <mergeCell ref="B3:C3"/>
    <mergeCell ref="E3:F3"/>
    <mergeCell ref="G3:I3"/>
    <mergeCell ref="B107:C107"/>
    <mergeCell ref="A108:I108"/>
    <mergeCell ref="A109:I109"/>
    <mergeCell ref="A110:I110"/>
    <mergeCell ref="B102:C102"/>
    <mergeCell ref="B103:C103"/>
    <mergeCell ref="B104:C104"/>
    <mergeCell ref="B105:C105"/>
    <mergeCell ref="B106:C106"/>
  </mergeCells>
  <conditionalFormatting sqref="H6:H84 H86:H95">
    <cfRule type="cellIs" dxfId="0" priority="1" operator="lessThan">
      <formula>0</formula>
    </cfRule>
  </conditionalFormatting>
  <printOptions horizontalCentered="1"/>
  <pageMargins left="0.25" right="0.25" top="0.75" bottom="0.75" header="0.3" footer="0.3"/>
  <pageSetup scale="91" fitToHeight="0" orientation="portrait" r:id="rId1"/>
  <headerFooter>
    <oddFooter>&amp;Z&amp;F&amp;RPage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sheetPr>
  <dimension ref="A1:AT41"/>
  <sheetViews>
    <sheetView topLeftCell="U1" workbookViewId="0">
      <selection activeCell="A41" sqref="A5:AT41"/>
    </sheetView>
  </sheetViews>
  <sheetFormatPr defaultRowHeight="15" x14ac:dyDescent="0.25"/>
  <cols>
    <col min="1" max="1" width="14.85546875" customWidth="1"/>
    <col min="2" max="4" width="9.140625" customWidth="1"/>
    <col min="5" max="5" width="14.85546875" customWidth="1"/>
    <col min="6" max="6" width="6" customWidth="1"/>
    <col min="7" max="7" width="14.85546875" customWidth="1"/>
    <col min="8" max="8" width="14.85546875" bestFit="1" customWidth="1"/>
    <col min="9" max="16" width="9.140625" customWidth="1"/>
    <col min="17" max="17" width="11.85546875" customWidth="1"/>
    <col min="18" max="34" width="9.140625" customWidth="1"/>
    <col min="35" max="35" width="14.85546875" customWidth="1"/>
    <col min="36" max="47" width="9.140625" customWidth="1"/>
  </cols>
  <sheetData>
    <row r="1" spans="1:46" x14ac:dyDescent="0.25">
      <c r="A1" s="44" t="s">
        <v>457</v>
      </c>
      <c r="B1" s="44" t="s">
        <v>209</v>
      </c>
      <c r="C1" s="44" t="s">
        <v>458</v>
      </c>
      <c r="D1" s="44" t="s">
        <v>459</v>
      </c>
    </row>
    <row r="2" spans="1:46" x14ac:dyDescent="0.25">
      <c r="A2" s="160" t="s">
        <v>277</v>
      </c>
      <c r="B2" s="160" t="s">
        <v>154</v>
      </c>
      <c r="C2" s="44">
        <v>120</v>
      </c>
      <c r="D2" s="164">
        <f>'Plate Price'!$C$5</f>
        <v>0.68</v>
      </c>
    </row>
    <row r="3" spans="1:46" x14ac:dyDescent="0.25">
      <c r="A3" s="160" t="s">
        <v>277</v>
      </c>
      <c r="B3" s="160" t="s">
        <v>155</v>
      </c>
      <c r="C3" s="44">
        <v>120</v>
      </c>
      <c r="D3" s="164">
        <f>'Plate Price'!$C$6</f>
        <v>0.67</v>
      </c>
    </row>
    <row r="4" spans="1:46" ht="15.75" thickBot="1" x14ac:dyDescent="0.3">
      <c r="A4" s="160" t="s">
        <v>277</v>
      </c>
      <c r="B4" s="160" t="s">
        <v>156</v>
      </c>
      <c r="C4" s="44">
        <v>120</v>
      </c>
      <c r="D4" s="164">
        <f>'Plate Price'!$C$7</f>
        <v>0.66</v>
      </c>
    </row>
    <row r="5" spans="1:46" x14ac:dyDescent="0.25">
      <c r="A5" s="160" t="s">
        <v>277</v>
      </c>
      <c r="B5" s="160" t="s">
        <v>157</v>
      </c>
      <c r="C5" s="44">
        <v>120</v>
      </c>
      <c r="D5" s="164">
        <f>'Plate Price'!$C$8</f>
        <v>0.66</v>
      </c>
      <c r="G5" s="178" t="s">
        <v>461</v>
      </c>
      <c r="H5" s="179" t="s">
        <v>457</v>
      </c>
      <c r="I5" s="179" t="s">
        <v>209</v>
      </c>
      <c r="J5" s="179" t="s">
        <v>458</v>
      </c>
      <c r="K5" s="180" t="s">
        <v>460</v>
      </c>
      <c r="L5" t="s">
        <v>461</v>
      </c>
      <c r="M5" t="s">
        <v>458</v>
      </c>
      <c r="N5" t="s">
        <v>460</v>
      </c>
      <c r="O5" t="s">
        <v>462</v>
      </c>
      <c r="P5">
        <v>144</v>
      </c>
      <c r="Q5" t="s">
        <v>459</v>
      </c>
      <c r="W5" s="160" t="s">
        <v>277</v>
      </c>
      <c r="X5" s="165" t="s">
        <v>463</v>
      </c>
      <c r="Y5" s="44">
        <v>120</v>
      </c>
      <c r="Z5" s="164">
        <f>D2</f>
        <v>0.68</v>
      </c>
      <c r="AA5" s="44">
        <v>120</v>
      </c>
      <c r="AB5" s="164">
        <f>Z5</f>
        <v>0.68</v>
      </c>
      <c r="AC5" s="160" t="s">
        <v>91</v>
      </c>
      <c r="AD5" s="166" t="s">
        <v>466</v>
      </c>
      <c r="AE5" s="44">
        <v>60</v>
      </c>
      <c r="AF5" s="164">
        <f>D10</f>
        <v>0.49</v>
      </c>
      <c r="AG5" s="44">
        <v>60</v>
      </c>
      <c r="AH5" s="164">
        <f>AF5</f>
        <v>0.49</v>
      </c>
      <c r="AI5" s="160" t="s">
        <v>84</v>
      </c>
      <c r="AJ5" s="166" t="s">
        <v>466</v>
      </c>
      <c r="AK5" s="44">
        <v>60</v>
      </c>
      <c r="AL5" s="164">
        <f>D19</f>
        <v>1.58</v>
      </c>
      <c r="AM5" s="44">
        <v>72</v>
      </c>
      <c r="AN5" s="164">
        <f>D27</f>
        <v>0</v>
      </c>
      <c r="AO5" s="160" t="s">
        <v>80</v>
      </c>
      <c r="AP5" s="165" t="s">
        <v>466</v>
      </c>
      <c r="AQ5" s="44">
        <v>60</v>
      </c>
      <c r="AR5" s="164">
        <f>D32</f>
        <v>2.4500000000000002</v>
      </c>
      <c r="AS5" s="44">
        <v>72</v>
      </c>
      <c r="AT5" s="164">
        <f>D37</f>
        <v>0</v>
      </c>
    </row>
    <row r="6" spans="1:46" ht="15.75" thickBot="1" x14ac:dyDescent="0.3">
      <c r="A6" s="160" t="s">
        <v>277</v>
      </c>
      <c r="B6" s="160" t="s">
        <v>211</v>
      </c>
      <c r="C6" s="44">
        <v>120</v>
      </c>
      <c r="D6" s="164">
        <f>'Plate Price'!$C$9</f>
        <v>0.77</v>
      </c>
      <c r="G6" s="181">
        <v>2</v>
      </c>
      <c r="H6" s="182" t="s">
        <v>84</v>
      </c>
      <c r="I6" s="182" t="s">
        <v>469</v>
      </c>
      <c r="J6" s="182">
        <v>60</v>
      </c>
      <c r="K6" s="115">
        <v>25</v>
      </c>
      <c r="L6">
        <f>G6</f>
        <v>2</v>
      </c>
      <c r="M6">
        <f>J6</f>
        <v>60</v>
      </c>
      <c r="N6">
        <f>K6</f>
        <v>25</v>
      </c>
      <c r="O6">
        <f>VLOOKUP(I6,S:U,IF(H6="sa516-70",3,IF(H6="sa36",3,IF(H6="SA240-304/304L",2,IF(H6="SA240-316/316L",2)))),FALSE)</f>
        <v>26.83</v>
      </c>
      <c r="P6">
        <v>144</v>
      </c>
      <c r="Q6">
        <f>VLOOKUP(I6,IF(H6="SA36",AD:AH, IF(H6="SA516-70",X:AB, IF(H6="SA240-304/304L",AJ:AN, IF(H6="SA240-316/316L",AP:AT)))),IF(M6&lt;60.1,3,5),FALSE)</f>
        <v>2.04</v>
      </c>
      <c r="W6" s="160" t="s">
        <v>277</v>
      </c>
      <c r="X6" s="165" t="s">
        <v>464</v>
      </c>
      <c r="Y6" s="44">
        <v>120</v>
      </c>
      <c r="Z6" s="164">
        <f t="shared" ref="Z6:Z12" si="0">D3</f>
        <v>0.67</v>
      </c>
      <c r="AA6" s="44">
        <v>120</v>
      </c>
      <c r="AB6" s="164">
        <f t="shared" ref="AB6:AB12" si="1">Z6</f>
        <v>0.67</v>
      </c>
      <c r="AC6" s="160" t="s">
        <v>91</v>
      </c>
      <c r="AD6" s="165" t="s">
        <v>463</v>
      </c>
      <c r="AE6" s="44">
        <v>60</v>
      </c>
      <c r="AF6" s="164">
        <f t="shared" ref="AF6:AF13" si="2">D11</f>
        <v>0.49</v>
      </c>
      <c r="AG6" s="44">
        <v>60</v>
      </c>
      <c r="AH6" s="164">
        <f t="shared" ref="AH6:AH13" si="3">AF6</f>
        <v>0.49</v>
      </c>
      <c r="AI6" s="160" t="s">
        <v>84</v>
      </c>
      <c r="AJ6" s="165" t="s">
        <v>463</v>
      </c>
      <c r="AK6" s="44">
        <v>60</v>
      </c>
      <c r="AL6" s="164">
        <f t="shared" ref="AL6:AL12" si="4">D20</f>
        <v>1.58</v>
      </c>
      <c r="AM6" s="44">
        <v>72</v>
      </c>
      <c r="AN6" s="164">
        <f t="shared" ref="AN6:AN9" si="5">D28</f>
        <v>1.89</v>
      </c>
      <c r="AO6" s="160" t="s">
        <v>80</v>
      </c>
      <c r="AP6" s="165" t="s">
        <v>463</v>
      </c>
      <c r="AQ6" s="44">
        <v>60</v>
      </c>
      <c r="AR6" s="164">
        <f t="shared" ref="AR6:AR9" si="6">D33</f>
        <v>2.4500000000000002</v>
      </c>
      <c r="AS6" s="44">
        <v>72</v>
      </c>
      <c r="AT6" s="164">
        <f t="shared" ref="AT6:AT9" si="7">D38</f>
        <v>0</v>
      </c>
    </row>
    <row r="7" spans="1:46" x14ac:dyDescent="0.25">
      <c r="A7" s="160" t="s">
        <v>277</v>
      </c>
      <c r="B7" s="160" t="s">
        <v>212</v>
      </c>
      <c r="C7" s="44">
        <v>120</v>
      </c>
      <c r="D7" s="164">
        <f>'Plate Price'!$C$10</f>
        <v>0</v>
      </c>
      <c r="S7" s="166" t="s">
        <v>466</v>
      </c>
      <c r="T7">
        <v>8.58</v>
      </c>
      <c r="U7">
        <v>7.66</v>
      </c>
      <c r="W7" s="160" t="s">
        <v>277</v>
      </c>
      <c r="X7" s="165" t="s">
        <v>467</v>
      </c>
      <c r="Y7" s="44">
        <v>120</v>
      </c>
      <c r="Z7" s="164">
        <f t="shared" si="0"/>
        <v>0.66</v>
      </c>
      <c r="AA7" s="44">
        <v>120</v>
      </c>
      <c r="AB7" s="164">
        <f t="shared" si="1"/>
        <v>0.66</v>
      </c>
      <c r="AC7" s="160" t="s">
        <v>91</v>
      </c>
      <c r="AD7" s="165" t="s">
        <v>464</v>
      </c>
      <c r="AE7" s="44">
        <v>60</v>
      </c>
      <c r="AF7" s="164">
        <f t="shared" si="2"/>
        <v>0.52</v>
      </c>
      <c r="AG7" s="44">
        <v>60</v>
      </c>
      <c r="AH7" s="164">
        <f t="shared" si="3"/>
        <v>0.52</v>
      </c>
      <c r="AI7" s="160" t="s">
        <v>84</v>
      </c>
      <c r="AJ7" s="165" t="s">
        <v>464</v>
      </c>
      <c r="AK7" s="44">
        <v>60</v>
      </c>
      <c r="AL7" s="164">
        <f t="shared" si="4"/>
        <v>1.65</v>
      </c>
      <c r="AM7" s="44">
        <v>72</v>
      </c>
      <c r="AN7" s="164">
        <f t="shared" si="5"/>
        <v>0</v>
      </c>
      <c r="AO7" s="160" t="s">
        <v>80</v>
      </c>
      <c r="AP7" s="165" t="s">
        <v>464</v>
      </c>
      <c r="AQ7" s="44">
        <v>60</v>
      </c>
      <c r="AR7" s="164">
        <f t="shared" si="6"/>
        <v>2.69</v>
      </c>
      <c r="AS7" s="44">
        <v>72</v>
      </c>
      <c r="AT7" s="164">
        <f t="shared" si="7"/>
        <v>0</v>
      </c>
    </row>
    <row r="8" spans="1:46" ht="15.75" thickBot="1" x14ac:dyDescent="0.3">
      <c r="A8" s="160" t="s">
        <v>277</v>
      </c>
      <c r="B8" s="160" t="s">
        <v>213</v>
      </c>
      <c r="C8" s="44">
        <v>120</v>
      </c>
      <c r="D8" s="164">
        <f>'Plate Price'!$C$11</f>
        <v>0</v>
      </c>
      <c r="S8" s="166" t="s">
        <v>463</v>
      </c>
      <c r="T8">
        <v>11.16</v>
      </c>
      <c r="U8">
        <v>10.210000000000001</v>
      </c>
      <c r="W8" s="160" t="s">
        <v>277</v>
      </c>
      <c r="X8" s="165" t="s">
        <v>468</v>
      </c>
      <c r="Y8" s="44">
        <v>120</v>
      </c>
      <c r="Z8" s="164">
        <f t="shared" si="0"/>
        <v>0.66</v>
      </c>
      <c r="AA8" s="44">
        <v>120</v>
      </c>
      <c r="AB8" s="164">
        <f t="shared" si="1"/>
        <v>0.66</v>
      </c>
      <c r="AC8" s="160" t="s">
        <v>91</v>
      </c>
      <c r="AD8" s="165" t="s">
        <v>467</v>
      </c>
      <c r="AE8" s="44">
        <v>60</v>
      </c>
      <c r="AF8" s="164">
        <f t="shared" si="2"/>
        <v>0.52</v>
      </c>
      <c r="AG8" s="44">
        <v>60</v>
      </c>
      <c r="AH8" s="164">
        <f t="shared" si="3"/>
        <v>0.52</v>
      </c>
      <c r="AI8" s="160" t="s">
        <v>84</v>
      </c>
      <c r="AJ8" s="165" t="s">
        <v>467</v>
      </c>
      <c r="AK8" s="44">
        <v>60</v>
      </c>
      <c r="AL8" s="164">
        <f t="shared" si="4"/>
        <v>1.74</v>
      </c>
      <c r="AM8" s="44">
        <v>72</v>
      </c>
      <c r="AN8" s="164">
        <f t="shared" si="5"/>
        <v>0</v>
      </c>
      <c r="AO8" s="160" t="s">
        <v>80</v>
      </c>
      <c r="AP8" s="165" t="s">
        <v>467</v>
      </c>
      <c r="AQ8" s="44">
        <v>60</v>
      </c>
      <c r="AR8" s="164">
        <f t="shared" si="6"/>
        <v>2.4900000000000002</v>
      </c>
      <c r="AS8" s="44">
        <v>72</v>
      </c>
      <c r="AT8" s="164">
        <f t="shared" si="7"/>
        <v>0</v>
      </c>
    </row>
    <row r="9" spans="1:46" ht="15.75" thickBot="1" x14ac:dyDescent="0.3">
      <c r="A9" s="160" t="s">
        <v>277</v>
      </c>
      <c r="B9" s="160" t="s">
        <v>214</v>
      </c>
      <c r="C9" s="44">
        <v>120</v>
      </c>
      <c r="D9" s="164">
        <f>'Plate Price'!$C$12</f>
        <v>0</v>
      </c>
      <c r="G9" s="542" t="s">
        <v>459</v>
      </c>
      <c r="H9" s="543"/>
      <c r="I9" s="544">
        <f>IFERROR(L6*M6*N6*(O6/P6)*Q6," ")</f>
        <v>1140.2749999999999</v>
      </c>
      <c r="J9" s="544"/>
      <c r="K9" s="545"/>
      <c r="S9" s="166" t="s">
        <v>464</v>
      </c>
      <c r="T9">
        <v>13.75</v>
      </c>
      <c r="U9">
        <v>12.76</v>
      </c>
      <c r="W9" s="160" t="s">
        <v>277</v>
      </c>
      <c r="X9" s="165" t="s">
        <v>469</v>
      </c>
      <c r="Y9" s="44">
        <v>120</v>
      </c>
      <c r="Z9" s="164">
        <f t="shared" si="0"/>
        <v>0.77</v>
      </c>
      <c r="AA9" s="44">
        <v>120</v>
      </c>
      <c r="AB9" s="164">
        <f t="shared" si="1"/>
        <v>0.77</v>
      </c>
      <c r="AC9" s="160" t="s">
        <v>91</v>
      </c>
      <c r="AD9" s="165" t="s">
        <v>468</v>
      </c>
      <c r="AE9" s="44">
        <v>60</v>
      </c>
      <c r="AF9" s="164">
        <f t="shared" si="2"/>
        <v>0.49</v>
      </c>
      <c r="AG9" s="44">
        <v>60</v>
      </c>
      <c r="AH9" s="164">
        <f t="shared" si="3"/>
        <v>0.49</v>
      </c>
      <c r="AI9" s="160" t="s">
        <v>84</v>
      </c>
      <c r="AJ9" s="165" t="s">
        <v>468</v>
      </c>
      <c r="AK9" s="44">
        <v>60</v>
      </c>
      <c r="AL9" s="164">
        <f t="shared" si="4"/>
        <v>1.98</v>
      </c>
      <c r="AM9" s="44">
        <v>72</v>
      </c>
      <c r="AN9" s="164">
        <f t="shared" si="5"/>
        <v>0</v>
      </c>
      <c r="AO9" s="160" t="s">
        <v>80</v>
      </c>
      <c r="AP9" s="165" t="s">
        <v>468</v>
      </c>
      <c r="AQ9" s="44">
        <v>60</v>
      </c>
      <c r="AR9" s="164">
        <f t="shared" si="6"/>
        <v>2.71</v>
      </c>
      <c r="AS9" s="44">
        <v>72</v>
      </c>
      <c r="AT9" s="164">
        <f t="shared" si="7"/>
        <v>0</v>
      </c>
    </row>
    <row r="10" spans="1:46" x14ac:dyDescent="0.25">
      <c r="A10" s="160" t="s">
        <v>91</v>
      </c>
      <c r="B10" s="160" t="s">
        <v>151</v>
      </c>
      <c r="C10" s="44">
        <v>60</v>
      </c>
      <c r="D10" s="164">
        <f>'Plate Price'!$C$31</f>
        <v>0.49</v>
      </c>
      <c r="S10" s="166" t="s">
        <v>467</v>
      </c>
      <c r="T10">
        <v>16.5</v>
      </c>
      <c r="U10">
        <v>15.32</v>
      </c>
      <c r="W10" s="160" t="s">
        <v>277</v>
      </c>
      <c r="X10" s="165" t="s">
        <v>470</v>
      </c>
      <c r="Y10" s="44">
        <v>120</v>
      </c>
      <c r="Z10" s="164">
        <f t="shared" si="0"/>
        <v>0</v>
      </c>
      <c r="AA10" s="44">
        <v>120</v>
      </c>
      <c r="AB10" s="164">
        <f t="shared" si="1"/>
        <v>0</v>
      </c>
      <c r="AC10" s="160" t="s">
        <v>91</v>
      </c>
      <c r="AD10" s="165" t="s">
        <v>469</v>
      </c>
      <c r="AE10" s="44">
        <v>60</v>
      </c>
      <c r="AF10" s="164">
        <f t="shared" si="2"/>
        <v>0.56999999999999995</v>
      </c>
      <c r="AG10" s="44">
        <v>60</v>
      </c>
      <c r="AH10" s="164">
        <f t="shared" si="3"/>
        <v>0.56999999999999995</v>
      </c>
      <c r="AI10" s="160" t="s">
        <v>84</v>
      </c>
      <c r="AJ10" s="165" t="s">
        <v>469</v>
      </c>
      <c r="AK10" s="44">
        <v>60</v>
      </c>
      <c r="AL10" s="164">
        <f t="shared" si="4"/>
        <v>2.04</v>
      </c>
    </row>
    <row r="11" spans="1:46" x14ac:dyDescent="0.25">
      <c r="A11" s="160" t="s">
        <v>91</v>
      </c>
      <c r="B11" s="160" t="s">
        <v>154</v>
      </c>
      <c r="C11" s="44">
        <v>60</v>
      </c>
      <c r="D11" s="164">
        <f>'Plate Price'!$C$32</f>
        <v>0.49</v>
      </c>
      <c r="E11" s="160" t="s">
        <v>277</v>
      </c>
      <c r="F11" s="1"/>
      <c r="G11" s="1"/>
      <c r="S11" s="166" t="s">
        <v>468</v>
      </c>
      <c r="T11">
        <v>21.66</v>
      </c>
      <c r="U11">
        <v>20.420000000000002</v>
      </c>
      <c r="W11" s="160" t="s">
        <v>277</v>
      </c>
      <c r="X11" s="165" t="s">
        <v>471</v>
      </c>
      <c r="Y11" s="44">
        <v>120</v>
      </c>
      <c r="Z11" s="164">
        <f t="shared" si="0"/>
        <v>0</v>
      </c>
      <c r="AA11" s="44">
        <v>120</v>
      </c>
      <c r="AB11" s="164">
        <f t="shared" si="1"/>
        <v>0</v>
      </c>
      <c r="AC11" s="160" t="s">
        <v>91</v>
      </c>
      <c r="AD11" s="165" t="s">
        <v>470</v>
      </c>
      <c r="AE11" s="44">
        <v>60</v>
      </c>
      <c r="AF11" s="164">
        <f t="shared" si="2"/>
        <v>0.59</v>
      </c>
      <c r="AG11" s="44">
        <v>60</v>
      </c>
      <c r="AH11" s="164">
        <f t="shared" si="3"/>
        <v>0.59</v>
      </c>
      <c r="AI11" s="160" t="s">
        <v>84</v>
      </c>
      <c r="AJ11" s="165" t="s">
        <v>470</v>
      </c>
      <c r="AK11" s="44">
        <v>60</v>
      </c>
      <c r="AL11" s="164">
        <f t="shared" si="4"/>
        <v>2.09</v>
      </c>
    </row>
    <row r="12" spans="1:46" x14ac:dyDescent="0.25">
      <c r="A12" s="160" t="s">
        <v>91</v>
      </c>
      <c r="B12" s="160" t="s">
        <v>155</v>
      </c>
      <c r="C12" s="44">
        <v>60</v>
      </c>
      <c r="D12" s="164">
        <f>'Plate Price'!$C$33</f>
        <v>0.52</v>
      </c>
      <c r="E12" s="160" t="s">
        <v>91</v>
      </c>
      <c r="F12" s="1"/>
      <c r="G12" s="1"/>
      <c r="S12" s="166" t="s">
        <v>469</v>
      </c>
      <c r="T12">
        <v>26.83</v>
      </c>
      <c r="U12">
        <v>25.53</v>
      </c>
      <c r="W12" s="160" t="s">
        <v>277</v>
      </c>
      <c r="X12" s="165" t="s">
        <v>465</v>
      </c>
      <c r="Y12" s="44">
        <v>120</v>
      </c>
      <c r="Z12" s="164">
        <f t="shared" si="0"/>
        <v>0</v>
      </c>
      <c r="AA12" s="44">
        <v>120</v>
      </c>
      <c r="AB12" s="164">
        <f t="shared" si="1"/>
        <v>0</v>
      </c>
      <c r="AC12" s="160" t="s">
        <v>91</v>
      </c>
      <c r="AD12" s="165" t="s">
        <v>471</v>
      </c>
      <c r="AE12" s="44">
        <v>60</v>
      </c>
      <c r="AF12" s="164">
        <f t="shared" si="2"/>
        <v>0</v>
      </c>
      <c r="AG12" s="44">
        <v>60</v>
      </c>
      <c r="AH12" s="164">
        <f t="shared" si="3"/>
        <v>0</v>
      </c>
      <c r="AI12" s="160" t="s">
        <v>84</v>
      </c>
      <c r="AJ12" s="165" t="s">
        <v>465</v>
      </c>
      <c r="AK12" s="44">
        <v>60</v>
      </c>
      <c r="AL12" s="164">
        <f t="shared" si="4"/>
        <v>2.09</v>
      </c>
    </row>
    <row r="13" spans="1:46" x14ac:dyDescent="0.25">
      <c r="A13" s="160" t="s">
        <v>91</v>
      </c>
      <c r="B13" s="160" t="s">
        <v>156</v>
      </c>
      <c r="C13" s="44">
        <v>60</v>
      </c>
      <c r="D13" s="164">
        <f>'Plate Price'!$C$34</f>
        <v>0.52</v>
      </c>
      <c r="E13" s="160" t="s">
        <v>84</v>
      </c>
      <c r="F13" s="1"/>
      <c r="G13" s="1"/>
      <c r="S13" s="166" t="s">
        <v>470</v>
      </c>
      <c r="T13">
        <v>32.119999999999997</v>
      </c>
      <c r="U13">
        <v>30.63</v>
      </c>
      <c r="AC13" s="160" t="s">
        <v>91</v>
      </c>
      <c r="AD13" s="165" t="s">
        <v>465</v>
      </c>
      <c r="AE13" s="44">
        <v>60</v>
      </c>
      <c r="AF13" s="164">
        <f t="shared" si="2"/>
        <v>0.57999999999999996</v>
      </c>
      <c r="AG13" s="44">
        <v>60</v>
      </c>
      <c r="AH13" s="164">
        <f t="shared" si="3"/>
        <v>0.57999999999999996</v>
      </c>
    </row>
    <row r="14" spans="1:46" x14ac:dyDescent="0.25">
      <c r="A14" s="160" t="s">
        <v>91</v>
      </c>
      <c r="B14" s="160" t="s">
        <v>157</v>
      </c>
      <c r="C14" s="44">
        <v>60</v>
      </c>
      <c r="D14" s="164">
        <f>'Plate Price'!$C$35</f>
        <v>0.49</v>
      </c>
      <c r="E14" s="160" t="s">
        <v>80</v>
      </c>
      <c r="F14" s="1"/>
      <c r="G14" s="1"/>
      <c r="S14" s="166" t="s">
        <v>471</v>
      </c>
      <c r="T14">
        <v>37.29</v>
      </c>
      <c r="U14">
        <v>35.74</v>
      </c>
    </row>
    <row r="15" spans="1:46" x14ac:dyDescent="0.25">
      <c r="A15" s="160" t="s">
        <v>91</v>
      </c>
      <c r="B15" s="160" t="s">
        <v>211</v>
      </c>
      <c r="C15" s="44">
        <v>60</v>
      </c>
      <c r="D15" s="164">
        <f>'Plate Price'!$C$36</f>
        <v>0.56999999999999995</v>
      </c>
      <c r="S15" s="166" t="s">
        <v>465</v>
      </c>
      <c r="T15">
        <v>42.67</v>
      </c>
      <c r="U15">
        <v>40.840000000000003</v>
      </c>
    </row>
    <row r="16" spans="1:46" x14ac:dyDescent="0.25">
      <c r="A16" s="160" t="s">
        <v>91</v>
      </c>
      <c r="B16" s="160" t="s">
        <v>212</v>
      </c>
      <c r="C16" s="44">
        <v>60</v>
      </c>
      <c r="D16" s="164">
        <f>'Plate Price'!$C$37</f>
        <v>0.59</v>
      </c>
      <c r="S16" s="1"/>
    </row>
    <row r="17" spans="1:19" x14ac:dyDescent="0.25">
      <c r="A17" s="160" t="s">
        <v>91</v>
      </c>
      <c r="B17" s="160" t="s">
        <v>213</v>
      </c>
      <c r="C17" s="44">
        <v>60</v>
      </c>
      <c r="D17" s="164">
        <f>'Plate Price'!$C$38</f>
        <v>0</v>
      </c>
      <c r="S17" s="1"/>
    </row>
    <row r="18" spans="1:19" x14ac:dyDescent="0.25">
      <c r="A18" s="160" t="s">
        <v>91</v>
      </c>
      <c r="B18" s="160" t="s">
        <v>214</v>
      </c>
      <c r="C18" s="44">
        <v>60</v>
      </c>
      <c r="D18" s="164">
        <f>'Plate Price'!$C$39</f>
        <v>0.57999999999999996</v>
      </c>
      <c r="E18" s="166" t="s">
        <v>466</v>
      </c>
      <c r="S18" s="1"/>
    </row>
    <row r="19" spans="1:19" x14ac:dyDescent="0.25">
      <c r="A19" s="160" t="s">
        <v>84</v>
      </c>
      <c r="B19" s="160" t="s">
        <v>151</v>
      </c>
      <c r="C19" s="44">
        <v>60</v>
      </c>
      <c r="D19" s="164">
        <f>'Plate Price'!$I$4</f>
        <v>1.58</v>
      </c>
      <c r="E19" s="165" t="s">
        <v>463</v>
      </c>
      <c r="F19" s="1"/>
      <c r="G19" s="1"/>
      <c r="S19" s="1"/>
    </row>
    <row r="20" spans="1:19" x14ac:dyDescent="0.25">
      <c r="A20" s="160" t="s">
        <v>84</v>
      </c>
      <c r="B20" s="160" t="s">
        <v>154</v>
      </c>
      <c r="C20" s="44">
        <v>60</v>
      </c>
      <c r="D20" s="164">
        <f>'Plate Price'!$I$5</f>
        <v>1.58</v>
      </c>
      <c r="E20" s="165" t="s">
        <v>464</v>
      </c>
      <c r="F20" s="1"/>
      <c r="G20" s="1"/>
      <c r="S20" s="1"/>
    </row>
    <row r="21" spans="1:19" x14ac:dyDescent="0.25">
      <c r="A21" s="160" t="s">
        <v>84</v>
      </c>
      <c r="B21" s="160" t="s">
        <v>155</v>
      </c>
      <c r="C21" s="44">
        <v>60</v>
      </c>
      <c r="D21" s="164">
        <f>'Plate Price'!$I$6</f>
        <v>1.65</v>
      </c>
      <c r="E21" s="165" t="s">
        <v>467</v>
      </c>
      <c r="F21" s="1"/>
      <c r="G21" s="1"/>
      <c r="S21" s="1"/>
    </row>
    <row r="22" spans="1:19" x14ac:dyDescent="0.25">
      <c r="A22" s="160" t="s">
        <v>84</v>
      </c>
      <c r="B22" s="160" t="s">
        <v>156</v>
      </c>
      <c r="C22" s="44">
        <v>60</v>
      </c>
      <c r="D22" s="164">
        <f>'Plate Price'!$I$7</f>
        <v>1.74</v>
      </c>
      <c r="E22" s="165" t="s">
        <v>468</v>
      </c>
      <c r="F22" s="1"/>
      <c r="G22" s="1"/>
      <c r="S22" s="1"/>
    </row>
    <row r="23" spans="1:19" x14ac:dyDescent="0.25">
      <c r="A23" s="160" t="s">
        <v>84</v>
      </c>
      <c r="B23" s="160" t="s">
        <v>157</v>
      </c>
      <c r="C23" s="44">
        <v>60</v>
      </c>
      <c r="D23" s="164">
        <f>'Plate Price'!$I$8</f>
        <v>1.98</v>
      </c>
      <c r="E23" s="165" t="s">
        <v>469</v>
      </c>
      <c r="F23" s="1"/>
      <c r="G23" s="1"/>
      <c r="S23" s="1"/>
    </row>
    <row r="24" spans="1:19" x14ac:dyDescent="0.25">
      <c r="A24" s="160" t="s">
        <v>84</v>
      </c>
      <c r="B24" s="160" t="s">
        <v>211</v>
      </c>
      <c r="C24" s="44">
        <v>60</v>
      </c>
      <c r="D24" s="164">
        <f>'Plate Price'!$I$9</f>
        <v>2.04</v>
      </c>
      <c r="E24" s="165" t="s">
        <v>470</v>
      </c>
      <c r="F24" s="1"/>
      <c r="G24" s="1"/>
      <c r="S24" s="1"/>
    </row>
    <row r="25" spans="1:19" x14ac:dyDescent="0.25">
      <c r="A25" s="160" t="s">
        <v>84</v>
      </c>
      <c r="B25" s="160" t="s">
        <v>212</v>
      </c>
      <c r="C25" s="44">
        <v>60</v>
      </c>
      <c r="D25" s="164">
        <f>'Plate Price'!$I$10</f>
        <v>2.09</v>
      </c>
      <c r="E25" s="165" t="s">
        <v>471</v>
      </c>
      <c r="F25" s="1"/>
      <c r="G25" s="1"/>
      <c r="S25" s="1"/>
    </row>
    <row r="26" spans="1:19" x14ac:dyDescent="0.25">
      <c r="A26" s="160" t="s">
        <v>84</v>
      </c>
      <c r="B26" s="160" t="s">
        <v>231</v>
      </c>
      <c r="C26" s="44">
        <v>60</v>
      </c>
      <c r="D26" s="164">
        <f>'Plate Price'!$I$11</f>
        <v>2.09</v>
      </c>
      <c r="E26" s="165" t="s">
        <v>465</v>
      </c>
      <c r="F26" s="1"/>
      <c r="G26" s="1"/>
    </row>
    <row r="27" spans="1:19" x14ac:dyDescent="0.25">
      <c r="A27" s="160" t="s">
        <v>84</v>
      </c>
      <c r="B27" s="160" t="s">
        <v>151</v>
      </c>
      <c r="C27" s="44">
        <v>72</v>
      </c>
      <c r="D27" s="164">
        <f>'Plate Price'!$I$13</f>
        <v>0</v>
      </c>
    </row>
    <row r="28" spans="1:19" x14ac:dyDescent="0.25">
      <c r="A28" s="160" t="s">
        <v>84</v>
      </c>
      <c r="B28" s="160" t="s">
        <v>154</v>
      </c>
      <c r="C28" s="44">
        <v>72</v>
      </c>
      <c r="D28" s="164">
        <f>'Plate Price'!$I$14</f>
        <v>1.89</v>
      </c>
    </row>
    <row r="29" spans="1:19" x14ac:dyDescent="0.25">
      <c r="A29" s="160" t="s">
        <v>84</v>
      </c>
      <c r="B29" s="160" t="s">
        <v>155</v>
      </c>
      <c r="C29" s="44">
        <v>72</v>
      </c>
      <c r="D29" s="164">
        <f>'Plate Price'!$I$15</f>
        <v>0</v>
      </c>
    </row>
    <row r="30" spans="1:19" x14ac:dyDescent="0.25">
      <c r="A30" s="160" t="s">
        <v>84</v>
      </c>
      <c r="B30" s="160" t="s">
        <v>156</v>
      </c>
      <c r="C30" s="44">
        <v>72</v>
      </c>
      <c r="D30" s="164">
        <f>'Plate Price'!$I$16</f>
        <v>0</v>
      </c>
    </row>
    <row r="31" spans="1:19" x14ac:dyDescent="0.25">
      <c r="A31" s="160" t="s">
        <v>84</v>
      </c>
      <c r="B31" s="160" t="s">
        <v>157</v>
      </c>
      <c r="C31" s="44">
        <v>72</v>
      </c>
      <c r="D31" s="164">
        <f>'Plate Price'!$I$17</f>
        <v>0</v>
      </c>
    </row>
    <row r="32" spans="1:19" x14ac:dyDescent="0.25">
      <c r="A32" s="160" t="s">
        <v>80</v>
      </c>
      <c r="B32" s="160" t="s">
        <v>151</v>
      </c>
      <c r="C32" s="44">
        <v>60</v>
      </c>
      <c r="D32" s="164">
        <f>'Plate Price'!$O$4</f>
        <v>2.4500000000000002</v>
      </c>
    </row>
    <row r="33" spans="1:4" x14ac:dyDescent="0.25">
      <c r="A33" s="160" t="s">
        <v>80</v>
      </c>
      <c r="B33" s="160" t="s">
        <v>154</v>
      </c>
      <c r="C33" s="44">
        <v>60</v>
      </c>
      <c r="D33" s="164">
        <f>'Plate Price'!$O$5</f>
        <v>2.4500000000000002</v>
      </c>
    </row>
    <row r="34" spans="1:4" x14ac:dyDescent="0.25">
      <c r="A34" s="160" t="s">
        <v>80</v>
      </c>
      <c r="B34" s="160" t="s">
        <v>155</v>
      </c>
      <c r="C34" s="44">
        <v>60</v>
      </c>
      <c r="D34" s="164">
        <f>'Plate Price'!$O$6</f>
        <v>2.69</v>
      </c>
    </row>
    <row r="35" spans="1:4" x14ac:dyDescent="0.25">
      <c r="A35" s="160" t="s">
        <v>80</v>
      </c>
      <c r="B35" s="160" t="s">
        <v>156</v>
      </c>
      <c r="C35" s="44">
        <v>60</v>
      </c>
      <c r="D35" s="164">
        <f>'Plate Price'!$O$7</f>
        <v>2.4900000000000002</v>
      </c>
    </row>
    <row r="36" spans="1:4" x14ac:dyDescent="0.25">
      <c r="A36" s="160" t="s">
        <v>80</v>
      </c>
      <c r="B36" s="160" t="s">
        <v>157</v>
      </c>
      <c r="C36" s="44">
        <v>60</v>
      </c>
      <c r="D36" s="164">
        <f>'Plate Price'!$O$8</f>
        <v>2.71</v>
      </c>
    </row>
    <row r="37" spans="1:4" x14ac:dyDescent="0.25">
      <c r="A37" s="160" t="s">
        <v>80</v>
      </c>
      <c r="B37" s="160" t="s">
        <v>151</v>
      </c>
      <c r="C37" s="44">
        <v>72</v>
      </c>
      <c r="D37" s="164">
        <f>'Plate Price'!$O$13</f>
        <v>0</v>
      </c>
    </row>
    <row r="38" spans="1:4" x14ac:dyDescent="0.25">
      <c r="A38" s="160" t="s">
        <v>80</v>
      </c>
      <c r="B38" s="160" t="s">
        <v>154</v>
      </c>
      <c r="C38" s="44">
        <v>72</v>
      </c>
      <c r="D38" s="164">
        <f>'Plate Price'!$O$14</f>
        <v>0</v>
      </c>
    </row>
    <row r="39" spans="1:4" x14ac:dyDescent="0.25">
      <c r="A39" s="160" t="s">
        <v>80</v>
      </c>
      <c r="B39" s="160" t="s">
        <v>155</v>
      </c>
      <c r="C39" s="44">
        <v>72</v>
      </c>
      <c r="D39" s="164">
        <f>'Plate Price'!$O$15</f>
        <v>0</v>
      </c>
    </row>
    <row r="40" spans="1:4" x14ac:dyDescent="0.25">
      <c r="A40" s="160" t="s">
        <v>80</v>
      </c>
      <c r="B40" s="160" t="s">
        <v>156</v>
      </c>
      <c r="C40" s="44">
        <v>72</v>
      </c>
      <c r="D40" s="164">
        <f>'Plate Price'!$O$16</f>
        <v>0</v>
      </c>
    </row>
    <row r="41" spans="1:4" x14ac:dyDescent="0.25">
      <c r="A41" s="160" t="s">
        <v>80</v>
      </c>
      <c r="B41" s="160" t="s">
        <v>157</v>
      </c>
      <c r="C41" s="44">
        <v>72</v>
      </c>
      <c r="D41" s="164">
        <f>'Plate Price'!$O$17</f>
        <v>0</v>
      </c>
    </row>
  </sheetData>
  <mergeCells count="2">
    <mergeCell ref="I9:K9"/>
    <mergeCell ref="G9:H9"/>
  </mergeCells>
  <phoneticPr fontId="21" type="noConversion"/>
  <dataValidations count="2">
    <dataValidation type="list" allowBlank="1" showInputMessage="1" showErrorMessage="1" sqref="I6" xr:uid="{00000000-0002-0000-0800-000000000000}">
      <formula1>$E$17:$E$26</formula1>
    </dataValidation>
    <dataValidation type="list" allowBlank="1" showInputMessage="1" showErrorMessage="1" sqref="H6" xr:uid="{00000000-0002-0000-0800-000001000000}">
      <formula1>$E$11:$E$15</formula1>
    </dataValidation>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1"/>
  <sheetViews>
    <sheetView workbookViewId="0">
      <selection sqref="A1:C11"/>
    </sheetView>
  </sheetViews>
  <sheetFormatPr defaultRowHeight="15" x14ac:dyDescent="0.25"/>
  <cols>
    <col min="1" max="1" width="10.5703125" bestFit="1" customWidth="1"/>
    <col min="2" max="2" width="20" bestFit="1" customWidth="1"/>
    <col min="3" max="3" width="18.42578125" bestFit="1" customWidth="1"/>
  </cols>
  <sheetData>
    <row r="1" spans="1:3" ht="30" x14ac:dyDescent="0.25">
      <c r="A1" s="63"/>
      <c r="B1" s="64" t="s">
        <v>225</v>
      </c>
      <c r="C1" s="65" t="s">
        <v>208</v>
      </c>
    </row>
    <row r="2" spans="1:3" x14ac:dyDescent="0.25">
      <c r="A2" s="66" t="s">
        <v>209</v>
      </c>
      <c r="B2" s="13" t="s">
        <v>210</v>
      </c>
      <c r="C2" s="67" t="s">
        <v>210</v>
      </c>
    </row>
    <row r="3" spans="1:3" x14ac:dyDescent="0.25">
      <c r="A3" s="68" t="s">
        <v>151</v>
      </c>
      <c r="B3" s="23">
        <v>8.58</v>
      </c>
      <c r="C3" s="69">
        <v>7.66</v>
      </c>
    </row>
    <row r="4" spans="1:3" x14ac:dyDescent="0.25">
      <c r="A4" s="68" t="s">
        <v>154</v>
      </c>
      <c r="B4" s="23">
        <v>11.16</v>
      </c>
      <c r="C4" s="69">
        <v>10.210000000000001</v>
      </c>
    </row>
    <row r="5" spans="1:3" x14ac:dyDescent="0.25">
      <c r="A5" s="68" t="s">
        <v>155</v>
      </c>
      <c r="B5" s="23">
        <v>13.75</v>
      </c>
      <c r="C5" s="69">
        <v>12.76</v>
      </c>
    </row>
    <row r="6" spans="1:3" x14ac:dyDescent="0.25">
      <c r="A6" s="68" t="s">
        <v>156</v>
      </c>
      <c r="B6" s="23">
        <v>16.5</v>
      </c>
      <c r="C6" s="69">
        <v>15.32</v>
      </c>
    </row>
    <row r="7" spans="1:3" x14ac:dyDescent="0.25">
      <c r="A7" s="68" t="s">
        <v>157</v>
      </c>
      <c r="B7" s="23">
        <v>21.66</v>
      </c>
      <c r="C7" s="69">
        <v>20.420000000000002</v>
      </c>
    </row>
    <row r="8" spans="1:3" x14ac:dyDescent="0.25">
      <c r="A8" s="68" t="s">
        <v>211</v>
      </c>
      <c r="B8" s="23">
        <v>26.83</v>
      </c>
      <c r="C8" s="69">
        <v>25.53</v>
      </c>
    </row>
    <row r="9" spans="1:3" x14ac:dyDescent="0.25">
      <c r="A9" s="68" t="s">
        <v>212</v>
      </c>
      <c r="B9" s="23">
        <v>32.119999999999997</v>
      </c>
      <c r="C9" s="69">
        <v>30.63</v>
      </c>
    </row>
    <row r="10" spans="1:3" x14ac:dyDescent="0.25">
      <c r="A10" s="68" t="s">
        <v>213</v>
      </c>
      <c r="B10" s="23">
        <v>37.29</v>
      </c>
      <c r="C10" s="69">
        <v>35.74</v>
      </c>
    </row>
    <row r="11" spans="1:3" x14ac:dyDescent="0.25">
      <c r="A11" s="68" t="s">
        <v>214</v>
      </c>
      <c r="B11" s="23">
        <v>42.67</v>
      </c>
      <c r="C11" s="69">
        <v>40.840000000000003</v>
      </c>
    </row>
    <row r="12" spans="1:3" x14ac:dyDescent="0.25">
      <c r="A12" s="68" t="s">
        <v>215</v>
      </c>
      <c r="B12" s="23">
        <v>53</v>
      </c>
      <c r="C12" s="69">
        <v>51.05</v>
      </c>
    </row>
    <row r="13" spans="1:3" x14ac:dyDescent="0.25">
      <c r="A13" s="68" t="s">
        <v>216</v>
      </c>
      <c r="B13" s="23">
        <v>63.34</v>
      </c>
      <c r="C13" s="69">
        <v>61.26</v>
      </c>
    </row>
    <row r="14" spans="1:3" x14ac:dyDescent="0.25">
      <c r="A14" s="68" t="s">
        <v>217</v>
      </c>
      <c r="B14" s="23">
        <v>73.67</v>
      </c>
      <c r="C14" s="69">
        <v>71.47</v>
      </c>
    </row>
    <row r="15" spans="1:3" x14ac:dyDescent="0.25">
      <c r="A15" s="68" t="s">
        <v>218</v>
      </c>
      <c r="B15" s="23">
        <v>84.01</v>
      </c>
      <c r="C15" s="69">
        <v>81.680000000000007</v>
      </c>
    </row>
    <row r="16" spans="1:3" x14ac:dyDescent="0.25">
      <c r="A16" s="68" t="s">
        <v>219</v>
      </c>
      <c r="B16" s="23">
        <v>105.1</v>
      </c>
      <c r="C16" s="69">
        <v>102.1</v>
      </c>
    </row>
    <row r="17" spans="1:3" x14ac:dyDescent="0.25">
      <c r="A17" s="68" t="s">
        <v>220</v>
      </c>
      <c r="B17" s="23">
        <v>126.3</v>
      </c>
      <c r="C17" s="69">
        <v>122.52</v>
      </c>
    </row>
    <row r="18" spans="1:3" x14ac:dyDescent="0.25">
      <c r="A18" s="68" t="s">
        <v>221</v>
      </c>
      <c r="B18" s="23">
        <v>136.6</v>
      </c>
      <c r="C18" s="69">
        <v>132.72999999999999</v>
      </c>
    </row>
    <row r="19" spans="1:3" x14ac:dyDescent="0.25">
      <c r="A19" s="68" t="s">
        <v>222</v>
      </c>
      <c r="B19" s="23">
        <v>147</v>
      </c>
      <c r="C19" s="69">
        <v>142.94</v>
      </c>
    </row>
    <row r="20" spans="1:3" x14ac:dyDescent="0.25">
      <c r="A20" s="68" t="s">
        <v>223</v>
      </c>
      <c r="B20" s="23">
        <v>157.30000000000001</v>
      </c>
      <c r="C20" s="69">
        <v>153.15</v>
      </c>
    </row>
    <row r="21" spans="1:3" ht="15.75" thickBot="1" x14ac:dyDescent="0.3">
      <c r="A21" s="70" t="s">
        <v>224</v>
      </c>
      <c r="B21" s="71">
        <v>167.6</v>
      </c>
      <c r="C21" s="72">
        <v>163.36000000000001</v>
      </c>
    </row>
  </sheetData>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BW20"/>
  <sheetViews>
    <sheetView workbookViewId="0">
      <selection activeCell="BQ25" sqref="BQ25"/>
    </sheetView>
  </sheetViews>
  <sheetFormatPr defaultRowHeight="15" x14ac:dyDescent="0.25"/>
  <sheetData>
    <row r="2" spans="1:75" s="172" customFormat="1" x14ac:dyDescent="0.25">
      <c r="B2" s="172" t="s">
        <v>476</v>
      </c>
      <c r="C2" s="172" t="s">
        <v>497</v>
      </c>
      <c r="D2" s="172" t="s">
        <v>477</v>
      </c>
      <c r="E2" s="172" t="s">
        <v>478</v>
      </c>
      <c r="F2" s="172" t="s">
        <v>479</v>
      </c>
      <c r="G2" s="172" t="s">
        <v>480</v>
      </c>
      <c r="H2" s="172" t="s">
        <v>481</v>
      </c>
      <c r="I2" s="172" t="s">
        <v>482</v>
      </c>
      <c r="J2" s="172" t="s">
        <v>483</v>
      </c>
      <c r="K2" s="172" t="s">
        <v>484</v>
      </c>
      <c r="L2" s="172" t="s">
        <v>485</v>
      </c>
      <c r="M2" s="172" t="s">
        <v>486</v>
      </c>
      <c r="N2" s="172" t="s">
        <v>487</v>
      </c>
      <c r="O2" s="172" t="s">
        <v>488</v>
      </c>
      <c r="P2" s="172" t="s">
        <v>489</v>
      </c>
      <c r="Q2" s="172" t="s">
        <v>490</v>
      </c>
      <c r="R2" s="172" t="s">
        <v>491</v>
      </c>
      <c r="S2" s="172" t="s">
        <v>492</v>
      </c>
      <c r="T2" s="172" t="s">
        <v>493</v>
      </c>
      <c r="U2" s="172" t="s">
        <v>494</v>
      </c>
      <c r="V2" s="172" t="s">
        <v>495</v>
      </c>
      <c r="W2" s="172" t="s">
        <v>496</v>
      </c>
      <c r="X2" s="172" t="s">
        <v>502</v>
      </c>
      <c r="Y2" s="172" t="s">
        <v>503</v>
      </c>
      <c r="Z2" s="172" t="s">
        <v>504</v>
      </c>
      <c r="AA2" s="172" t="s">
        <v>505</v>
      </c>
      <c r="AB2" s="172" t="s">
        <v>506</v>
      </c>
      <c r="AC2" s="172" t="s">
        <v>507</v>
      </c>
      <c r="AD2" s="172" t="s">
        <v>508</v>
      </c>
      <c r="AE2" s="172" t="s">
        <v>509</v>
      </c>
      <c r="AF2" s="172" t="s">
        <v>510</v>
      </c>
      <c r="AG2" s="172" t="s">
        <v>511</v>
      </c>
      <c r="AH2" s="172" t="s">
        <v>512</v>
      </c>
      <c r="AI2" s="172" t="s">
        <v>513</v>
      </c>
      <c r="AJ2" s="172" t="s">
        <v>514</v>
      </c>
      <c r="AK2" s="172" t="s">
        <v>515</v>
      </c>
      <c r="AL2" s="172" t="s">
        <v>516</v>
      </c>
      <c r="AM2" s="172" t="s">
        <v>517</v>
      </c>
      <c r="AN2" s="172" t="s">
        <v>518</v>
      </c>
      <c r="AO2" s="172" t="s">
        <v>519</v>
      </c>
      <c r="AP2" s="172" t="s">
        <v>520</v>
      </c>
      <c r="AQ2" s="172" t="s">
        <v>521</v>
      </c>
      <c r="AR2" s="172" t="s">
        <v>522</v>
      </c>
      <c r="AS2" s="172" t="s">
        <v>523</v>
      </c>
      <c r="AT2" s="172" t="s">
        <v>524</v>
      </c>
      <c r="AU2" s="172" t="s">
        <v>525</v>
      </c>
      <c r="AV2" s="172" t="s">
        <v>526</v>
      </c>
      <c r="AW2" s="172" t="s">
        <v>527</v>
      </c>
      <c r="AX2" s="172" t="s">
        <v>528</v>
      </c>
      <c r="AY2" s="172" t="s">
        <v>529</v>
      </c>
      <c r="AZ2" s="172" t="s">
        <v>530</v>
      </c>
      <c r="BA2" s="172" t="s">
        <v>531</v>
      </c>
      <c r="BB2" s="172" t="s">
        <v>532</v>
      </c>
      <c r="BC2" s="172" t="s">
        <v>533</v>
      </c>
      <c r="BD2" s="172" t="s">
        <v>534</v>
      </c>
      <c r="BE2" s="172" t="s">
        <v>535</v>
      </c>
      <c r="BF2" s="172" t="s">
        <v>536</v>
      </c>
      <c r="BG2" s="172" t="s">
        <v>537</v>
      </c>
      <c r="BH2" s="172" t="s">
        <v>538</v>
      </c>
      <c r="BI2" s="172" t="s">
        <v>539</v>
      </c>
      <c r="BJ2" s="172" t="s">
        <v>540</v>
      </c>
      <c r="BK2" s="172" t="s">
        <v>541</v>
      </c>
      <c r="BL2" s="172" t="s">
        <v>542</v>
      </c>
      <c r="BM2" s="172" t="s">
        <v>543</v>
      </c>
      <c r="BN2" s="172" t="s">
        <v>544</v>
      </c>
      <c r="BO2" s="172" t="s">
        <v>545</v>
      </c>
      <c r="BP2" s="172" t="s">
        <v>546</v>
      </c>
      <c r="BQ2" s="172" t="s">
        <v>547</v>
      </c>
      <c r="BR2" s="172" t="s">
        <v>548</v>
      </c>
      <c r="BS2" s="172" t="s">
        <v>549</v>
      </c>
      <c r="BT2" s="172" t="s">
        <v>550</v>
      </c>
      <c r="BU2" s="172" t="s">
        <v>551</v>
      </c>
      <c r="BV2" s="172" t="s">
        <v>552</v>
      </c>
      <c r="BW2" s="172" t="s">
        <v>553</v>
      </c>
    </row>
    <row r="3" spans="1:75" x14ac:dyDescent="0.25">
      <c r="A3" t="s">
        <v>459</v>
      </c>
      <c r="B3" s="171" t="e">
        <f>ESTIMATE!#REF!</f>
        <v>#REF!</v>
      </c>
      <c r="C3" s="171" t="e">
        <f>D3-250</f>
        <v>#REF!</v>
      </c>
      <c r="D3" s="171" t="e">
        <f>250*ROUNDUP((B3+250)/250,0)</f>
        <v>#REF!</v>
      </c>
      <c r="E3" s="171" t="e">
        <f>D3+250</f>
        <v>#REF!</v>
      </c>
      <c r="F3" s="171" t="e">
        <f t="shared" ref="F3:W3" si="0">E3+250</f>
        <v>#REF!</v>
      </c>
      <c r="G3" s="171" t="e">
        <f t="shared" si="0"/>
        <v>#REF!</v>
      </c>
      <c r="H3" s="171" t="e">
        <f t="shared" si="0"/>
        <v>#REF!</v>
      </c>
      <c r="I3" s="171" t="e">
        <f t="shared" si="0"/>
        <v>#REF!</v>
      </c>
      <c r="J3" s="171" t="e">
        <f t="shared" si="0"/>
        <v>#REF!</v>
      </c>
      <c r="K3" s="171" t="e">
        <f t="shared" si="0"/>
        <v>#REF!</v>
      </c>
      <c r="L3" s="171" t="e">
        <f t="shared" si="0"/>
        <v>#REF!</v>
      </c>
      <c r="M3" s="171" t="e">
        <f t="shared" si="0"/>
        <v>#REF!</v>
      </c>
      <c r="N3" s="171" t="e">
        <f t="shared" si="0"/>
        <v>#REF!</v>
      </c>
      <c r="O3" s="171" t="e">
        <f>N3+250</f>
        <v>#REF!</v>
      </c>
      <c r="P3" s="171" t="e">
        <f t="shared" si="0"/>
        <v>#REF!</v>
      </c>
      <c r="Q3" s="171" t="e">
        <f t="shared" si="0"/>
        <v>#REF!</v>
      </c>
      <c r="R3" s="171" t="e">
        <f t="shared" si="0"/>
        <v>#REF!</v>
      </c>
      <c r="S3" s="171" t="e">
        <f t="shared" si="0"/>
        <v>#REF!</v>
      </c>
      <c r="T3" s="171" t="e">
        <f t="shared" si="0"/>
        <v>#REF!</v>
      </c>
      <c r="U3" s="171" t="e">
        <f t="shared" si="0"/>
        <v>#REF!</v>
      </c>
      <c r="V3" s="171" t="e">
        <f t="shared" si="0"/>
        <v>#REF!</v>
      </c>
      <c r="W3" s="171" t="e">
        <f t="shared" si="0"/>
        <v>#REF!</v>
      </c>
      <c r="X3" s="171" t="e">
        <f t="shared" ref="X3" si="1">250*ROUNDUP((V3+250)/250,0)</f>
        <v>#REF!</v>
      </c>
      <c r="Y3" s="171" t="e">
        <f t="shared" ref="Y3" si="2">X3+250</f>
        <v>#REF!</v>
      </c>
      <c r="Z3" s="171" t="e">
        <f t="shared" ref="Z3" si="3">Y3+250</f>
        <v>#REF!</v>
      </c>
      <c r="AA3" s="171" t="e">
        <f t="shared" ref="AA3" si="4">Z3+250</f>
        <v>#REF!</v>
      </c>
      <c r="AB3" s="171" t="e">
        <f t="shared" ref="AB3" si="5">AA3+250</f>
        <v>#REF!</v>
      </c>
      <c r="AC3" s="171" t="e">
        <f t="shared" ref="AC3" si="6">AB3+250</f>
        <v>#REF!</v>
      </c>
      <c r="AD3" s="171" t="e">
        <f t="shared" ref="AD3" si="7">AC3+250</f>
        <v>#REF!</v>
      </c>
      <c r="AE3" s="171" t="e">
        <f t="shared" ref="AE3" si="8">AD3+250</f>
        <v>#REF!</v>
      </c>
      <c r="AF3" s="171" t="e">
        <f t="shared" ref="AF3" si="9">AE3+250</f>
        <v>#REF!</v>
      </c>
      <c r="AG3" s="171" t="e">
        <f t="shared" ref="AG3" si="10">AF3+250</f>
        <v>#REF!</v>
      </c>
      <c r="AH3" s="171" t="e">
        <f t="shared" ref="AH3:AI3" si="11">AG3+250</f>
        <v>#REF!</v>
      </c>
      <c r="AI3" s="171" t="e">
        <f t="shared" si="11"/>
        <v>#REF!</v>
      </c>
      <c r="AJ3" s="171" t="e">
        <f t="shared" ref="AJ3" si="12">AI3+250</f>
        <v>#REF!</v>
      </c>
      <c r="AK3" s="171" t="e">
        <f t="shared" ref="AK3" si="13">AJ3+250</f>
        <v>#REF!</v>
      </c>
      <c r="AL3" s="171" t="e">
        <f t="shared" ref="AL3" si="14">AK3+250</f>
        <v>#REF!</v>
      </c>
      <c r="AM3" s="171" t="e">
        <f t="shared" ref="AM3" si="15">AL3+250</f>
        <v>#REF!</v>
      </c>
      <c r="AN3" s="171" t="e">
        <f t="shared" ref="AN3" si="16">AM3+250</f>
        <v>#REF!</v>
      </c>
      <c r="AO3" s="171" t="e">
        <f t="shared" ref="AO3" si="17">AN3+250</f>
        <v>#REF!</v>
      </c>
      <c r="AP3" s="171" t="e">
        <f t="shared" ref="AP3" si="18">AO3+250</f>
        <v>#REF!</v>
      </c>
      <c r="AQ3" s="171" t="e">
        <f t="shared" ref="AQ3" si="19">AP3+250</f>
        <v>#REF!</v>
      </c>
      <c r="AR3" s="171" t="e">
        <f t="shared" ref="AR3" si="20">250*ROUNDUP((AP3+250)/250,0)</f>
        <v>#REF!</v>
      </c>
      <c r="AS3" s="171" t="e">
        <f t="shared" ref="AS3" si="21">AR3+250</f>
        <v>#REF!</v>
      </c>
      <c r="AT3" s="171" t="e">
        <f t="shared" ref="AT3" si="22">AS3+250</f>
        <v>#REF!</v>
      </c>
      <c r="AU3" s="171" t="e">
        <f t="shared" ref="AU3" si="23">AT3+250</f>
        <v>#REF!</v>
      </c>
      <c r="AV3" s="171" t="e">
        <f t="shared" ref="AV3" si="24">AU3+250</f>
        <v>#REF!</v>
      </c>
      <c r="AW3" s="171" t="e">
        <f t="shared" ref="AW3" si="25">AV3+250</f>
        <v>#REF!</v>
      </c>
      <c r="AX3" s="171" t="e">
        <f t="shared" ref="AX3" si="26">AW3+250</f>
        <v>#REF!</v>
      </c>
      <c r="AY3" s="171" t="e">
        <f t="shared" ref="AY3" si="27">AX3+250</f>
        <v>#REF!</v>
      </c>
      <c r="AZ3" s="171" t="e">
        <f t="shared" ref="AZ3" si="28">AY3+250</f>
        <v>#REF!</v>
      </c>
      <c r="BA3" s="171" t="e">
        <f t="shared" ref="BA3" si="29">AZ3+250</f>
        <v>#REF!</v>
      </c>
      <c r="BB3" s="171" t="e">
        <f t="shared" ref="BB3:BC3" si="30">BA3+250</f>
        <v>#REF!</v>
      </c>
      <c r="BC3" s="171" t="e">
        <f t="shared" si="30"/>
        <v>#REF!</v>
      </c>
      <c r="BD3" s="171" t="e">
        <f t="shared" ref="BD3" si="31">BC3+250</f>
        <v>#REF!</v>
      </c>
      <c r="BE3" s="171" t="e">
        <f t="shared" ref="BE3" si="32">BD3+250</f>
        <v>#REF!</v>
      </c>
      <c r="BF3" s="171" t="e">
        <f t="shared" ref="BF3" si="33">BE3+250</f>
        <v>#REF!</v>
      </c>
      <c r="BG3" s="171" t="e">
        <f t="shared" ref="BG3" si="34">BF3+250</f>
        <v>#REF!</v>
      </c>
      <c r="BH3" s="171" t="e">
        <f t="shared" ref="BH3" si="35">BG3+250</f>
        <v>#REF!</v>
      </c>
      <c r="BI3" s="171" t="e">
        <f t="shared" ref="BI3" si="36">BH3+250</f>
        <v>#REF!</v>
      </c>
      <c r="BJ3" s="171" t="e">
        <f t="shared" ref="BJ3" si="37">BI3+250</f>
        <v>#REF!</v>
      </c>
      <c r="BK3" s="171" t="e">
        <f t="shared" ref="BK3" si="38">BJ3+250</f>
        <v>#REF!</v>
      </c>
      <c r="BL3" s="171" t="e">
        <f t="shared" ref="BL3" si="39">250*ROUNDUP((BJ3+250)/250,0)</f>
        <v>#REF!</v>
      </c>
      <c r="BM3" s="171" t="e">
        <f t="shared" ref="BM3" si="40">BL3+250</f>
        <v>#REF!</v>
      </c>
      <c r="BN3" s="171" t="e">
        <f t="shared" ref="BN3" si="41">BM3+250</f>
        <v>#REF!</v>
      </c>
      <c r="BO3" s="171" t="e">
        <f t="shared" ref="BO3" si="42">BN3+250</f>
        <v>#REF!</v>
      </c>
      <c r="BP3" s="171" t="e">
        <f t="shared" ref="BP3" si="43">BO3+250</f>
        <v>#REF!</v>
      </c>
      <c r="BQ3" s="171" t="e">
        <f t="shared" ref="BQ3" si="44">BP3+250</f>
        <v>#REF!</v>
      </c>
      <c r="BR3" s="171" t="e">
        <f t="shared" ref="BR3" si="45">BQ3+250</f>
        <v>#REF!</v>
      </c>
      <c r="BS3" s="171" t="e">
        <f t="shared" ref="BS3" si="46">BR3+250</f>
        <v>#REF!</v>
      </c>
      <c r="BT3" s="171" t="e">
        <f t="shared" ref="BT3" si="47">BS3+250</f>
        <v>#REF!</v>
      </c>
      <c r="BU3" s="171" t="e">
        <f t="shared" ref="BU3" si="48">BT3+250</f>
        <v>#REF!</v>
      </c>
      <c r="BV3" s="171" t="e">
        <f t="shared" ref="BV3:BW3" si="49">BU3+250</f>
        <v>#REF!</v>
      </c>
      <c r="BW3" s="171" t="e">
        <f t="shared" si="49"/>
        <v>#REF!</v>
      </c>
    </row>
    <row r="4" spans="1:75" x14ac:dyDescent="0.25">
      <c r="A4" t="s">
        <v>20</v>
      </c>
      <c r="B4" s="171" t="e">
        <f>ESTIMATE!#REF!</f>
        <v>#REF!</v>
      </c>
      <c r="C4" s="171" t="e">
        <f>C3-ESTIMATE!#REF!</f>
        <v>#REF!</v>
      </c>
      <c r="D4" s="171" t="e">
        <f>D3-ESTIMATE!#REF!</f>
        <v>#REF!</v>
      </c>
      <c r="E4" s="171" t="e">
        <f>E3-ESTIMATE!#REF!</f>
        <v>#REF!</v>
      </c>
      <c r="F4" s="171" t="e">
        <f>F3-ESTIMATE!#REF!</f>
        <v>#REF!</v>
      </c>
      <c r="G4" s="171" t="e">
        <f>G3-ESTIMATE!#REF!</f>
        <v>#REF!</v>
      </c>
      <c r="H4" s="171" t="e">
        <f>H3-ESTIMATE!#REF!</f>
        <v>#REF!</v>
      </c>
      <c r="I4" s="171" t="e">
        <f>I3-ESTIMATE!#REF!</f>
        <v>#REF!</v>
      </c>
      <c r="J4" s="171" t="e">
        <f>J3-ESTIMATE!#REF!</f>
        <v>#REF!</v>
      </c>
      <c r="K4" s="171" t="e">
        <f>K3-ESTIMATE!#REF!</f>
        <v>#REF!</v>
      </c>
      <c r="L4" s="171" t="e">
        <f>L3-ESTIMATE!#REF!</f>
        <v>#REF!</v>
      </c>
      <c r="M4" s="171" t="e">
        <f>M3-ESTIMATE!#REF!</f>
        <v>#REF!</v>
      </c>
      <c r="N4" s="171" t="e">
        <f>N3-ESTIMATE!#REF!</f>
        <v>#REF!</v>
      </c>
      <c r="O4" s="171" t="e">
        <f>O3-ESTIMATE!#REF!</f>
        <v>#REF!</v>
      </c>
      <c r="P4" s="171" t="e">
        <f>P3-ESTIMATE!#REF!</f>
        <v>#REF!</v>
      </c>
      <c r="Q4" s="171" t="e">
        <f>Q3-ESTIMATE!#REF!</f>
        <v>#REF!</v>
      </c>
      <c r="R4" s="171" t="e">
        <f>R3-ESTIMATE!#REF!</f>
        <v>#REF!</v>
      </c>
      <c r="S4" s="171" t="e">
        <f>S3-ESTIMATE!#REF!</f>
        <v>#REF!</v>
      </c>
      <c r="T4" s="171" t="e">
        <f>T3-ESTIMATE!#REF!</f>
        <v>#REF!</v>
      </c>
      <c r="U4" s="171" t="e">
        <f>U3-ESTIMATE!#REF!</f>
        <v>#REF!</v>
      </c>
      <c r="V4" s="171" t="e">
        <f>V3-ESTIMATE!#REF!</f>
        <v>#REF!</v>
      </c>
      <c r="W4" s="171" t="e">
        <f>W3-ESTIMATE!#REF!</f>
        <v>#REF!</v>
      </c>
      <c r="X4" s="171" t="e">
        <f>X3-ESTIMATE!#REF!</f>
        <v>#REF!</v>
      </c>
      <c r="Y4" s="171" t="e">
        <f>Y3-ESTIMATE!#REF!</f>
        <v>#REF!</v>
      </c>
      <c r="Z4" s="171" t="e">
        <f>Z3-ESTIMATE!#REF!</f>
        <v>#REF!</v>
      </c>
      <c r="AA4" s="171" t="e">
        <f>AA3-ESTIMATE!#REF!</f>
        <v>#REF!</v>
      </c>
      <c r="AB4" s="171" t="e">
        <f>AB3-ESTIMATE!#REF!</f>
        <v>#REF!</v>
      </c>
      <c r="AC4" s="171" t="e">
        <f>AC3-ESTIMATE!#REF!</f>
        <v>#REF!</v>
      </c>
      <c r="AD4" s="171" t="e">
        <f>AD3-ESTIMATE!#REF!</f>
        <v>#REF!</v>
      </c>
      <c r="AE4" s="171" t="e">
        <f>AE3-ESTIMATE!#REF!</f>
        <v>#REF!</v>
      </c>
      <c r="AF4" s="171" t="e">
        <f>AF3-ESTIMATE!#REF!</f>
        <v>#REF!</v>
      </c>
      <c r="AG4" s="171" t="e">
        <f>AG3-ESTIMATE!#REF!</f>
        <v>#REF!</v>
      </c>
      <c r="AH4" s="171" t="e">
        <f>AH3-ESTIMATE!#REF!</f>
        <v>#REF!</v>
      </c>
      <c r="AI4" s="171" t="e">
        <f>AI3-ESTIMATE!#REF!</f>
        <v>#REF!</v>
      </c>
      <c r="AJ4" s="171" t="e">
        <f>AJ3-ESTIMATE!#REF!</f>
        <v>#REF!</v>
      </c>
      <c r="AK4" s="171" t="e">
        <f>AK3-ESTIMATE!#REF!</f>
        <v>#REF!</v>
      </c>
      <c r="AL4" s="171" t="e">
        <f>AL3-ESTIMATE!#REF!</f>
        <v>#REF!</v>
      </c>
      <c r="AM4" s="171" t="e">
        <f>AM3-ESTIMATE!#REF!</f>
        <v>#REF!</v>
      </c>
      <c r="AN4" s="171" t="e">
        <f>AN3-ESTIMATE!#REF!</f>
        <v>#REF!</v>
      </c>
      <c r="AO4" s="171" t="e">
        <f>AO3-ESTIMATE!#REF!</f>
        <v>#REF!</v>
      </c>
      <c r="AP4" s="171" t="e">
        <f>AP3-ESTIMATE!#REF!</f>
        <v>#REF!</v>
      </c>
      <c r="AQ4" s="171" t="e">
        <f>AQ3-ESTIMATE!#REF!</f>
        <v>#REF!</v>
      </c>
      <c r="AR4" s="171" t="e">
        <f>AR3-ESTIMATE!#REF!</f>
        <v>#REF!</v>
      </c>
      <c r="AS4" s="171" t="e">
        <f>AS3-ESTIMATE!#REF!</f>
        <v>#REF!</v>
      </c>
      <c r="AT4" s="171" t="e">
        <f>AT3-ESTIMATE!#REF!</f>
        <v>#REF!</v>
      </c>
      <c r="AU4" s="171" t="e">
        <f>AU3-ESTIMATE!#REF!</f>
        <v>#REF!</v>
      </c>
      <c r="AV4" s="171" t="e">
        <f>AV3-ESTIMATE!#REF!</f>
        <v>#REF!</v>
      </c>
      <c r="AW4" s="171" t="e">
        <f>AW3-ESTIMATE!#REF!</f>
        <v>#REF!</v>
      </c>
      <c r="AX4" s="171" t="e">
        <f>AX3-ESTIMATE!#REF!</f>
        <v>#REF!</v>
      </c>
      <c r="AY4" s="171" t="e">
        <f>AY3-ESTIMATE!#REF!</f>
        <v>#REF!</v>
      </c>
      <c r="AZ4" s="171" t="e">
        <f>AZ3-ESTIMATE!#REF!</f>
        <v>#REF!</v>
      </c>
      <c r="BA4" s="171" t="e">
        <f>BA3-ESTIMATE!#REF!</f>
        <v>#REF!</v>
      </c>
      <c r="BB4" s="171" t="e">
        <f>BB3-ESTIMATE!#REF!</f>
        <v>#REF!</v>
      </c>
      <c r="BC4" s="171" t="e">
        <f>BC3-ESTIMATE!#REF!</f>
        <v>#REF!</v>
      </c>
      <c r="BD4" s="171" t="e">
        <f>BD3-ESTIMATE!#REF!</f>
        <v>#REF!</v>
      </c>
      <c r="BE4" s="171" t="e">
        <f>BE3-ESTIMATE!#REF!</f>
        <v>#REF!</v>
      </c>
      <c r="BF4" s="171" t="e">
        <f>BF3-ESTIMATE!#REF!</f>
        <v>#REF!</v>
      </c>
      <c r="BG4" s="171" t="e">
        <f>BG3-ESTIMATE!#REF!</f>
        <v>#REF!</v>
      </c>
      <c r="BH4" s="171" t="e">
        <f>BH3-ESTIMATE!#REF!</f>
        <v>#REF!</v>
      </c>
      <c r="BI4" s="171" t="e">
        <f>BI3-ESTIMATE!#REF!</f>
        <v>#REF!</v>
      </c>
      <c r="BJ4" s="171" t="e">
        <f>BJ3-ESTIMATE!#REF!</f>
        <v>#REF!</v>
      </c>
      <c r="BK4" s="171" t="e">
        <f>BK3-ESTIMATE!#REF!</f>
        <v>#REF!</v>
      </c>
      <c r="BL4" s="171" t="e">
        <f>BL3-ESTIMATE!#REF!</f>
        <v>#REF!</v>
      </c>
      <c r="BM4" s="171" t="e">
        <f>BM3-ESTIMATE!#REF!</f>
        <v>#REF!</v>
      </c>
      <c r="BN4" s="171" t="e">
        <f>BN3-ESTIMATE!#REF!</f>
        <v>#REF!</v>
      </c>
      <c r="BO4" s="171" t="e">
        <f>BO3-ESTIMATE!#REF!</f>
        <v>#REF!</v>
      </c>
      <c r="BP4" s="171" t="e">
        <f>BP3-ESTIMATE!#REF!</f>
        <v>#REF!</v>
      </c>
      <c r="BQ4" s="171" t="e">
        <f>BQ3-ESTIMATE!#REF!</f>
        <v>#REF!</v>
      </c>
      <c r="BR4" s="171" t="e">
        <f>BR3-ESTIMATE!#REF!</f>
        <v>#REF!</v>
      </c>
      <c r="BS4" s="171" t="e">
        <f>BS3-ESTIMATE!#REF!</f>
        <v>#REF!</v>
      </c>
      <c r="BT4" s="171" t="e">
        <f>BT3-ESTIMATE!#REF!</f>
        <v>#REF!</v>
      </c>
      <c r="BU4" s="171" t="e">
        <f>BU3-ESTIMATE!#REF!</f>
        <v>#REF!</v>
      </c>
      <c r="BV4" s="171" t="e">
        <f>BV3-ESTIMATE!#REF!</f>
        <v>#REF!</v>
      </c>
      <c r="BW4" s="171" t="e">
        <f>BW3-ESTIMATE!#REF!</f>
        <v>#REF!</v>
      </c>
    </row>
    <row r="5" spans="1:75" s="174" customFormat="1" x14ac:dyDescent="0.25">
      <c r="A5" s="174" t="s">
        <v>21</v>
      </c>
      <c r="B5" s="174" t="e">
        <f>ESTIMATE!#REF!</f>
        <v>#REF!</v>
      </c>
      <c r="C5" s="174" t="e">
        <f>C4/ESTIMATE!#REF!</f>
        <v>#REF!</v>
      </c>
      <c r="D5" s="174" t="e">
        <f>D4/ESTIMATE!#REF!</f>
        <v>#REF!</v>
      </c>
      <c r="E5" s="174" t="e">
        <f>E4/ESTIMATE!#REF!</f>
        <v>#REF!</v>
      </c>
      <c r="F5" s="174" t="e">
        <f>F4/ESTIMATE!#REF!</f>
        <v>#REF!</v>
      </c>
      <c r="G5" s="174" t="e">
        <f>G4/ESTIMATE!#REF!</f>
        <v>#REF!</v>
      </c>
      <c r="H5" s="174" t="e">
        <f>H4/ESTIMATE!#REF!</f>
        <v>#REF!</v>
      </c>
      <c r="I5" s="174" t="e">
        <f>I4/ESTIMATE!#REF!</f>
        <v>#REF!</v>
      </c>
      <c r="J5" s="174" t="e">
        <f>J4/ESTIMATE!#REF!</f>
        <v>#REF!</v>
      </c>
      <c r="K5" s="174" t="e">
        <f>K4/ESTIMATE!#REF!</f>
        <v>#REF!</v>
      </c>
      <c r="L5" s="174" t="e">
        <f>L4/ESTIMATE!#REF!</f>
        <v>#REF!</v>
      </c>
      <c r="M5" s="174" t="e">
        <f>M4/ESTIMATE!#REF!</f>
        <v>#REF!</v>
      </c>
      <c r="N5" s="174" t="e">
        <f>N4/ESTIMATE!#REF!</f>
        <v>#REF!</v>
      </c>
      <c r="O5" s="174" t="e">
        <f>O4/ESTIMATE!#REF!</f>
        <v>#REF!</v>
      </c>
      <c r="P5" s="174" t="e">
        <f>P4/ESTIMATE!#REF!</f>
        <v>#REF!</v>
      </c>
      <c r="Q5" s="174" t="e">
        <f>Q4/ESTIMATE!#REF!</f>
        <v>#REF!</v>
      </c>
      <c r="R5" s="174" t="e">
        <f>R4/ESTIMATE!#REF!</f>
        <v>#REF!</v>
      </c>
      <c r="S5" s="174" t="e">
        <f>S4/ESTIMATE!#REF!</f>
        <v>#REF!</v>
      </c>
      <c r="T5" s="174" t="e">
        <f>T4/ESTIMATE!#REF!</f>
        <v>#REF!</v>
      </c>
      <c r="U5" s="174" t="e">
        <f>U4/ESTIMATE!#REF!</f>
        <v>#REF!</v>
      </c>
      <c r="V5" s="174" t="e">
        <f>V4/ESTIMATE!#REF!</f>
        <v>#REF!</v>
      </c>
      <c r="W5" s="174" t="e">
        <f>W4/ESTIMATE!#REF!</f>
        <v>#REF!</v>
      </c>
      <c r="X5" s="174" t="e">
        <f>X4/ESTIMATE!#REF!</f>
        <v>#REF!</v>
      </c>
      <c r="Y5" s="174" t="e">
        <f>Y4/ESTIMATE!#REF!</f>
        <v>#REF!</v>
      </c>
      <c r="Z5" s="174" t="e">
        <f>Z4/ESTIMATE!#REF!</f>
        <v>#REF!</v>
      </c>
      <c r="AA5" s="174" t="e">
        <f>AA4/ESTIMATE!#REF!</f>
        <v>#REF!</v>
      </c>
      <c r="AB5" s="174" t="e">
        <f>AB4/ESTIMATE!#REF!</f>
        <v>#REF!</v>
      </c>
      <c r="AC5" s="174" t="e">
        <f>AC4/ESTIMATE!#REF!</f>
        <v>#REF!</v>
      </c>
      <c r="AD5" s="174" t="e">
        <f>AD4/ESTIMATE!#REF!</f>
        <v>#REF!</v>
      </c>
      <c r="AE5" s="174" t="e">
        <f>AE4/ESTIMATE!#REF!</f>
        <v>#REF!</v>
      </c>
      <c r="AF5" s="174" t="e">
        <f>AF4/ESTIMATE!#REF!</f>
        <v>#REF!</v>
      </c>
      <c r="AG5" s="174" t="e">
        <f>AG4/ESTIMATE!#REF!</f>
        <v>#REF!</v>
      </c>
      <c r="AH5" s="174" t="e">
        <f>AH4/ESTIMATE!#REF!</f>
        <v>#REF!</v>
      </c>
      <c r="AI5" s="174" t="e">
        <f>AI4/ESTIMATE!#REF!</f>
        <v>#REF!</v>
      </c>
      <c r="AJ5" s="174" t="e">
        <f>AJ4/ESTIMATE!#REF!</f>
        <v>#REF!</v>
      </c>
      <c r="AK5" s="174" t="e">
        <f>AK4/ESTIMATE!#REF!</f>
        <v>#REF!</v>
      </c>
      <c r="AL5" s="174" t="e">
        <f>AL4/ESTIMATE!#REF!</f>
        <v>#REF!</v>
      </c>
      <c r="AM5" s="174" t="e">
        <f>AM4/ESTIMATE!#REF!</f>
        <v>#REF!</v>
      </c>
      <c r="AN5" s="174" t="e">
        <f>AN4/ESTIMATE!#REF!</f>
        <v>#REF!</v>
      </c>
      <c r="AO5" s="174" t="e">
        <f>AO4/ESTIMATE!#REF!</f>
        <v>#REF!</v>
      </c>
      <c r="AP5" s="174" t="e">
        <f>AP4/ESTIMATE!#REF!</f>
        <v>#REF!</v>
      </c>
      <c r="AQ5" s="174" t="e">
        <f>AQ4/ESTIMATE!#REF!</f>
        <v>#REF!</v>
      </c>
      <c r="AR5" s="174" t="e">
        <f>AR4/ESTIMATE!#REF!</f>
        <v>#REF!</v>
      </c>
      <c r="AS5" s="174" t="e">
        <f>AS4/ESTIMATE!#REF!</f>
        <v>#REF!</v>
      </c>
      <c r="AT5" s="174" t="e">
        <f>AT4/ESTIMATE!#REF!</f>
        <v>#REF!</v>
      </c>
      <c r="AU5" s="174" t="e">
        <f>AU4/ESTIMATE!#REF!</f>
        <v>#REF!</v>
      </c>
      <c r="AV5" s="174" t="e">
        <f>AV4/ESTIMATE!#REF!</f>
        <v>#REF!</v>
      </c>
      <c r="AW5" s="174" t="e">
        <f>AW4/ESTIMATE!#REF!</f>
        <v>#REF!</v>
      </c>
      <c r="AX5" s="174" t="e">
        <f>AX4/ESTIMATE!#REF!</f>
        <v>#REF!</v>
      </c>
      <c r="AY5" s="174" t="e">
        <f>AY4/ESTIMATE!#REF!</f>
        <v>#REF!</v>
      </c>
      <c r="AZ5" s="174" t="e">
        <f>AZ4/ESTIMATE!#REF!</f>
        <v>#REF!</v>
      </c>
      <c r="BA5" s="174" t="e">
        <f>BA4/ESTIMATE!#REF!</f>
        <v>#REF!</v>
      </c>
      <c r="BB5" s="174" t="e">
        <f>BB4/ESTIMATE!#REF!</f>
        <v>#REF!</v>
      </c>
      <c r="BC5" s="174" t="e">
        <f>BC4/ESTIMATE!#REF!</f>
        <v>#REF!</v>
      </c>
      <c r="BD5" s="174" t="e">
        <f>BD4/ESTIMATE!#REF!</f>
        <v>#REF!</v>
      </c>
      <c r="BE5" s="174" t="e">
        <f>BE4/ESTIMATE!#REF!</f>
        <v>#REF!</v>
      </c>
      <c r="BF5" s="174" t="e">
        <f>BF4/ESTIMATE!#REF!</f>
        <v>#REF!</v>
      </c>
      <c r="BG5" s="174" t="e">
        <f>BG4/ESTIMATE!#REF!</f>
        <v>#REF!</v>
      </c>
      <c r="BH5" s="174" t="e">
        <f>BH4/ESTIMATE!#REF!</f>
        <v>#REF!</v>
      </c>
      <c r="BI5" s="174" t="e">
        <f>BI4/ESTIMATE!#REF!</f>
        <v>#REF!</v>
      </c>
      <c r="BJ5" s="174" t="e">
        <f>BJ4/ESTIMATE!#REF!</f>
        <v>#REF!</v>
      </c>
      <c r="BK5" s="174" t="e">
        <f>BK4/ESTIMATE!#REF!</f>
        <v>#REF!</v>
      </c>
      <c r="BL5" s="174" t="e">
        <f>BL4/ESTIMATE!#REF!</f>
        <v>#REF!</v>
      </c>
      <c r="BM5" s="174" t="e">
        <f>BM4/ESTIMATE!#REF!</f>
        <v>#REF!</v>
      </c>
      <c r="BN5" s="174" t="e">
        <f>BN4/ESTIMATE!#REF!</f>
        <v>#REF!</v>
      </c>
      <c r="BO5" s="174" t="e">
        <f>BO4/ESTIMATE!#REF!</f>
        <v>#REF!</v>
      </c>
      <c r="BP5" s="174" t="e">
        <f>BP4/ESTIMATE!#REF!</f>
        <v>#REF!</v>
      </c>
      <c r="BQ5" s="174" t="e">
        <f>BQ4/ESTIMATE!#REF!</f>
        <v>#REF!</v>
      </c>
      <c r="BR5" s="174" t="e">
        <f>BR4/ESTIMATE!#REF!</f>
        <v>#REF!</v>
      </c>
      <c r="BS5" s="174" t="e">
        <f>BS4/ESTIMATE!#REF!</f>
        <v>#REF!</v>
      </c>
      <c r="BT5" s="174" t="e">
        <f>BT4/ESTIMATE!#REF!</f>
        <v>#REF!</v>
      </c>
      <c r="BU5" s="174" t="e">
        <f>BU4/ESTIMATE!#REF!</f>
        <v>#REF!</v>
      </c>
      <c r="BV5" s="174" t="e">
        <f>BV4/ESTIMATE!#REF!</f>
        <v>#REF!</v>
      </c>
      <c r="BW5" s="174" t="e">
        <f>BW4/ESTIMATE!#REF!</f>
        <v>#REF!</v>
      </c>
    </row>
    <row r="6" spans="1:75" x14ac:dyDescent="0.25">
      <c r="A6" t="s">
        <v>22</v>
      </c>
      <c r="B6" s="171" t="e">
        <f>ESTIMATE!#REF!</f>
        <v>#REF!</v>
      </c>
      <c r="C6" s="171" t="e">
        <f>C3-ESTIMATE!#REF!-ESTIMATE!#REF!-ESTIMATE!#REF!</f>
        <v>#REF!</v>
      </c>
      <c r="D6" s="171" t="e">
        <f>D3-ESTIMATE!#REF!-ESTIMATE!#REF!-ESTIMATE!#REF!</f>
        <v>#REF!</v>
      </c>
      <c r="E6" s="171" t="e">
        <f>E3-ESTIMATE!#REF!-ESTIMATE!#REF!-ESTIMATE!#REF!</f>
        <v>#REF!</v>
      </c>
      <c r="F6" s="171" t="e">
        <f>F3-ESTIMATE!#REF!-ESTIMATE!#REF!-ESTIMATE!#REF!</f>
        <v>#REF!</v>
      </c>
      <c r="G6" s="171" t="e">
        <f>G3-ESTIMATE!#REF!-ESTIMATE!#REF!-ESTIMATE!#REF!</f>
        <v>#REF!</v>
      </c>
      <c r="H6" s="171" t="e">
        <f>H3-ESTIMATE!#REF!-ESTIMATE!#REF!-ESTIMATE!#REF!</f>
        <v>#REF!</v>
      </c>
      <c r="I6" s="171" t="e">
        <f>I3-ESTIMATE!#REF!-ESTIMATE!#REF!-ESTIMATE!#REF!</f>
        <v>#REF!</v>
      </c>
      <c r="J6" s="171" t="e">
        <f>J3-ESTIMATE!#REF!-ESTIMATE!#REF!-ESTIMATE!#REF!</f>
        <v>#REF!</v>
      </c>
      <c r="K6" s="171" t="e">
        <f>K3-ESTIMATE!#REF!-ESTIMATE!#REF!-ESTIMATE!#REF!</f>
        <v>#REF!</v>
      </c>
      <c r="L6" s="171" t="e">
        <f>L3-ESTIMATE!#REF!-ESTIMATE!#REF!-ESTIMATE!#REF!</f>
        <v>#REF!</v>
      </c>
      <c r="M6" s="171" t="e">
        <f>M3-ESTIMATE!#REF!-ESTIMATE!#REF!-ESTIMATE!#REF!</f>
        <v>#REF!</v>
      </c>
      <c r="N6" s="171" t="e">
        <f>N3-ESTIMATE!#REF!-ESTIMATE!#REF!-ESTIMATE!#REF!</f>
        <v>#REF!</v>
      </c>
      <c r="O6" s="171" t="e">
        <f>O3-ESTIMATE!#REF!-ESTIMATE!#REF!-ESTIMATE!#REF!</f>
        <v>#REF!</v>
      </c>
      <c r="P6" s="171" t="e">
        <f>P3-ESTIMATE!#REF!-ESTIMATE!#REF!-ESTIMATE!#REF!</f>
        <v>#REF!</v>
      </c>
      <c r="Q6" s="171" t="e">
        <f>Q3-ESTIMATE!#REF!-ESTIMATE!#REF!-ESTIMATE!#REF!</f>
        <v>#REF!</v>
      </c>
      <c r="R6" s="171" t="e">
        <f>R3-ESTIMATE!#REF!-ESTIMATE!#REF!-ESTIMATE!#REF!</f>
        <v>#REF!</v>
      </c>
      <c r="S6" s="171" t="e">
        <f>S3-ESTIMATE!#REF!-ESTIMATE!#REF!-ESTIMATE!#REF!</f>
        <v>#REF!</v>
      </c>
      <c r="T6" s="171" t="e">
        <f>T3-ESTIMATE!#REF!-ESTIMATE!#REF!-ESTIMATE!#REF!</f>
        <v>#REF!</v>
      </c>
      <c r="U6" s="171" t="e">
        <f>U3-ESTIMATE!#REF!-ESTIMATE!#REF!-ESTIMATE!#REF!</f>
        <v>#REF!</v>
      </c>
      <c r="V6" s="171" t="e">
        <f>V3-ESTIMATE!#REF!-ESTIMATE!#REF!-ESTIMATE!#REF!</f>
        <v>#REF!</v>
      </c>
      <c r="W6" s="171" t="e">
        <f>W3-ESTIMATE!#REF!-ESTIMATE!#REF!-ESTIMATE!#REF!</f>
        <v>#REF!</v>
      </c>
      <c r="X6" s="171" t="e">
        <f>X3-ESTIMATE!#REF!-ESTIMATE!#REF!-ESTIMATE!#REF!</f>
        <v>#REF!</v>
      </c>
      <c r="Y6" s="171" t="e">
        <f>Y3-ESTIMATE!#REF!-ESTIMATE!#REF!-ESTIMATE!#REF!</f>
        <v>#REF!</v>
      </c>
      <c r="Z6" s="171" t="e">
        <f>Z3-ESTIMATE!#REF!-ESTIMATE!#REF!-ESTIMATE!#REF!</f>
        <v>#REF!</v>
      </c>
      <c r="AA6" s="171" t="e">
        <f>AA3-ESTIMATE!#REF!-ESTIMATE!#REF!-ESTIMATE!#REF!</f>
        <v>#REF!</v>
      </c>
      <c r="AB6" s="171" t="e">
        <f>AB3-ESTIMATE!#REF!-ESTIMATE!#REF!-ESTIMATE!#REF!</f>
        <v>#REF!</v>
      </c>
      <c r="AC6" s="171" t="e">
        <f>AC3-ESTIMATE!#REF!-ESTIMATE!#REF!-ESTIMATE!#REF!</f>
        <v>#REF!</v>
      </c>
      <c r="AD6" s="171" t="e">
        <f>AD3-ESTIMATE!#REF!-ESTIMATE!#REF!-ESTIMATE!#REF!</f>
        <v>#REF!</v>
      </c>
      <c r="AE6" s="171" t="e">
        <f>AE3-ESTIMATE!#REF!-ESTIMATE!#REF!-ESTIMATE!#REF!</f>
        <v>#REF!</v>
      </c>
      <c r="AF6" s="171" t="e">
        <f>AF3-ESTIMATE!#REF!-ESTIMATE!#REF!-ESTIMATE!#REF!</f>
        <v>#REF!</v>
      </c>
      <c r="AG6" s="171" t="e">
        <f>AG3-ESTIMATE!#REF!-ESTIMATE!#REF!-ESTIMATE!#REF!</f>
        <v>#REF!</v>
      </c>
      <c r="AH6" s="171" t="e">
        <f>AH3-ESTIMATE!#REF!-ESTIMATE!#REF!-ESTIMATE!#REF!</f>
        <v>#REF!</v>
      </c>
      <c r="AI6" s="171" t="e">
        <f>AI3-ESTIMATE!#REF!-ESTIMATE!#REF!-ESTIMATE!#REF!</f>
        <v>#REF!</v>
      </c>
      <c r="AJ6" s="171" t="e">
        <f>AJ3-ESTIMATE!#REF!-ESTIMATE!#REF!-ESTIMATE!#REF!</f>
        <v>#REF!</v>
      </c>
      <c r="AK6" s="171" t="e">
        <f>AK3-ESTIMATE!#REF!-ESTIMATE!#REF!-ESTIMATE!#REF!</f>
        <v>#REF!</v>
      </c>
      <c r="AL6" s="171" t="e">
        <f>AL3-ESTIMATE!#REF!-ESTIMATE!#REF!-ESTIMATE!#REF!</f>
        <v>#REF!</v>
      </c>
      <c r="AM6" s="171" t="e">
        <f>AM3-ESTIMATE!#REF!-ESTIMATE!#REF!-ESTIMATE!#REF!</f>
        <v>#REF!</v>
      </c>
      <c r="AN6" s="171" t="e">
        <f>AN3-ESTIMATE!#REF!-ESTIMATE!#REF!-ESTIMATE!#REF!</f>
        <v>#REF!</v>
      </c>
      <c r="AO6" s="171" t="e">
        <f>AO3-ESTIMATE!#REF!-ESTIMATE!#REF!-ESTIMATE!#REF!</f>
        <v>#REF!</v>
      </c>
      <c r="AP6" s="171" t="e">
        <f>AP3-ESTIMATE!#REF!-ESTIMATE!#REF!-ESTIMATE!#REF!</f>
        <v>#REF!</v>
      </c>
      <c r="AQ6" s="171" t="e">
        <f>AQ3-ESTIMATE!#REF!-ESTIMATE!#REF!-ESTIMATE!#REF!</f>
        <v>#REF!</v>
      </c>
      <c r="AR6" s="171" t="e">
        <f>AR3-ESTIMATE!#REF!-ESTIMATE!#REF!-ESTIMATE!#REF!</f>
        <v>#REF!</v>
      </c>
      <c r="AS6" s="171" t="e">
        <f>AS3-ESTIMATE!#REF!-ESTIMATE!#REF!-ESTIMATE!#REF!</f>
        <v>#REF!</v>
      </c>
      <c r="AT6" s="171" t="e">
        <f>AT3-ESTIMATE!#REF!-ESTIMATE!#REF!-ESTIMATE!#REF!</f>
        <v>#REF!</v>
      </c>
      <c r="AU6" s="171" t="e">
        <f>AU3-ESTIMATE!#REF!-ESTIMATE!#REF!-ESTIMATE!#REF!</f>
        <v>#REF!</v>
      </c>
      <c r="AV6" s="171" t="e">
        <f>AV3-ESTIMATE!#REF!-ESTIMATE!#REF!-ESTIMATE!#REF!</f>
        <v>#REF!</v>
      </c>
      <c r="AW6" s="171" t="e">
        <f>AW3-ESTIMATE!#REF!-ESTIMATE!#REF!-ESTIMATE!#REF!</f>
        <v>#REF!</v>
      </c>
      <c r="AX6" s="171" t="e">
        <f>AX3-ESTIMATE!#REF!-ESTIMATE!#REF!-ESTIMATE!#REF!</f>
        <v>#REF!</v>
      </c>
      <c r="AY6" s="171" t="e">
        <f>AY3-ESTIMATE!#REF!-ESTIMATE!#REF!-ESTIMATE!#REF!</f>
        <v>#REF!</v>
      </c>
      <c r="AZ6" s="171" t="e">
        <f>AZ3-ESTIMATE!#REF!-ESTIMATE!#REF!-ESTIMATE!#REF!</f>
        <v>#REF!</v>
      </c>
      <c r="BA6" s="171" t="e">
        <f>BA3-ESTIMATE!#REF!-ESTIMATE!#REF!-ESTIMATE!#REF!</f>
        <v>#REF!</v>
      </c>
      <c r="BB6" s="171" t="e">
        <f>BB3-ESTIMATE!#REF!-ESTIMATE!#REF!-ESTIMATE!#REF!</f>
        <v>#REF!</v>
      </c>
      <c r="BC6" s="171" t="e">
        <f>BC3-ESTIMATE!#REF!-ESTIMATE!#REF!-ESTIMATE!#REF!</f>
        <v>#REF!</v>
      </c>
      <c r="BD6" s="171" t="e">
        <f>BD3-ESTIMATE!#REF!-ESTIMATE!#REF!-ESTIMATE!#REF!</f>
        <v>#REF!</v>
      </c>
      <c r="BE6" s="171" t="e">
        <f>BE3-ESTIMATE!#REF!-ESTIMATE!#REF!-ESTIMATE!#REF!</f>
        <v>#REF!</v>
      </c>
      <c r="BF6" s="171" t="e">
        <f>BF3-ESTIMATE!#REF!-ESTIMATE!#REF!-ESTIMATE!#REF!</f>
        <v>#REF!</v>
      </c>
      <c r="BG6" s="171" t="e">
        <f>BG3-ESTIMATE!#REF!-ESTIMATE!#REF!-ESTIMATE!#REF!</f>
        <v>#REF!</v>
      </c>
      <c r="BH6" s="171" t="e">
        <f>BH3-ESTIMATE!#REF!-ESTIMATE!#REF!-ESTIMATE!#REF!</f>
        <v>#REF!</v>
      </c>
      <c r="BI6" s="171" t="e">
        <f>BI3-ESTIMATE!#REF!-ESTIMATE!#REF!-ESTIMATE!#REF!</f>
        <v>#REF!</v>
      </c>
      <c r="BJ6" s="171" t="e">
        <f>BJ3-ESTIMATE!#REF!-ESTIMATE!#REF!-ESTIMATE!#REF!</f>
        <v>#REF!</v>
      </c>
      <c r="BK6" s="171" t="e">
        <f>BK3-ESTIMATE!#REF!-ESTIMATE!#REF!-ESTIMATE!#REF!</f>
        <v>#REF!</v>
      </c>
      <c r="BL6" s="171" t="e">
        <f>BL3-ESTIMATE!#REF!-ESTIMATE!#REF!-ESTIMATE!#REF!</f>
        <v>#REF!</v>
      </c>
      <c r="BM6" s="171" t="e">
        <f>BM3-ESTIMATE!#REF!-ESTIMATE!#REF!-ESTIMATE!#REF!</f>
        <v>#REF!</v>
      </c>
      <c r="BN6" s="171" t="e">
        <f>BN3-ESTIMATE!#REF!-ESTIMATE!#REF!-ESTIMATE!#REF!</f>
        <v>#REF!</v>
      </c>
      <c r="BO6" s="171" t="e">
        <f>BO3-ESTIMATE!#REF!-ESTIMATE!#REF!-ESTIMATE!#REF!</f>
        <v>#REF!</v>
      </c>
      <c r="BP6" s="171" t="e">
        <f>BP3-ESTIMATE!#REF!-ESTIMATE!#REF!-ESTIMATE!#REF!</f>
        <v>#REF!</v>
      </c>
      <c r="BQ6" s="171" t="e">
        <f>BQ3-ESTIMATE!#REF!-ESTIMATE!#REF!-ESTIMATE!#REF!</f>
        <v>#REF!</v>
      </c>
      <c r="BR6" s="171" t="e">
        <f>BR3-ESTIMATE!#REF!-ESTIMATE!#REF!-ESTIMATE!#REF!</f>
        <v>#REF!</v>
      </c>
      <c r="BS6" s="171" t="e">
        <f>BS3-ESTIMATE!#REF!-ESTIMATE!#REF!-ESTIMATE!#REF!</f>
        <v>#REF!</v>
      </c>
      <c r="BT6" s="171" t="e">
        <f>BT3-ESTIMATE!#REF!-ESTIMATE!#REF!-ESTIMATE!#REF!</f>
        <v>#REF!</v>
      </c>
      <c r="BU6" s="171" t="e">
        <f>BU3-ESTIMATE!#REF!-ESTIMATE!#REF!-ESTIMATE!#REF!</f>
        <v>#REF!</v>
      </c>
      <c r="BV6" s="171" t="e">
        <f>BV3-ESTIMATE!#REF!-ESTIMATE!#REF!-ESTIMATE!#REF!</f>
        <v>#REF!</v>
      </c>
      <c r="BW6" s="171" t="e">
        <f>BW3-ESTIMATE!#REF!-ESTIMATE!#REF!-ESTIMATE!#REF!</f>
        <v>#REF!</v>
      </c>
    </row>
    <row r="7" spans="1:75" s="170" customFormat="1" x14ac:dyDescent="0.25">
      <c r="A7" s="170" t="s">
        <v>23</v>
      </c>
      <c r="B7" s="170" t="e">
        <f>ESTIMATE!#REF!</f>
        <v>#REF!</v>
      </c>
      <c r="C7" s="170" t="e">
        <f>C6/C3</f>
        <v>#REF!</v>
      </c>
      <c r="D7" s="170" t="e">
        <f>D6/D3</f>
        <v>#REF!</v>
      </c>
      <c r="E7" s="170" t="e">
        <f t="shared" ref="E7:X7" si="50">E6/E3</f>
        <v>#REF!</v>
      </c>
      <c r="F7" s="170" t="e">
        <f t="shared" si="50"/>
        <v>#REF!</v>
      </c>
      <c r="G7" s="170" t="e">
        <f t="shared" si="50"/>
        <v>#REF!</v>
      </c>
      <c r="H7" s="170" t="e">
        <f t="shared" si="50"/>
        <v>#REF!</v>
      </c>
      <c r="I7" s="170" t="e">
        <f t="shared" si="50"/>
        <v>#REF!</v>
      </c>
      <c r="J7" s="170" t="e">
        <f t="shared" si="50"/>
        <v>#REF!</v>
      </c>
      <c r="K7" s="170" t="e">
        <f t="shared" si="50"/>
        <v>#REF!</v>
      </c>
      <c r="L7" s="170" t="e">
        <f t="shared" si="50"/>
        <v>#REF!</v>
      </c>
      <c r="M7" s="170" t="e">
        <f t="shared" si="50"/>
        <v>#REF!</v>
      </c>
      <c r="N7" s="170" t="e">
        <f t="shared" si="50"/>
        <v>#REF!</v>
      </c>
      <c r="O7" s="170" t="e">
        <f t="shared" si="50"/>
        <v>#REF!</v>
      </c>
      <c r="P7" s="170" t="e">
        <f t="shared" si="50"/>
        <v>#REF!</v>
      </c>
      <c r="Q7" s="170" t="e">
        <f t="shared" si="50"/>
        <v>#REF!</v>
      </c>
      <c r="R7" s="170" t="e">
        <f t="shared" si="50"/>
        <v>#REF!</v>
      </c>
      <c r="S7" s="170" t="e">
        <f t="shared" si="50"/>
        <v>#REF!</v>
      </c>
      <c r="T7" s="170" t="e">
        <f t="shared" si="50"/>
        <v>#REF!</v>
      </c>
      <c r="U7" s="170" t="e">
        <f t="shared" si="50"/>
        <v>#REF!</v>
      </c>
      <c r="V7" s="170" t="e">
        <f t="shared" si="50"/>
        <v>#REF!</v>
      </c>
      <c r="W7" s="170" t="e">
        <f t="shared" si="50"/>
        <v>#REF!</v>
      </c>
      <c r="X7" s="170" t="e">
        <f t="shared" si="50"/>
        <v>#REF!</v>
      </c>
      <c r="Y7" s="170" t="e">
        <f t="shared" ref="Y7:BW7" si="51">Y6/Y3</f>
        <v>#REF!</v>
      </c>
      <c r="Z7" s="170" t="e">
        <f t="shared" si="51"/>
        <v>#REF!</v>
      </c>
      <c r="AA7" s="170" t="e">
        <f t="shared" si="51"/>
        <v>#REF!</v>
      </c>
      <c r="AB7" s="170" t="e">
        <f t="shared" si="51"/>
        <v>#REF!</v>
      </c>
      <c r="AC7" s="170" t="e">
        <f t="shared" si="51"/>
        <v>#REF!</v>
      </c>
      <c r="AD7" s="170" t="e">
        <f t="shared" si="51"/>
        <v>#REF!</v>
      </c>
      <c r="AE7" s="170" t="e">
        <f t="shared" si="51"/>
        <v>#REF!</v>
      </c>
      <c r="AF7" s="170" t="e">
        <f t="shared" si="51"/>
        <v>#REF!</v>
      </c>
      <c r="AG7" s="170" t="e">
        <f t="shared" si="51"/>
        <v>#REF!</v>
      </c>
      <c r="AH7" s="170" t="e">
        <f t="shared" si="51"/>
        <v>#REF!</v>
      </c>
      <c r="AI7" s="170" t="e">
        <f t="shared" si="51"/>
        <v>#REF!</v>
      </c>
      <c r="AJ7" s="170" t="e">
        <f t="shared" si="51"/>
        <v>#REF!</v>
      </c>
      <c r="AK7" s="170" t="e">
        <f t="shared" si="51"/>
        <v>#REF!</v>
      </c>
      <c r="AL7" s="170" t="e">
        <f t="shared" si="51"/>
        <v>#REF!</v>
      </c>
      <c r="AM7" s="170" t="e">
        <f t="shared" si="51"/>
        <v>#REF!</v>
      </c>
      <c r="AN7" s="170" t="e">
        <f t="shared" si="51"/>
        <v>#REF!</v>
      </c>
      <c r="AO7" s="170" t="e">
        <f t="shared" si="51"/>
        <v>#REF!</v>
      </c>
      <c r="AP7" s="170" t="e">
        <f t="shared" si="51"/>
        <v>#REF!</v>
      </c>
      <c r="AQ7" s="170" t="e">
        <f t="shared" si="51"/>
        <v>#REF!</v>
      </c>
      <c r="AR7" s="170" t="e">
        <f t="shared" si="51"/>
        <v>#REF!</v>
      </c>
      <c r="AS7" s="170" t="e">
        <f t="shared" si="51"/>
        <v>#REF!</v>
      </c>
      <c r="AT7" s="170" t="e">
        <f t="shared" si="51"/>
        <v>#REF!</v>
      </c>
      <c r="AU7" s="170" t="e">
        <f t="shared" si="51"/>
        <v>#REF!</v>
      </c>
      <c r="AV7" s="170" t="e">
        <f t="shared" si="51"/>
        <v>#REF!</v>
      </c>
      <c r="AW7" s="170" t="e">
        <f t="shared" si="51"/>
        <v>#REF!</v>
      </c>
      <c r="AX7" s="170" t="e">
        <f t="shared" si="51"/>
        <v>#REF!</v>
      </c>
      <c r="AY7" s="170" t="e">
        <f t="shared" si="51"/>
        <v>#REF!</v>
      </c>
      <c r="AZ7" s="170" t="e">
        <f t="shared" si="51"/>
        <v>#REF!</v>
      </c>
      <c r="BA7" s="170" t="e">
        <f t="shared" si="51"/>
        <v>#REF!</v>
      </c>
      <c r="BB7" s="170" t="e">
        <f t="shared" si="51"/>
        <v>#REF!</v>
      </c>
      <c r="BC7" s="170" t="e">
        <f t="shared" si="51"/>
        <v>#REF!</v>
      </c>
      <c r="BD7" s="170" t="e">
        <f t="shared" si="51"/>
        <v>#REF!</v>
      </c>
      <c r="BE7" s="170" t="e">
        <f t="shared" si="51"/>
        <v>#REF!</v>
      </c>
      <c r="BF7" s="170" t="e">
        <f t="shared" si="51"/>
        <v>#REF!</v>
      </c>
      <c r="BG7" s="170" t="e">
        <f t="shared" si="51"/>
        <v>#REF!</v>
      </c>
      <c r="BH7" s="170" t="e">
        <f t="shared" si="51"/>
        <v>#REF!</v>
      </c>
      <c r="BI7" s="170" t="e">
        <f t="shared" si="51"/>
        <v>#REF!</v>
      </c>
      <c r="BJ7" s="170" t="e">
        <f t="shared" si="51"/>
        <v>#REF!</v>
      </c>
      <c r="BK7" s="170" t="e">
        <f t="shared" si="51"/>
        <v>#REF!</v>
      </c>
      <c r="BL7" s="170" t="e">
        <f t="shared" si="51"/>
        <v>#REF!</v>
      </c>
      <c r="BM7" s="170" t="e">
        <f t="shared" si="51"/>
        <v>#REF!</v>
      </c>
      <c r="BN7" s="170" t="e">
        <f t="shared" si="51"/>
        <v>#REF!</v>
      </c>
      <c r="BO7" s="170" t="e">
        <f t="shared" si="51"/>
        <v>#REF!</v>
      </c>
      <c r="BP7" s="170" t="e">
        <f t="shared" si="51"/>
        <v>#REF!</v>
      </c>
      <c r="BQ7" s="170" t="e">
        <f t="shared" si="51"/>
        <v>#REF!</v>
      </c>
      <c r="BR7" s="170" t="e">
        <f t="shared" si="51"/>
        <v>#REF!</v>
      </c>
      <c r="BS7" s="170" t="e">
        <f t="shared" si="51"/>
        <v>#REF!</v>
      </c>
      <c r="BT7" s="170" t="e">
        <f t="shared" si="51"/>
        <v>#REF!</v>
      </c>
      <c r="BU7" s="170" t="e">
        <f t="shared" si="51"/>
        <v>#REF!</v>
      </c>
      <c r="BV7" s="170" t="e">
        <f t="shared" si="51"/>
        <v>#REF!</v>
      </c>
      <c r="BW7" s="170" t="e">
        <f t="shared" si="51"/>
        <v>#REF!</v>
      </c>
    </row>
    <row r="10" spans="1:75" s="174" customFormat="1" x14ac:dyDescent="0.25">
      <c r="A10" s="174" t="s">
        <v>21</v>
      </c>
      <c r="B10" s="174" t="e">
        <f>B5</f>
        <v>#REF!</v>
      </c>
      <c r="C10" s="174" t="e">
        <f t="shared" ref="C10:BN10" si="52">C5</f>
        <v>#REF!</v>
      </c>
      <c r="D10" s="174" t="e">
        <f t="shared" si="52"/>
        <v>#REF!</v>
      </c>
      <c r="E10" s="174" t="e">
        <f t="shared" si="52"/>
        <v>#REF!</v>
      </c>
      <c r="F10" s="174" t="e">
        <f t="shared" si="52"/>
        <v>#REF!</v>
      </c>
      <c r="G10" s="174" t="e">
        <f t="shared" si="52"/>
        <v>#REF!</v>
      </c>
      <c r="H10" s="174" t="e">
        <f t="shared" si="52"/>
        <v>#REF!</v>
      </c>
      <c r="I10" s="174" t="e">
        <f t="shared" si="52"/>
        <v>#REF!</v>
      </c>
      <c r="J10" s="174" t="e">
        <f t="shared" si="52"/>
        <v>#REF!</v>
      </c>
      <c r="K10" s="174" t="e">
        <f t="shared" si="52"/>
        <v>#REF!</v>
      </c>
      <c r="L10" s="174" t="e">
        <f t="shared" si="52"/>
        <v>#REF!</v>
      </c>
      <c r="M10" s="174" t="e">
        <f t="shared" si="52"/>
        <v>#REF!</v>
      </c>
      <c r="N10" s="174" t="e">
        <f t="shared" si="52"/>
        <v>#REF!</v>
      </c>
      <c r="O10" s="174" t="e">
        <f t="shared" si="52"/>
        <v>#REF!</v>
      </c>
      <c r="P10" s="174" t="e">
        <f t="shared" si="52"/>
        <v>#REF!</v>
      </c>
      <c r="Q10" s="174" t="e">
        <f t="shared" si="52"/>
        <v>#REF!</v>
      </c>
      <c r="R10" s="174" t="e">
        <f t="shared" si="52"/>
        <v>#REF!</v>
      </c>
      <c r="S10" s="174" t="e">
        <f t="shared" si="52"/>
        <v>#REF!</v>
      </c>
      <c r="T10" s="174" t="e">
        <f t="shared" si="52"/>
        <v>#REF!</v>
      </c>
      <c r="U10" s="174" t="e">
        <f t="shared" si="52"/>
        <v>#REF!</v>
      </c>
      <c r="V10" s="174" t="e">
        <f t="shared" si="52"/>
        <v>#REF!</v>
      </c>
      <c r="W10" s="174" t="e">
        <f t="shared" si="52"/>
        <v>#REF!</v>
      </c>
      <c r="X10" s="174" t="e">
        <f t="shared" si="52"/>
        <v>#REF!</v>
      </c>
      <c r="Y10" s="174" t="e">
        <f t="shared" si="52"/>
        <v>#REF!</v>
      </c>
      <c r="Z10" s="174" t="e">
        <f t="shared" si="52"/>
        <v>#REF!</v>
      </c>
      <c r="AA10" s="174" t="e">
        <f t="shared" si="52"/>
        <v>#REF!</v>
      </c>
      <c r="AB10" s="174" t="e">
        <f t="shared" si="52"/>
        <v>#REF!</v>
      </c>
      <c r="AC10" s="174" t="e">
        <f t="shared" si="52"/>
        <v>#REF!</v>
      </c>
      <c r="AD10" s="174" t="e">
        <f t="shared" si="52"/>
        <v>#REF!</v>
      </c>
      <c r="AE10" s="174" t="e">
        <f t="shared" si="52"/>
        <v>#REF!</v>
      </c>
      <c r="AF10" s="174" t="e">
        <f t="shared" si="52"/>
        <v>#REF!</v>
      </c>
      <c r="AG10" s="174" t="e">
        <f t="shared" si="52"/>
        <v>#REF!</v>
      </c>
      <c r="AH10" s="174" t="e">
        <f t="shared" si="52"/>
        <v>#REF!</v>
      </c>
      <c r="AI10" s="174" t="e">
        <f t="shared" si="52"/>
        <v>#REF!</v>
      </c>
      <c r="AJ10" s="174" t="e">
        <f t="shared" si="52"/>
        <v>#REF!</v>
      </c>
      <c r="AK10" s="174" t="e">
        <f t="shared" si="52"/>
        <v>#REF!</v>
      </c>
      <c r="AL10" s="174" t="e">
        <f t="shared" si="52"/>
        <v>#REF!</v>
      </c>
      <c r="AM10" s="174" t="e">
        <f t="shared" si="52"/>
        <v>#REF!</v>
      </c>
      <c r="AN10" s="174" t="e">
        <f t="shared" si="52"/>
        <v>#REF!</v>
      </c>
      <c r="AO10" s="174" t="e">
        <f t="shared" si="52"/>
        <v>#REF!</v>
      </c>
      <c r="AP10" s="174" t="e">
        <f t="shared" si="52"/>
        <v>#REF!</v>
      </c>
      <c r="AQ10" s="174" t="e">
        <f t="shared" si="52"/>
        <v>#REF!</v>
      </c>
      <c r="AR10" s="174" t="e">
        <f t="shared" si="52"/>
        <v>#REF!</v>
      </c>
      <c r="AS10" s="174" t="e">
        <f t="shared" si="52"/>
        <v>#REF!</v>
      </c>
      <c r="AT10" s="174" t="e">
        <f t="shared" si="52"/>
        <v>#REF!</v>
      </c>
      <c r="AU10" s="174" t="e">
        <f t="shared" si="52"/>
        <v>#REF!</v>
      </c>
      <c r="AV10" s="174" t="e">
        <f t="shared" si="52"/>
        <v>#REF!</v>
      </c>
      <c r="AW10" s="174" t="e">
        <f t="shared" si="52"/>
        <v>#REF!</v>
      </c>
      <c r="AX10" s="174" t="e">
        <f t="shared" si="52"/>
        <v>#REF!</v>
      </c>
      <c r="AY10" s="174" t="e">
        <f t="shared" si="52"/>
        <v>#REF!</v>
      </c>
      <c r="AZ10" s="174" t="e">
        <f t="shared" si="52"/>
        <v>#REF!</v>
      </c>
      <c r="BA10" s="174" t="e">
        <f t="shared" si="52"/>
        <v>#REF!</v>
      </c>
      <c r="BB10" s="174" t="e">
        <f t="shared" si="52"/>
        <v>#REF!</v>
      </c>
      <c r="BC10" s="174" t="e">
        <f t="shared" si="52"/>
        <v>#REF!</v>
      </c>
      <c r="BD10" s="174" t="e">
        <f t="shared" si="52"/>
        <v>#REF!</v>
      </c>
      <c r="BE10" s="174" t="e">
        <f t="shared" si="52"/>
        <v>#REF!</v>
      </c>
      <c r="BF10" s="174" t="e">
        <f t="shared" si="52"/>
        <v>#REF!</v>
      </c>
      <c r="BG10" s="174" t="e">
        <f t="shared" si="52"/>
        <v>#REF!</v>
      </c>
      <c r="BH10" s="174" t="e">
        <f t="shared" si="52"/>
        <v>#REF!</v>
      </c>
      <c r="BI10" s="174" t="e">
        <f t="shared" si="52"/>
        <v>#REF!</v>
      </c>
      <c r="BJ10" s="174" t="e">
        <f t="shared" si="52"/>
        <v>#REF!</v>
      </c>
      <c r="BK10" s="174" t="e">
        <f t="shared" si="52"/>
        <v>#REF!</v>
      </c>
      <c r="BL10" s="174" t="e">
        <f t="shared" si="52"/>
        <v>#REF!</v>
      </c>
      <c r="BM10" s="174" t="e">
        <f t="shared" si="52"/>
        <v>#REF!</v>
      </c>
      <c r="BN10" s="174" t="e">
        <f t="shared" si="52"/>
        <v>#REF!</v>
      </c>
      <c r="BO10" s="174" t="e">
        <f t="shared" ref="BO10:BW10" si="53">BO5</f>
        <v>#REF!</v>
      </c>
      <c r="BP10" s="174" t="e">
        <f t="shared" si="53"/>
        <v>#REF!</v>
      </c>
      <c r="BQ10" s="174" t="e">
        <f t="shared" si="53"/>
        <v>#REF!</v>
      </c>
      <c r="BR10" s="174" t="e">
        <f t="shared" si="53"/>
        <v>#REF!</v>
      </c>
      <c r="BS10" s="174" t="e">
        <f t="shared" si="53"/>
        <v>#REF!</v>
      </c>
      <c r="BT10" s="174" t="e">
        <f t="shared" si="53"/>
        <v>#REF!</v>
      </c>
      <c r="BU10" s="174" t="e">
        <f t="shared" si="53"/>
        <v>#REF!</v>
      </c>
      <c r="BV10" s="174" t="e">
        <f t="shared" si="53"/>
        <v>#REF!</v>
      </c>
      <c r="BW10" s="174" t="e">
        <f t="shared" si="53"/>
        <v>#REF!</v>
      </c>
    </row>
    <row r="11" spans="1:75" x14ac:dyDescent="0.25">
      <c r="A11" t="s">
        <v>22</v>
      </c>
      <c r="B11" s="171" t="e">
        <f>B6</f>
        <v>#REF!</v>
      </c>
      <c r="C11" s="171" t="e">
        <f t="shared" ref="C11:BN11" si="54">C6</f>
        <v>#REF!</v>
      </c>
      <c r="D11" s="171" t="e">
        <f t="shared" si="54"/>
        <v>#REF!</v>
      </c>
      <c r="E11" s="171" t="e">
        <f t="shared" si="54"/>
        <v>#REF!</v>
      </c>
      <c r="F11" s="171" t="e">
        <f t="shared" si="54"/>
        <v>#REF!</v>
      </c>
      <c r="G11" s="171" t="e">
        <f t="shared" si="54"/>
        <v>#REF!</v>
      </c>
      <c r="H11" s="171" t="e">
        <f t="shared" si="54"/>
        <v>#REF!</v>
      </c>
      <c r="I11" s="171" t="e">
        <f t="shared" si="54"/>
        <v>#REF!</v>
      </c>
      <c r="J11" s="171" t="e">
        <f t="shared" si="54"/>
        <v>#REF!</v>
      </c>
      <c r="K11" s="171" t="e">
        <f t="shared" si="54"/>
        <v>#REF!</v>
      </c>
      <c r="L11" s="171" t="e">
        <f t="shared" si="54"/>
        <v>#REF!</v>
      </c>
      <c r="M11" s="171" t="e">
        <f t="shared" si="54"/>
        <v>#REF!</v>
      </c>
      <c r="N11" s="171" t="e">
        <f t="shared" si="54"/>
        <v>#REF!</v>
      </c>
      <c r="O11" s="171" t="e">
        <f t="shared" si="54"/>
        <v>#REF!</v>
      </c>
      <c r="P11" s="171" t="e">
        <f t="shared" si="54"/>
        <v>#REF!</v>
      </c>
      <c r="Q11" s="171" t="e">
        <f t="shared" si="54"/>
        <v>#REF!</v>
      </c>
      <c r="R11" s="171" t="e">
        <f t="shared" si="54"/>
        <v>#REF!</v>
      </c>
      <c r="S11" s="171" t="e">
        <f t="shared" si="54"/>
        <v>#REF!</v>
      </c>
      <c r="T11" s="171" t="e">
        <f t="shared" si="54"/>
        <v>#REF!</v>
      </c>
      <c r="U11" s="171" t="e">
        <f t="shared" si="54"/>
        <v>#REF!</v>
      </c>
      <c r="V11" s="171" t="e">
        <f t="shared" si="54"/>
        <v>#REF!</v>
      </c>
      <c r="W11" s="171" t="e">
        <f t="shared" si="54"/>
        <v>#REF!</v>
      </c>
      <c r="X11" s="171" t="e">
        <f t="shared" si="54"/>
        <v>#REF!</v>
      </c>
      <c r="Y11" s="171" t="e">
        <f t="shared" si="54"/>
        <v>#REF!</v>
      </c>
      <c r="Z11" s="171" t="e">
        <f t="shared" si="54"/>
        <v>#REF!</v>
      </c>
      <c r="AA11" s="171" t="e">
        <f t="shared" si="54"/>
        <v>#REF!</v>
      </c>
      <c r="AB11" s="171" t="e">
        <f t="shared" si="54"/>
        <v>#REF!</v>
      </c>
      <c r="AC11" s="171" t="e">
        <f t="shared" si="54"/>
        <v>#REF!</v>
      </c>
      <c r="AD11" s="171" t="e">
        <f t="shared" si="54"/>
        <v>#REF!</v>
      </c>
      <c r="AE11" s="171" t="e">
        <f t="shared" si="54"/>
        <v>#REF!</v>
      </c>
      <c r="AF11" s="171" t="e">
        <f t="shared" si="54"/>
        <v>#REF!</v>
      </c>
      <c r="AG11" s="171" t="e">
        <f t="shared" si="54"/>
        <v>#REF!</v>
      </c>
      <c r="AH11" s="171" t="e">
        <f t="shared" si="54"/>
        <v>#REF!</v>
      </c>
      <c r="AI11" s="171" t="e">
        <f t="shared" si="54"/>
        <v>#REF!</v>
      </c>
      <c r="AJ11" s="171" t="e">
        <f t="shared" si="54"/>
        <v>#REF!</v>
      </c>
      <c r="AK11" s="171" t="e">
        <f t="shared" si="54"/>
        <v>#REF!</v>
      </c>
      <c r="AL11" s="171" t="e">
        <f t="shared" si="54"/>
        <v>#REF!</v>
      </c>
      <c r="AM11" s="171" t="e">
        <f t="shared" si="54"/>
        <v>#REF!</v>
      </c>
      <c r="AN11" s="171" t="e">
        <f t="shared" si="54"/>
        <v>#REF!</v>
      </c>
      <c r="AO11" s="171" t="e">
        <f t="shared" si="54"/>
        <v>#REF!</v>
      </c>
      <c r="AP11" s="171" t="e">
        <f t="shared" si="54"/>
        <v>#REF!</v>
      </c>
      <c r="AQ11" s="171" t="e">
        <f t="shared" si="54"/>
        <v>#REF!</v>
      </c>
      <c r="AR11" s="171" t="e">
        <f t="shared" si="54"/>
        <v>#REF!</v>
      </c>
      <c r="AS11" s="171" t="e">
        <f t="shared" si="54"/>
        <v>#REF!</v>
      </c>
      <c r="AT11" s="171" t="e">
        <f t="shared" si="54"/>
        <v>#REF!</v>
      </c>
      <c r="AU11" s="171" t="e">
        <f t="shared" si="54"/>
        <v>#REF!</v>
      </c>
      <c r="AV11" s="171" t="e">
        <f t="shared" si="54"/>
        <v>#REF!</v>
      </c>
      <c r="AW11" s="171" t="e">
        <f t="shared" si="54"/>
        <v>#REF!</v>
      </c>
      <c r="AX11" s="171" t="e">
        <f t="shared" si="54"/>
        <v>#REF!</v>
      </c>
      <c r="AY11" s="171" t="e">
        <f t="shared" si="54"/>
        <v>#REF!</v>
      </c>
      <c r="AZ11" s="171" t="e">
        <f t="shared" si="54"/>
        <v>#REF!</v>
      </c>
      <c r="BA11" s="171" t="e">
        <f t="shared" si="54"/>
        <v>#REF!</v>
      </c>
      <c r="BB11" s="171" t="e">
        <f t="shared" si="54"/>
        <v>#REF!</v>
      </c>
      <c r="BC11" s="171" t="e">
        <f t="shared" si="54"/>
        <v>#REF!</v>
      </c>
      <c r="BD11" s="171" t="e">
        <f t="shared" si="54"/>
        <v>#REF!</v>
      </c>
      <c r="BE11" s="171" t="e">
        <f t="shared" si="54"/>
        <v>#REF!</v>
      </c>
      <c r="BF11" s="171" t="e">
        <f t="shared" si="54"/>
        <v>#REF!</v>
      </c>
      <c r="BG11" s="171" t="e">
        <f t="shared" si="54"/>
        <v>#REF!</v>
      </c>
      <c r="BH11" s="171" t="e">
        <f t="shared" si="54"/>
        <v>#REF!</v>
      </c>
      <c r="BI11" s="171" t="e">
        <f t="shared" si="54"/>
        <v>#REF!</v>
      </c>
      <c r="BJ11" s="171" t="e">
        <f t="shared" si="54"/>
        <v>#REF!</v>
      </c>
      <c r="BK11" s="171" t="e">
        <f t="shared" si="54"/>
        <v>#REF!</v>
      </c>
      <c r="BL11" s="171" t="e">
        <f t="shared" si="54"/>
        <v>#REF!</v>
      </c>
      <c r="BM11" s="171" t="e">
        <f t="shared" si="54"/>
        <v>#REF!</v>
      </c>
      <c r="BN11" s="171" t="e">
        <f t="shared" si="54"/>
        <v>#REF!</v>
      </c>
      <c r="BO11" s="171" t="e">
        <f t="shared" ref="BO11:BW11" si="55">BO6</f>
        <v>#REF!</v>
      </c>
      <c r="BP11" s="171" t="e">
        <f t="shared" si="55"/>
        <v>#REF!</v>
      </c>
      <c r="BQ11" s="171" t="e">
        <f t="shared" si="55"/>
        <v>#REF!</v>
      </c>
      <c r="BR11" s="171" t="e">
        <f t="shared" si="55"/>
        <v>#REF!</v>
      </c>
      <c r="BS11" s="171" t="e">
        <f t="shared" si="55"/>
        <v>#REF!</v>
      </c>
      <c r="BT11" s="171" t="e">
        <f t="shared" si="55"/>
        <v>#REF!</v>
      </c>
      <c r="BU11" s="171" t="e">
        <f t="shared" si="55"/>
        <v>#REF!</v>
      </c>
      <c r="BV11" s="171" t="e">
        <f t="shared" si="55"/>
        <v>#REF!</v>
      </c>
      <c r="BW11" s="171" t="e">
        <f t="shared" si="55"/>
        <v>#REF!</v>
      </c>
    </row>
    <row r="12" spans="1:75" s="170" customFormat="1" x14ac:dyDescent="0.25">
      <c r="A12" s="170" t="s">
        <v>23</v>
      </c>
      <c r="B12" s="170" t="e">
        <f>B7</f>
        <v>#REF!</v>
      </c>
      <c r="C12" s="170" t="e">
        <f t="shared" ref="C12:BN12" si="56">C7</f>
        <v>#REF!</v>
      </c>
      <c r="D12" s="170" t="e">
        <f t="shared" si="56"/>
        <v>#REF!</v>
      </c>
      <c r="E12" s="170" t="e">
        <f t="shared" si="56"/>
        <v>#REF!</v>
      </c>
      <c r="F12" s="170" t="e">
        <f t="shared" si="56"/>
        <v>#REF!</v>
      </c>
      <c r="G12" s="170" t="e">
        <f t="shared" si="56"/>
        <v>#REF!</v>
      </c>
      <c r="H12" s="170" t="e">
        <f t="shared" si="56"/>
        <v>#REF!</v>
      </c>
      <c r="I12" s="170" t="e">
        <f t="shared" si="56"/>
        <v>#REF!</v>
      </c>
      <c r="J12" s="170" t="e">
        <f t="shared" si="56"/>
        <v>#REF!</v>
      </c>
      <c r="K12" s="170" t="e">
        <f t="shared" si="56"/>
        <v>#REF!</v>
      </c>
      <c r="L12" s="170" t="e">
        <f t="shared" si="56"/>
        <v>#REF!</v>
      </c>
      <c r="M12" s="170" t="e">
        <f t="shared" si="56"/>
        <v>#REF!</v>
      </c>
      <c r="N12" s="170" t="e">
        <f t="shared" si="56"/>
        <v>#REF!</v>
      </c>
      <c r="O12" s="170" t="e">
        <f t="shared" si="56"/>
        <v>#REF!</v>
      </c>
      <c r="P12" s="170" t="e">
        <f t="shared" si="56"/>
        <v>#REF!</v>
      </c>
      <c r="Q12" s="170" t="e">
        <f t="shared" si="56"/>
        <v>#REF!</v>
      </c>
      <c r="R12" s="170" t="e">
        <f t="shared" si="56"/>
        <v>#REF!</v>
      </c>
      <c r="S12" s="170" t="e">
        <f t="shared" si="56"/>
        <v>#REF!</v>
      </c>
      <c r="T12" s="170" t="e">
        <f t="shared" si="56"/>
        <v>#REF!</v>
      </c>
      <c r="U12" s="170" t="e">
        <f t="shared" si="56"/>
        <v>#REF!</v>
      </c>
      <c r="V12" s="170" t="e">
        <f t="shared" si="56"/>
        <v>#REF!</v>
      </c>
      <c r="W12" s="170" t="e">
        <f t="shared" si="56"/>
        <v>#REF!</v>
      </c>
      <c r="X12" s="170" t="e">
        <f t="shared" si="56"/>
        <v>#REF!</v>
      </c>
      <c r="Y12" s="170" t="e">
        <f t="shared" si="56"/>
        <v>#REF!</v>
      </c>
      <c r="Z12" s="170" t="e">
        <f t="shared" si="56"/>
        <v>#REF!</v>
      </c>
      <c r="AA12" s="170" t="e">
        <f t="shared" si="56"/>
        <v>#REF!</v>
      </c>
      <c r="AB12" s="170" t="e">
        <f t="shared" si="56"/>
        <v>#REF!</v>
      </c>
      <c r="AC12" s="170" t="e">
        <f t="shared" si="56"/>
        <v>#REF!</v>
      </c>
      <c r="AD12" s="170" t="e">
        <f t="shared" si="56"/>
        <v>#REF!</v>
      </c>
      <c r="AE12" s="170" t="e">
        <f t="shared" si="56"/>
        <v>#REF!</v>
      </c>
      <c r="AF12" s="170" t="e">
        <f t="shared" si="56"/>
        <v>#REF!</v>
      </c>
      <c r="AG12" s="170" t="e">
        <f t="shared" si="56"/>
        <v>#REF!</v>
      </c>
      <c r="AH12" s="170" t="e">
        <f t="shared" si="56"/>
        <v>#REF!</v>
      </c>
      <c r="AI12" s="170" t="e">
        <f t="shared" si="56"/>
        <v>#REF!</v>
      </c>
      <c r="AJ12" s="170" t="e">
        <f t="shared" si="56"/>
        <v>#REF!</v>
      </c>
      <c r="AK12" s="170" t="e">
        <f t="shared" si="56"/>
        <v>#REF!</v>
      </c>
      <c r="AL12" s="170" t="e">
        <f t="shared" si="56"/>
        <v>#REF!</v>
      </c>
      <c r="AM12" s="170" t="e">
        <f t="shared" si="56"/>
        <v>#REF!</v>
      </c>
      <c r="AN12" s="170" t="e">
        <f t="shared" si="56"/>
        <v>#REF!</v>
      </c>
      <c r="AO12" s="170" t="e">
        <f t="shared" si="56"/>
        <v>#REF!</v>
      </c>
      <c r="AP12" s="170" t="e">
        <f t="shared" si="56"/>
        <v>#REF!</v>
      </c>
      <c r="AQ12" s="170" t="e">
        <f t="shared" si="56"/>
        <v>#REF!</v>
      </c>
      <c r="AR12" s="170" t="e">
        <f t="shared" si="56"/>
        <v>#REF!</v>
      </c>
      <c r="AS12" s="170" t="e">
        <f t="shared" si="56"/>
        <v>#REF!</v>
      </c>
      <c r="AT12" s="170" t="e">
        <f t="shared" si="56"/>
        <v>#REF!</v>
      </c>
      <c r="AU12" s="170" t="e">
        <f t="shared" si="56"/>
        <v>#REF!</v>
      </c>
      <c r="AV12" s="170" t="e">
        <f t="shared" si="56"/>
        <v>#REF!</v>
      </c>
      <c r="AW12" s="170" t="e">
        <f t="shared" si="56"/>
        <v>#REF!</v>
      </c>
      <c r="AX12" s="170" t="e">
        <f t="shared" si="56"/>
        <v>#REF!</v>
      </c>
      <c r="AY12" s="170" t="e">
        <f t="shared" si="56"/>
        <v>#REF!</v>
      </c>
      <c r="AZ12" s="170" t="e">
        <f t="shared" si="56"/>
        <v>#REF!</v>
      </c>
      <c r="BA12" s="170" t="e">
        <f t="shared" si="56"/>
        <v>#REF!</v>
      </c>
      <c r="BB12" s="170" t="e">
        <f t="shared" si="56"/>
        <v>#REF!</v>
      </c>
      <c r="BC12" s="170" t="e">
        <f t="shared" si="56"/>
        <v>#REF!</v>
      </c>
      <c r="BD12" s="170" t="e">
        <f t="shared" si="56"/>
        <v>#REF!</v>
      </c>
      <c r="BE12" s="170" t="e">
        <f t="shared" si="56"/>
        <v>#REF!</v>
      </c>
      <c r="BF12" s="170" t="e">
        <f t="shared" si="56"/>
        <v>#REF!</v>
      </c>
      <c r="BG12" s="170" t="e">
        <f t="shared" si="56"/>
        <v>#REF!</v>
      </c>
      <c r="BH12" s="170" t="e">
        <f t="shared" si="56"/>
        <v>#REF!</v>
      </c>
      <c r="BI12" s="170" t="e">
        <f t="shared" si="56"/>
        <v>#REF!</v>
      </c>
      <c r="BJ12" s="170" t="e">
        <f t="shared" si="56"/>
        <v>#REF!</v>
      </c>
      <c r="BK12" s="170" t="e">
        <f t="shared" si="56"/>
        <v>#REF!</v>
      </c>
      <c r="BL12" s="170" t="e">
        <f t="shared" si="56"/>
        <v>#REF!</v>
      </c>
      <c r="BM12" s="170" t="e">
        <f t="shared" si="56"/>
        <v>#REF!</v>
      </c>
      <c r="BN12" s="170" t="e">
        <f t="shared" si="56"/>
        <v>#REF!</v>
      </c>
      <c r="BO12" s="170" t="e">
        <f t="shared" ref="BO12:BW12" si="57">BO7</f>
        <v>#REF!</v>
      </c>
      <c r="BP12" s="170" t="e">
        <f t="shared" si="57"/>
        <v>#REF!</v>
      </c>
      <c r="BQ12" s="170" t="e">
        <f t="shared" si="57"/>
        <v>#REF!</v>
      </c>
      <c r="BR12" s="170" t="e">
        <f t="shared" si="57"/>
        <v>#REF!</v>
      </c>
      <c r="BS12" s="170" t="e">
        <f t="shared" si="57"/>
        <v>#REF!</v>
      </c>
      <c r="BT12" s="170" t="e">
        <f t="shared" si="57"/>
        <v>#REF!</v>
      </c>
      <c r="BU12" s="170" t="e">
        <f t="shared" si="57"/>
        <v>#REF!</v>
      </c>
      <c r="BV12" s="170" t="e">
        <f t="shared" si="57"/>
        <v>#REF!</v>
      </c>
      <c r="BW12" s="170" t="e">
        <f t="shared" si="57"/>
        <v>#REF!</v>
      </c>
    </row>
    <row r="13" spans="1:75" x14ac:dyDescent="0.25">
      <c r="A13" t="s">
        <v>459</v>
      </c>
      <c r="B13" s="171" t="e">
        <f>B3</f>
        <v>#REF!</v>
      </c>
      <c r="C13" s="171" t="e">
        <f t="shared" ref="C13:BN13" si="58">C3</f>
        <v>#REF!</v>
      </c>
      <c r="D13" s="171" t="e">
        <f t="shared" si="58"/>
        <v>#REF!</v>
      </c>
      <c r="E13" s="171" t="e">
        <f t="shared" si="58"/>
        <v>#REF!</v>
      </c>
      <c r="F13" s="171" t="e">
        <f t="shared" si="58"/>
        <v>#REF!</v>
      </c>
      <c r="G13" s="171" t="e">
        <f t="shared" si="58"/>
        <v>#REF!</v>
      </c>
      <c r="H13" s="171" t="e">
        <f t="shared" si="58"/>
        <v>#REF!</v>
      </c>
      <c r="I13" s="171" t="e">
        <f t="shared" si="58"/>
        <v>#REF!</v>
      </c>
      <c r="J13" s="171" t="e">
        <f t="shared" si="58"/>
        <v>#REF!</v>
      </c>
      <c r="K13" s="171" t="e">
        <f t="shared" si="58"/>
        <v>#REF!</v>
      </c>
      <c r="L13" s="171" t="e">
        <f t="shared" si="58"/>
        <v>#REF!</v>
      </c>
      <c r="M13" s="171" t="e">
        <f t="shared" si="58"/>
        <v>#REF!</v>
      </c>
      <c r="N13" s="171" t="e">
        <f t="shared" si="58"/>
        <v>#REF!</v>
      </c>
      <c r="O13" s="171" t="e">
        <f t="shared" si="58"/>
        <v>#REF!</v>
      </c>
      <c r="P13" s="171" t="e">
        <f t="shared" si="58"/>
        <v>#REF!</v>
      </c>
      <c r="Q13" s="171" t="e">
        <f t="shared" si="58"/>
        <v>#REF!</v>
      </c>
      <c r="R13" s="171" t="e">
        <f t="shared" si="58"/>
        <v>#REF!</v>
      </c>
      <c r="S13" s="171" t="e">
        <f t="shared" si="58"/>
        <v>#REF!</v>
      </c>
      <c r="T13" s="171" t="e">
        <f t="shared" si="58"/>
        <v>#REF!</v>
      </c>
      <c r="U13" s="171" t="e">
        <f t="shared" si="58"/>
        <v>#REF!</v>
      </c>
      <c r="V13" s="171" t="e">
        <f t="shared" si="58"/>
        <v>#REF!</v>
      </c>
      <c r="W13" s="171" t="e">
        <f t="shared" si="58"/>
        <v>#REF!</v>
      </c>
      <c r="X13" s="171" t="e">
        <f t="shared" si="58"/>
        <v>#REF!</v>
      </c>
      <c r="Y13" s="171" t="e">
        <f t="shared" si="58"/>
        <v>#REF!</v>
      </c>
      <c r="Z13" s="171" t="e">
        <f t="shared" si="58"/>
        <v>#REF!</v>
      </c>
      <c r="AA13" s="171" t="e">
        <f t="shared" si="58"/>
        <v>#REF!</v>
      </c>
      <c r="AB13" s="171" t="e">
        <f t="shared" si="58"/>
        <v>#REF!</v>
      </c>
      <c r="AC13" s="171" t="e">
        <f t="shared" si="58"/>
        <v>#REF!</v>
      </c>
      <c r="AD13" s="171" t="e">
        <f t="shared" si="58"/>
        <v>#REF!</v>
      </c>
      <c r="AE13" s="171" t="e">
        <f t="shared" si="58"/>
        <v>#REF!</v>
      </c>
      <c r="AF13" s="171" t="e">
        <f t="shared" si="58"/>
        <v>#REF!</v>
      </c>
      <c r="AG13" s="171" t="e">
        <f t="shared" si="58"/>
        <v>#REF!</v>
      </c>
      <c r="AH13" s="171" t="e">
        <f t="shared" si="58"/>
        <v>#REF!</v>
      </c>
      <c r="AI13" s="171" t="e">
        <f t="shared" si="58"/>
        <v>#REF!</v>
      </c>
      <c r="AJ13" s="171" t="e">
        <f t="shared" si="58"/>
        <v>#REF!</v>
      </c>
      <c r="AK13" s="171" t="e">
        <f t="shared" si="58"/>
        <v>#REF!</v>
      </c>
      <c r="AL13" s="171" t="e">
        <f t="shared" si="58"/>
        <v>#REF!</v>
      </c>
      <c r="AM13" s="171" t="e">
        <f t="shared" si="58"/>
        <v>#REF!</v>
      </c>
      <c r="AN13" s="171" t="e">
        <f t="shared" si="58"/>
        <v>#REF!</v>
      </c>
      <c r="AO13" s="171" t="e">
        <f t="shared" si="58"/>
        <v>#REF!</v>
      </c>
      <c r="AP13" s="171" t="e">
        <f t="shared" si="58"/>
        <v>#REF!</v>
      </c>
      <c r="AQ13" s="171" t="e">
        <f t="shared" si="58"/>
        <v>#REF!</v>
      </c>
      <c r="AR13" s="171" t="e">
        <f t="shared" si="58"/>
        <v>#REF!</v>
      </c>
      <c r="AS13" s="171" t="e">
        <f t="shared" si="58"/>
        <v>#REF!</v>
      </c>
      <c r="AT13" s="171" t="e">
        <f t="shared" si="58"/>
        <v>#REF!</v>
      </c>
      <c r="AU13" s="171" t="e">
        <f t="shared" si="58"/>
        <v>#REF!</v>
      </c>
      <c r="AV13" s="171" t="e">
        <f t="shared" si="58"/>
        <v>#REF!</v>
      </c>
      <c r="AW13" s="171" t="e">
        <f t="shared" si="58"/>
        <v>#REF!</v>
      </c>
      <c r="AX13" s="171" t="e">
        <f t="shared" si="58"/>
        <v>#REF!</v>
      </c>
      <c r="AY13" s="171" t="e">
        <f t="shared" si="58"/>
        <v>#REF!</v>
      </c>
      <c r="AZ13" s="171" t="e">
        <f t="shared" si="58"/>
        <v>#REF!</v>
      </c>
      <c r="BA13" s="171" t="e">
        <f t="shared" si="58"/>
        <v>#REF!</v>
      </c>
      <c r="BB13" s="171" t="e">
        <f t="shared" si="58"/>
        <v>#REF!</v>
      </c>
      <c r="BC13" s="171" t="e">
        <f t="shared" si="58"/>
        <v>#REF!</v>
      </c>
      <c r="BD13" s="171" t="e">
        <f t="shared" si="58"/>
        <v>#REF!</v>
      </c>
      <c r="BE13" s="171" t="e">
        <f t="shared" si="58"/>
        <v>#REF!</v>
      </c>
      <c r="BF13" s="171" t="e">
        <f t="shared" si="58"/>
        <v>#REF!</v>
      </c>
      <c r="BG13" s="171" t="e">
        <f t="shared" si="58"/>
        <v>#REF!</v>
      </c>
      <c r="BH13" s="171" t="e">
        <f t="shared" si="58"/>
        <v>#REF!</v>
      </c>
      <c r="BI13" s="171" t="e">
        <f t="shared" si="58"/>
        <v>#REF!</v>
      </c>
      <c r="BJ13" s="171" t="e">
        <f t="shared" si="58"/>
        <v>#REF!</v>
      </c>
      <c r="BK13" s="171" t="e">
        <f t="shared" si="58"/>
        <v>#REF!</v>
      </c>
      <c r="BL13" s="171" t="e">
        <f t="shared" si="58"/>
        <v>#REF!</v>
      </c>
      <c r="BM13" s="171" t="e">
        <f t="shared" si="58"/>
        <v>#REF!</v>
      </c>
      <c r="BN13" s="171" t="e">
        <f t="shared" si="58"/>
        <v>#REF!</v>
      </c>
      <c r="BO13" s="171" t="e">
        <f t="shared" ref="BO13:BW13" si="59">BO3</f>
        <v>#REF!</v>
      </c>
      <c r="BP13" s="171" t="e">
        <f t="shared" si="59"/>
        <v>#REF!</v>
      </c>
      <c r="BQ13" s="171" t="e">
        <f t="shared" si="59"/>
        <v>#REF!</v>
      </c>
      <c r="BR13" s="171" t="e">
        <f t="shared" si="59"/>
        <v>#REF!</v>
      </c>
      <c r="BS13" s="171" t="e">
        <f t="shared" si="59"/>
        <v>#REF!</v>
      </c>
      <c r="BT13" s="171" t="e">
        <f t="shared" si="59"/>
        <v>#REF!</v>
      </c>
      <c r="BU13" s="171" t="e">
        <f t="shared" si="59"/>
        <v>#REF!</v>
      </c>
      <c r="BV13" s="171" t="e">
        <f t="shared" si="59"/>
        <v>#REF!</v>
      </c>
      <c r="BW13" s="171" t="e">
        <f t="shared" si="59"/>
        <v>#REF!</v>
      </c>
    </row>
    <row r="14" spans="1:75" x14ac:dyDescent="0.25">
      <c r="A14" t="s">
        <v>20</v>
      </c>
      <c r="B14" s="171" t="e">
        <f>B4</f>
        <v>#REF!</v>
      </c>
      <c r="C14" s="171" t="e">
        <f t="shared" ref="C14:BN14" si="60">C4</f>
        <v>#REF!</v>
      </c>
      <c r="D14" s="171" t="e">
        <f t="shared" si="60"/>
        <v>#REF!</v>
      </c>
      <c r="E14" s="171" t="e">
        <f t="shared" si="60"/>
        <v>#REF!</v>
      </c>
      <c r="F14" s="171" t="e">
        <f t="shared" si="60"/>
        <v>#REF!</v>
      </c>
      <c r="G14" s="171" t="e">
        <f t="shared" si="60"/>
        <v>#REF!</v>
      </c>
      <c r="H14" s="171" t="e">
        <f t="shared" si="60"/>
        <v>#REF!</v>
      </c>
      <c r="I14" s="171" t="e">
        <f t="shared" si="60"/>
        <v>#REF!</v>
      </c>
      <c r="J14" s="171" t="e">
        <f t="shared" si="60"/>
        <v>#REF!</v>
      </c>
      <c r="K14" s="171" t="e">
        <f t="shared" si="60"/>
        <v>#REF!</v>
      </c>
      <c r="L14" s="171" t="e">
        <f t="shared" si="60"/>
        <v>#REF!</v>
      </c>
      <c r="M14" s="171" t="e">
        <f t="shared" si="60"/>
        <v>#REF!</v>
      </c>
      <c r="N14" s="171" t="e">
        <f t="shared" si="60"/>
        <v>#REF!</v>
      </c>
      <c r="O14" s="171" t="e">
        <f t="shared" si="60"/>
        <v>#REF!</v>
      </c>
      <c r="P14" s="171" t="e">
        <f t="shared" si="60"/>
        <v>#REF!</v>
      </c>
      <c r="Q14" s="171" t="e">
        <f t="shared" si="60"/>
        <v>#REF!</v>
      </c>
      <c r="R14" s="171" t="e">
        <f t="shared" si="60"/>
        <v>#REF!</v>
      </c>
      <c r="S14" s="171" t="e">
        <f t="shared" si="60"/>
        <v>#REF!</v>
      </c>
      <c r="T14" s="171" t="e">
        <f t="shared" si="60"/>
        <v>#REF!</v>
      </c>
      <c r="U14" s="171" t="e">
        <f t="shared" si="60"/>
        <v>#REF!</v>
      </c>
      <c r="V14" s="171" t="e">
        <f t="shared" si="60"/>
        <v>#REF!</v>
      </c>
      <c r="W14" s="171" t="e">
        <f t="shared" si="60"/>
        <v>#REF!</v>
      </c>
      <c r="X14" s="171" t="e">
        <f t="shared" si="60"/>
        <v>#REF!</v>
      </c>
      <c r="Y14" s="171" t="e">
        <f t="shared" si="60"/>
        <v>#REF!</v>
      </c>
      <c r="Z14" s="171" t="e">
        <f t="shared" si="60"/>
        <v>#REF!</v>
      </c>
      <c r="AA14" s="171" t="e">
        <f t="shared" si="60"/>
        <v>#REF!</v>
      </c>
      <c r="AB14" s="171" t="e">
        <f t="shared" si="60"/>
        <v>#REF!</v>
      </c>
      <c r="AC14" s="171" t="e">
        <f t="shared" si="60"/>
        <v>#REF!</v>
      </c>
      <c r="AD14" s="171" t="e">
        <f t="shared" si="60"/>
        <v>#REF!</v>
      </c>
      <c r="AE14" s="171" t="e">
        <f t="shared" si="60"/>
        <v>#REF!</v>
      </c>
      <c r="AF14" s="171" t="e">
        <f t="shared" si="60"/>
        <v>#REF!</v>
      </c>
      <c r="AG14" s="171" t="e">
        <f t="shared" si="60"/>
        <v>#REF!</v>
      </c>
      <c r="AH14" s="171" t="e">
        <f t="shared" si="60"/>
        <v>#REF!</v>
      </c>
      <c r="AI14" s="171" t="e">
        <f t="shared" si="60"/>
        <v>#REF!</v>
      </c>
      <c r="AJ14" s="171" t="e">
        <f t="shared" si="60"/>
        <v>#REF!</v>
      </c>
      <c r="AK14" s="171" t="e">
        <f t="shared" si="60"/>
        <v>#REF!</v>
      </c>
      <c r="AL14" s="171" t="e">
        <f t="shared" si="60"/>
        <v>#REF!</v>
      </c>
      <c r="AM14" s="171" t="e">
        <f t="shared" si="60"/>
        <v>#REF!</v>
      </c>
      <c r="AN14" s="171" t="e">
        <f t="shared" si="60"/>
        <v>#REF!</v>
      </c>
      <c r="AO14" s="171" t="e">
        <f t="shared" si="60"/>
        <v>#REF!</v>
      </c>
      <c r="AP14" s="171" t="e">
        <f t="shared" si="60"/>
        <v>#REF!</v>
      </c>
      <c r="AQ14" s="171" t="e">
        <f t="shared" si="60"/>
        <v>#REF!</v>
      </c>
      <c r="AR14" s="171" t="e">
        <f t="shared" si="60"/>
        <v>#REF!</v>
      </c>
      <c r="AS14" s="171" t="e">
        <f t="shared" si="60"/>
        <v>#REF!</v>
      </c>
      <c r="AT14" s="171" t="e">
        <f t="shared" si="60"/>
        <v>#REF!</v>
      </c>
      <c r="AU14" s="171" t="e">
        <f t="shared" si="60"/>
        <v>#REF!</v>
      </c>
      <c r="AV14" s="171" t="e">
        <f t="shared" si="60"/>
        <v>#REF!</v>
      </c>
      <c r="AW14" s="171" t="e">
        <f t="shared" si="60"/>
        <v>#REF!</v>
      </c>
      <c r="AX14" s="171" t="e">
        <f t="shared" si="60"/>
        <v>#REF!</v>
      </c>
      <c r="AY14" s="171" t="e">
        <f t="shared" si="60"/>
        <v>#REF!</v>
      </c>
      <c r="AZ14" s="171" t="e">
        <f t="shared" si="60"/>
        <v>#REF!</v>
      </c>
      <c r="BA14" s="171" t="e">
        <f t="shared" si="60"/>
        <v>#REF!</v>
      </c>
      <c r="BB14" s="171" t="e">
        <f t="shared" si="60"/>
        <v>#REF!</v>
      </c>
      <c r="BC14" s="171" t="e">
        <f t="shared" si="60"/>
        <v>#REF!</v>
      </c>
      <c r="BD14" s="171" t="e">
        <f t="shared" si="60"/>
        <v>#REF!</v>
      </c>
      <c r="BE14" s="171" t="e">
        <f t="shared" si="60"/>
        <v>#REF!</v>
      </c>
      <c r="BF14" s="171" t="e">
        <f t="shared" si="60"/>
        <v>#REF!</v>
      </c>
      <c r="BG14" s="171" t="e">
        <f t="shared" si="60"/>
        <v>#REF!</v>
      </c>
      <c r="BH14" s="171" t="e">
        <f t="shared" si="60"/>
        <v>#REF!</v>
      </c>
      <c r="BI14" s="171" t="e">
        <f t="shared" si="60"/>
        <v>#REF!</v>
      </c>
      <c r="BJ14" s="171" t="e">
        <f t="shared" si="60"/>
        <v>#REF!</v>
      </c>
      <c r="BK14" s="171" t="e">
        <f t="shared" si="60"/>
        <v>#REF!</v>
      </c>
      <c r="BL14" s="171" t="e">
        <f t="shared" si="60"/>
        <v>#REF!</v>
      </c>
      <c r="BM14" s="171" t="e">
        <f t="shared" si="60"/>
        <v>#REF!</v>
      </c>
      <c r="BN14" s="171" t="e">
        <f t="shared" si="60"/>
        <v>#REF!</v>
      </c>
      <c r="BO14" s="171" t="e">
        <f t="shared" ref="BO14:BW14" si="61">BO4</f>
        <v>#REF!</v>
      </c>
      <c r="BP14" s="171" t="e">
        <f t="shared" si="61"/>
        <v>#REF!</v>
      </c>
      <c r="BQ14" s="171" t="e">
        <f t="shared" si="61"/>
        <v>#REF!</v>
      </c>
      <c r="BR14" s="171" t="e">
        <f t="shared" si="61"/>
        <v>#REF!</v>
      </c>
      <c r="BS14" s="171" t="e">
        <f t="shared" si="61"/>
        <v>#REF!</v>
      </c>
      <c r="BT14" s="171" t="e">
        <f t="shared" si="61"/>
        <v>#REF!</v>
      </c>
      <c r="BU14" s="171" t="e">
        <f t="shared" si="61"/>
        <v>#REF!</v>
      </c>
      <c r="BV14" s="171" t="e">
        <f t="shared" si="61"/>
        <v>#REF!</v>
      </c>
      <c r="BW14" s="171" t="e">
        <f t="shared" si="61"/>
        <v>#REF!</v>
      </c>
    </row>
    <row r="15" spans="1:75" x14ac:dyDescent="0.25">
      <c r="J15" s="173"/>
    </row>
    <row r="16" spans="1:75" s="170" customFormat="1" x14ac:dyDescent="0.25">
      <c r="A16" s="170" t="s">
        <v>23</v>
      </c>
      <c r="B16" s="170" t="e">
        <f>B7</f>
        <v>#REF!</v>
      </c>
      <c r="C16" s="170" t="e">
        <f t="shared" ref="C16:BN16" si="62">C7</f>
        <v>#REF!</v>
      </c>
      <c r="D16" s="170" t="e">
        <f t="shared" si="62"/>
        <v>#REF!</v>
      </c>
      <c r="E16" s="170" t="e">
        <f t="shared" si="62"/>
        <v>#REF!</v>
      </c>
      <c r="F16" s="170" t="e">
        <f t="shared" si="62"/>
        <v>#REF!</v>
      </c>
      <c r="G16" s="170" t="e">
        <f t="shared" si="62"/>
        <v>#REF!</v>
      </c>
      <c r="H16" s="170" t="e">
        <f t="shared" si="62"/>
        <v>#REF!</v>
      </c>
      <c r="I16" s="170" t="e">
        <f t="shared" si="62"/>
        <v>#REF!</v>
      </c>
      <c r="J16" s="170" t="e">
        <f t="shared" si="62"/>
        <v>#REF!</v>
      </c>
      <c r="K16" s="170" t="e">
        <f t="shared" si="62"/>
        <v>#REF!</v>
      </c>
      <c r="L16" s="170" t="e">
        <f t="shared" si="62"/>
        <v>#REF!</v>
      </c>
      <c r="M16" s="170" t="e">
        <f t="shared" si="62"/>
        <v>#REF!</v>
      </c>
      <c r="N16" s="170" t="e">
        <f t="shared" si="62"/>
        <v>#REF!</v>
      </c>
      <c r="O16" s="170" t="e">
        <f t="shared" si="62"/>
        <v>#REF!</v>
      </c>
      <c r="P16" s="170" t="e">
        <f t="shared" si="62"/>
        <v>#REF!</v>
      </c>
      <c r="Q16" s="170" t="e">
        <f t="shared" si="62"/>
        <v>#REF!</v>
      </c>
      <c r="R16" s="170" t="e">
        <f t="shared" si="62"/>
        <v>#REF!</v>
      </c>
      <c r="S16" s="170" t="e">
        <f t="shared" si="62"/>
        <v>#REF!</v>
      </c>
      <c r="T16" s="170" t="e">
        <f t="shared" si="62"/>
        <v>#REF!</v>
      </c>
      <c r="U16" s="170" t="e">
        <f t="shared" si="62"/>
        <v>#REF!</v>
      </c>
      <c r="V16" s="170" t="e">
        <f t="shared" si="62"/>
        <v>#REF!</v>
      </c>
      <c r="W16" s="170" t="e">
        <f t="shared" si="62"/>
        <v>#REF!</v>
      </c>
      <c r="X16" s="170" t="e">
        <f t="shared" si="62"/>
        <v>#REF!</v>
      </c>
      <c r="Y16" s="170" t="e">
        <f t="shared" si="62"/>
        <v>#REF!</v>
      </c>
      <c r="Z16" s="170" t="e">
        <f t="shared" si="62"/>
        <v>#REF!</v>
      </c>
      <c r="AA16" s="170" t="e">
        <f t="shared" si="62"/>
        <v>#REF!</v>
      </c>
      <c r="AB16" s="170" t="e">
        <f t="shared" si="62"/>
        <v>#REF!</v>
      </c>
      <c r="AC16" s="170" t="e">
        <f t="shared" si="62"/>
        <v>#REF!</v>
      </c>
      <c r="AD16" s="170" t="e">
        <f t="shared" si="62"/>
        <v>#REF!</v>
      </c>
      <c r="AE16" s="170" t="e">
        <f t="shared" si="62"/>
        <v>#REF!</v>
      </c>
      <c r="AF16" s="170" t="e">
        <f t="shared" si="62"/>
        <v>#REF!</v>
      </c>
      <c r="AG16" s="170" t="e">
        <f t="shared" si="62"/>
        <v>#REF!</v>
      </c>
      <c r="AH16" s="170" t="e">
        <f t="shared" si="62"/>
        <v>#REF!</v>
      </c>
      <c r="AI16" s="170" t="e">
        <f t="shared" si="62"/>
        <v>#REF!</v>
      </c>
      <c r="AJ16" s="170" t="e">
        <f t="shared" si="62"/>
        <v>#REF!</v>
      </c>
      <c r="AK16" s="170" t="e">
        <f t="shared" si="62"/>
        <v>#REF!</v>
      </c>
      <c r="AL16" s="170" t="e">
        <f t="shared" si="62"/>
        <v>#REF!</v>
      </c>
      <c r="AM16" s="170" t="e">
        <f t="shared" si="62"/>
        <v>#REF!</v>
      </c>
      <c r="AN16" s="170" t="e">
        <f t="shared" si="62"/>
        <v>#REF!</v>
      </c>
      <c r="AO16" s="170" t="e">
        <f t="shared" si="62"/>
        <v>#REF!</v>
      </c>
      <c r="AP16" s="170" t="e">
        <f t="shared" si="62"/>
        <v>#REF!</v>
      </c>
      <c r="AQ16" s="170" t="e">
        <f t="shared" si="62"/>
        <v>#REF!</v>
      </c>
      <c r="AR16" s="170" t="e">
        <f t="shared" si="62"/>
        <v>#REF!</v>
      </c>
      <c r="AS16" s="170" t="e">
        <f t="shared" si="62"/>
        <v>#REF!</v>
      </c>
      <c r="AT16" s="170" t="e">
        <f t="shared" si="62"/>
        <v>#REF!</v>
      </c>
      <c r="AU16" s="170" t="e">
        <f t="shared" si="62"/>
        <v>#REF!</v>
      </c>
      <c r="AV16" s="170" t="e">
        <f t="shared" si="62"/>
        <v>#REF!</v>
      </c>
      <c r="AW16" s="170" t="e">
        <f t="shared" si="62"/>
        <v>#REF!</v>
      </c>
      <c r="AX16" s="170" t="e">
        <f t="shared" si="62"/>
        <v>#REF!</v>
      </c>
      <c r="AY16" s="170" t="e">
        <f t="shared" si="62"/>
        <v>#REF!</v>
      </c>
      <c r="AZ16" s="170" t="e">
        <f t="shared" si="62"/>
        <v>#REF!</v>
      </c>
      <c r="BA16" s="170" t="e">
        <f t="shared" si="62"/>
        <v>#REF!</v>
      </c>
      <c r="BB16" s="170" t="e">
        <f t="shared" si="62"/>
        <v>#REF!</v>
      </c>
      <c r="BC16" s="170" t="e">
        <f t="shared" si="62"/>
        <v>#REF!</v>
      </c>
      <c r="BD16" s="170" t="e">
        <f t="shared" si="62"/>
        <v>#REF!</v>
      </c>
      <c r="BE16" s="170" t="e">
        <f t="shared" si="62"/>
        <v>#REF!</v>
      </c>
      <c r="BF16" s="170" t="e">
        <f t="shared" si="62"/>
        <v>#REF!</v>
      </c>
      <c r="BG16" s="170" t="e">
        <f t="shared" si="62"/>
        <v>#REF!</v>
      </c>
      <c r="BH16" s="170" t="e">
        <f t="shared" si="62"/>
        <v>#REF!</v>
      </c>
      <c r="BI16" s="170" t="e">
        <f t="shared" si="62"/>
        <v>#REF!</v>
      </c>
      <c r="BJ16" s="170" t="e">
        <f t="shared" si="62"/>
        <v>#REF!</v>
      </c>
      <c r="BK16" s="170" t="e">
        <f t="shared" si="62"/>
        <v>#REF!</v>
      </c>
      <c r="BL16" s="170" t="e">
        <f t="shared" si="62"/>
        <v>#REF!</v>
      </c>
      <c r="BM16" s="170" t="e">
        <f t="shared" si="62"/>
        <v>#REF!</v>
      </c>
      <c r="BN16" s="170" t="e">
        <f t="shared" si="62"/>
        <v>#REF!</v>
      </c>
      <c r="BO16" s="170" t="e">
        <f t="shared" ref="BO16:BW16" si="63">BO7</f>
        <v>#REF!</v>
      </c>
      <c r="BP16" s="170" t="e">
        <f t="shared" si="63"/>
        <v>#REF!</v>
      </c>
      <c r="BQ16" s="170" t="e">
        <f t="shared" si="63"/>
        <v>#REF!</v>
      </c>
      <c r="BR16" s="170" t="e">
        <f t="shared" si="63"/>
        <v>#REF!</v>
      </c>
      <c r="BS16" s="170" t="e">
        <f t="shared" si="63"/>
        <v>#REF!</v>
      </c>
      <c r="BT16" s="170" t="e">
        <f t="shared" si="63"/>
        <v>#REF!</v>
      </c>
      <c r="BU16" s="170" t="e">
        <f t="shared" si="63"/>
        <v>#REF!</v>
      </c>
      <c r="BV16" s="170" t="e">
        <f t="shared" si="63"/>
        <v>#REF!</v>
      </c>
      <c r="BW16" s="170" t="e">
        <f t="shared" si="63"/>
        <v>#REF!</v>
      </c>
    </row>
    <row r="17" spans="1:75" x14ac:dyDescent="0.25">
      <c r="A17" t="s">
        <v>459</v>
      </c>
      <c r="B17" s="171" t="e">
        <f>B3</f>
        <v>#REF!</v>
      </c>
      <c r="C17" s="171" t="e">
        <f t="shared" ref="C17:BN17" si="64">C3</f>
        <v>#REF!</v>
      </c>
      <c r="D17" s="171" t="e">
        <f t="shared" si="64"/>
        <v>#REF!</v>
      </c>
      <c r="E17" s="171" t="e">
        <f t="shared" si="64"/>
        <v>#REF!</v>
      </c>
      <c r="F17" s="171" t="e">
        <f t="shared" si="64"/>
        <v>#REF!</v>
      </c>
      <c r="G17" s="171" t="e">
        <f t="shared" si="64"/>
        <v>#REF!</v>
      </c>
      <c r="H17" s="171" t="e">
        <f t="shared" si="64"/>
        <v>#REF!</v>
      </c>
      <c r="I17" s="171" t="e">
        <f t="shared" si="64"/>
        <v>#REF!</v>
      </c>
      <c r="J17" s="171" t="e">
        <f t="shared" si="64"/>
        <v>#REF!</v>
      </c>
      <c r="K17" s="171" t="e">
        <f t="shared" si="64"/>
        <v>#REF!</v>
      </c>
      <c r="L17" s="171" t="e">
        <f t="shared" si="64"/>
        <v>#REF!</v>
      </c>
      <c r="M17" s="171" t="e">
        <f t="shared" si="64"/>
        <v>#REF!</v>
      </c>
      <c r="N17" s="171" t="e">
        <f t="shared" si="64"/>
        <v>#REF!</v>
      </c>
      <c r="O17" s="171" t="e">
        <f t="shared" si="64"/>
        <v>#REF!</v>
      </c>
      <c r="P17" s="171" t="e">
        <f t="shared" si="64"/>
        <v>#REF!</v>
      </c>
      <c r="Q17" s="171" t="e">
        <f t="shared" si="64"/>
        <v>#REF!</v>
      </c>
      <c r="R17" s="171" t="e">
        <f t="shared" si="64"/>
        <v>#REF!</v>
      </c>
      <c r="S17" s="171" t="e">
        <f t="shared" si="64"/>
        <v>#REF!</v>
      </c>
      <c r="T17" s="171" t="e">
        <f t="shared" si="64"/>
        <v>#REF!</v>
      </c>
      <c r="U17" s="171" t="e">
        <f t="shared" si="64"/>
        <v>#REF!</v>
      </c>
      <c r="V17" s="171" t="e">
        <f t="shared" si="64"/>
        <v>#REF!</v>
      </c>
      <c r="W17" s="171" t="e">
        <f t="shared" si="64"/>
        <v>#REF!</v>
      </c>
      <c r="X17" s="171" t="e">
        <f t="shared" si="64"/>
        <v>#REF!</v>
      </c>
      <c r="Y17" s="171" t="e">
        <f t="shared" si="64"/>
        <v>#REF!</v>
      </c>
      <c r="Z17" s="171" t="e">
        <f t="shared" si="64"/>
        <v>#REF!</v>
      </c>
      <c r="AA17" s="171" t="e">
        <f t="shared" si="64"/>
        <v>#REF!</v>
      </c>
      <c r="AB17" s="171" t="e">
        <f t="shared" si="64"/>
        <v>#REF!</v>
      </c>
      <c r="AC17" s="171" t="e">
        <f t="shared" si="64"/>
        <v>#REF!</v>
      </c>
      <c r="AD17" s="171" t="e">
        <f t="shared" si="64"/>
        <v>#REF!</v>
      </c>
      <c r="AE17" s="171" t="e">
        <f t="shared" si="64"/>
        <v>#REF!</v>
      </c>
      <c r="AF17" s="171" t="e">
        <f t="shared" si="64"/>
        <v>#REF!</v>
      </c>
      <c r="AG17" s="171" t="e">
        <f t="shared" si="64"/>
        <v>#REF!</v>
      </c>
      <c r="AH17" s="171" t="e">
        <f t="shared" si="64"/>
        <v>#REF!</v>
      </c>
      <c r="AI17" s="171" t="e">
        <f t="shared" si="64"/>
        <v>#REF!</v>
      </c>
      <c r="AJ17" s="171" t="e">
        <f t="shared" si="64"/>
        <v>#REF!</v>
      </c>
      <c r="AK17" s="171" t="e">
        <f t="shared" si="64"/>
        <v>#REF!</v>
      </c>
      <c r="AL17" s="171" t="e">
        <f t="shared" si="64"/>
        <v>#REF!</v>
      </c>
      <c r="AM17" s="171" t="e">
        <f t="shared" si="64"/>
        <v>#REF!</v>
      </c>
      <c r="AN17" s="171" t="e">
        <f t="shared" si="64"/>
        <v>#REF!</v>
      </c>
      <c r="AO17" s="171" t="e">
        <f t="shared" si="64"/>
        <v>#REF!</v>
      </c>
      <c r="AP17" s="171" t="e">
        <f t="shared" si="64"/>
        <v>#REF!</v>
      </c>
      <c r="AQ17" s="171" t="e">
        <f t="shared" si="64"/>
        <v>#REF!</v>
      </c>
      <c r="AR17" s="171" t="e">
        <f t="shared" si="64"/>
        <v>#REF!</v>
      </c>
      <c r="AS17" s="171" t="e">
        <f t="shared" si="64"/>
        <v>#REF!</v>
      </c>
      <c r="AT17" s="171" t="e">
        <f t="shared" si="64"/>
        <v>#REF!</v>
      </c>
      <c r="AU17" s="171" t="e">
        <f t="shared" si="64"/>
        <v>#REF!</v>
      </c>
      <c r="AV17" s="171" t="e">
        <f t="shared" si="64"/>
        <v>#REF!</v>
      </c>
      <c r="AW17" s="171" t="e">
        <f t="shared" si="64"/>
        <v>#REF!</v>
      </c>
      <c r="AX17" s="171" t="e">
        <f t="shared" si="64"/>
        <v>#REF!</v>
      </c>
      <c r="AY17" s="171" t="e">
        <f t="shared" si="64"/>
        <v>#REF!</v>
      </c>
      <c r="AZ17" s="171" t="e">
        <f t="shared" si="64"/>
        <v>#REF!</v>
      </c>
      <c r="BA17" s="171" t="e">
        <f t="shared" si="64"/>
        <v>#REF!</v>
      </c>
      <c r="BB17" s="171" t="e">
        <f t="shared" si="64"/>
        <v>#REF!</v>
      </c>
      <c r="BC17" s="171" t="e">
        <f t="shared" si="64"/>
        <v>#REF!</v>
      </c>
      <c r="BD17" s="171" t="e">
        <f t="shared" si="64"/>
        <v>#REF!</v>
      </c>
      <c r="BE17" s="171" t="e">
        <f t="shared" si="64"/>
        <v>#REF!</v>
      </c>
      <c r="BF17" s="171" t="e">
        <f t="shared" si="64"/>
        <v>#REF!</v>
      </c>
      <c r="BG17" s="171" t="e">
        <f t="shared" si="64"/>
        <v>#REF!</v>
      </c>
      <c r="BH17" s="171" t="e">
        <f t="shared" si="64"/>
        <v>#REF!</v>
      </c>
      <c r="BI17" s="171" t="e">
        <f t="shared" si="64"/>
        <v>#REF!</v>
      </c>
      <c r="BJ17" s="171" t="e">
        <f t="shared" si="64"/>
        <v>#REF!</v>
      </c>
      <c r="BK17" s="171" t="e">
        <f t="shared" si="64"/>
        <v>#REF!</v>
      </c>
      <c r="BL17" s="171" t="e">
        <f t="shared" si="64"/>
        <v>#REF!</v>
      </c>
      <c r="BM17" s="171" t="e">
        <f t="shared" si="64"/>
        <v>#REF!</v>
      </c>
      <c r="BN17" s="171" t="e">
        <f t="shared" si="64"/>
        <v>#REF!</v>
      </c>
      <c r="BO17" s="171" t="e">
        <f t="shared" ref="BO17:BW17" si="65">BO3</f>
        <v>#REF!</v>
      </c>
      <c r="BP17" s="171" t="e">
        <f t="shared" si="65"/>
        <v>#REF!</v>
      </c>
      <c r="BQ17" s="171" t="e">
        <f t="shared" si="65"/>
        <v>#REF!</v>
      </c>
      <c r="BR17" s="171" t="e">
        <f t="shared" si="65"/>
        <v>#REF!</v>
      </c>
      <c r="BS17" s="171" t="e">
        <f t="shared" si="65"/>
        <v>#REF!</v>
      </c>
      <c r="BT17" s="171" t="e">
        <f t="shared" si="65"/>
        <v>#REF!</v>
      </c>
      <c r="BU17" s="171" t="e">
        <f t="shared" si="65"/>
        <v>#REF!</v>
      </c>
      <c r="BV17" s="171" t="e">
        <f t="shared" si="65"/>
        <v>#REF!</v>
      </c>
      <c r="BW17" s="171" t="e">
        <f t="shared" si="65"/>
        <v>#REF!</v>
      </c>
    </row>
    <row r="18" spans="1:75" x14ac:dyDescent="0.25">
      <c r="A18" t="s">
        <v>20</v>
      </c>
      <c r="B18" s="171" t="e">
        <f>B4</f>
        <v>#REF!</v>
      </c>
      <c r="C18" s="171" t="e">
        <f t="shared" ref="C18:BN18" si="66">C4</f>
        <v>#REF!</v>
      </c>
      <c r="D18" s="171" t="e">
        <f t="shared" si="66"/>
        <v>#REF!</v>
      </c>
      <c r="E18" s="171" t="e">
        <f t="shared" si="66"/>
        <v>#REF!</v>
      </c>
      <c r="F18" s="171" t="e">
        <f t="shared" si="66"/>
        <v>#REF!</v>
      </c>
      <c r="G18" s="171" t="e">
        <f t="shared" si="66"/>
        <v>#REF!</v>
      </c>
      <c r="H18" s="171" t="e">
        <f t="shared" si="66"/>
        <v>#REF!</v>
      </c>
      <c r="I18" s="171" t="e">
        <f t="shared" si="66"/>
        <v>#REF!</v>
      </c>
      <c r="J18" s="171" t="e">
        <f t="shared" si="66"/>
        <v>#REF!</v>
      </c>
      <c r="K18" s="171" t="e">
        <f t="shared" si="66"/>
        <v>#REF!</v>
      </c>
      <c r="L18" s="171" t="e">
        <f t="shared" si="66"/>
        <v>#REF!</v>
      </c>
      <c r="M18" s="171" t="e">
        <f t="shared" si="66"/>
        <v>#REF!</v>
      </c>
      <c r="N18" s="171" t="e">
        <f t="shared" si="66"/>
        <v>#REF!</v>
      </c>
      <c r="O18" s="171" t="e">
        <f t="shared" si="66"/>
        <v>#REF!</v>
      </c>
      <c r="P18" s="171" t="e">
        <f t="shared" si="66"/>
        <v>#REF!</v>
      </c>
      <c r="Q18" s="171" t="e">
        <f t="shared" si="66"/>
        <v>#REF!</v>
      </c>
      <c r="R18" s="171" t="e">
        <f t="shared" si="66"/>
        <v>#REF!</v>
      </c>
      <c r="S18" s="171" t="e">
        <f t="shared" si="66"/>
        <v>#REF!</v>
      </c>
      <c r="T18" s="171" t="e">
        <f t="shared" si="66"/>
        <v>#REF!</v>
      </c>
      <c r="U18" s="171" t="e">
        <f t="shared" si="66"/>
        <v>#REF!</v>
      </c>
      <c r="V18" s="171" t="e">
        <f t="shared" si="66"/>
        <v>#REF!</v>
      </c>
      <c r="W18" s="171" t="e">
        <f t="shared" si="66"/>
        <v>#REF!</v>
      </c>
      <c r="X18" s="171" t="e">
        <f t="shared" si="66"/>
        <v>#REF!</v>
      </c>
      <c r="Y18" s="171" t="e">
        <f t="shared" si="66"/>
        <v>#REF!</v>
      </c>
      <c r="Z18" s="171" t="e">
        <f t="shared" si="66"/>
        <v>#REF!</v>
      </c>
      <c r="AA18" s="171" t="e">
        <f t="shared" si="66"/>
        <v>#REF!</v>
      </c>
      <c r="AB18" s="171" t="e">
        <f t="shared" si="66"/>
        <v>#REF!</v>
      </c>
      <c r="AC18" s="171" t="e">
        <f t="shared" si="66"/>
        <v>#REF!</v>
      </c>
      <c r="AD18" s="171" t="e">
        <f t="shared" si="66"/>
        <v>#REF!</v>
      </c>
      <c r="AE18" s="171" t="e">
        <f t="shared" si="66"/>
        <v>#REF!</v>
      </c>
      <c r="AF18" s="171" t="e">
        <f t="shared" si="66"/>
        <v>#REF!</v>
      </c>
      <c r="AG18" s="171" t="e">
        <f t="shared" si="66"/>
        <v>#REF!</v>
      </c>
      <c r="AH18" s="171" t="e">
        <f t="shared" si="66"/>
        <v>#REF!</v>
      </c>
      <c r="AI18" s="171" t="e">
        <f t="shared" si="66"/>
        <v>#REF!</v>
      </c>
      <c r="AJ18" s="171" t="e">
        <f t="shared" si="66"/>
        <v>#REF!</v>
      </c>
      <c r="AK18" s="171" t="e">
        <f t="shared" si="66"/>
        <v>#REF!</v>
      </c>
      <c r="AL18" s="171" t="e">
        <f t="shared" si="66"/>
        <v>#REF!</v>
      </c>
      <c r="AM18" s="171" t="e">
        <f t="shared" si="66"/>
        <v>#REF!</v>
      </c>
      <c r="AN18" s="171" t="e">
        <f t="shared" si="66"/>
        <v>#REF!</v>
      </c>
      <c r="AO18" s="171" t="e">
        <f t="shared" si="66"/>
        <v>#REF!</v>
      </c>
      <c r="AP18" s="171" t="e">
        <f t="shared" si="66"/>
        <v>#REF!</v>
      </c>
      <c r="AQ18" s="171" t="e">
        <f t="shared" si="66"/>
        <v>#REF!</v>
      </c>
      <c r="AR18" s="171" t="e">
        <f t="shared" si="66"/>
        <v>#REF!</v>
      </c>
      <c r="AS18" s="171" t="e">
        <f t="shared" si="66"/>
        <v>#REF!</v>
      </c>
      <c r="AT18" s="171" t="e">
        <f t="shared" si="66"/>
        <v>#REF!</v>
      </c>
      <c r="AU18" s="171" t="e">
        <f t="shared" si="66"/>
        <v>#REF!</v>
      </c>
      <c r="AV18" s="171" t="e">
        <f t="shared" si="66"/>
        <v>#REF!</v>
      </c>
      <c r="AW18" s="171" t="e">
        <f t="shared" si="66"/>
        <v>#REF!</v>
      </c>
      <c r="AX18" s="171" t="e">
        <f t="shared" si="66"/>
        <v>#REF!</v>
      </c>
      <c r="AY18" s="171" t="e">
        <f t="shared" si="66"/>
        <v>#REF!</v>
      </c>
      <c r="AZ18" s="171" t="e">
        <f t="shared" si="66"/>
        <v>#REF!</v>
      </c>
      <c r="BA18" s="171" t="e">
        <f t="shared" si="66"/>
        <v>#REF!</v>
      </c>
      <c r="BB18" s="171" t="e">
        <f t="shared" si="66"/>
        <v>#REF!</v>
      </c>
      <c r="BC18" s="171" t="e">
        <f t="shared" si="66"/>
        <v>#REF!</v>
      </c>
      <c r="BD18" s="171" t="e">
        <f t="shared" si="66"/>
        <v>#REF!</v>
      </c>
      <c r="BE18" s="171" t="e">
        <f t="shared" si="66"/>
        <v>#REF!</v>
      </c>
      <c r="BF18" s="171" t="e">
        <f t="shared" si="66"/>
        <v>#REF!</v>
      </c>
      <c r="BG18" s="171" t="e">
        <f t="shared" si="66"/>
        <v>#REF!</v>
      </c>
      <c r="BH18" s="171" t="e">
        <f t="shared" si="66"/>
        <v>#REF!</v>
      </c>
      <c r="BI18" s="171" t="e">
        <f t="shared" si="66"/>
        <v>#REF!</v>
      </c>
      <c r="BJ18" s="171" t="e">
        <f t="shared" si="66"/>
        <v>#REF!</v>
      </c>
      <c r="BK18" s="171" t="e">
        <f t="shared" si="66"/>
        <v>#REF!</v>
      </c>
      <c r="BL18" s="171" t="e">
        <f t="shared" si="66"/>
        <v>#REF!</v>
      </c>
      <c r="BM18" s="171" t="e">
        <f t="shared" si="66"/>
        <v>#REF!</v>
      </c>
      <c r="BN18" s="171" t="e">
        <f t="shared" si="66"/>
        <v>#REF!</v>
      </c>
      <c r="BO18" s="171" t="e">
        <f t="shared" ref="BO18:BW18" si="67">BO4</f>
        <v>#REF!</v>
      </c>
      <c r="BP18" s="171" t="e">
        <f t="shared" si="67"/>
        <v>#REF!</v>
      </c>
      <c r="BQ18" s="171" t="e">
        <f t="shared" si="67"/>
        <v>#REF!</v>
      </c>
      <c r="BR18" s="171" t="e">
        <f t="shared" si="67"/>
        <v>#REF!</v>
      </c>
      <c r="BS18" s="171" t="e">
        <f t="shared" si="67"/>
        <v>#REF!</v>
      </c>
      <c r="BT18" s="171" t="e">
        <f t="shared" si="67"/>
        <v>#REF!</v>
      </c>
      <c r="BU18" s="171" t="e">
        <f t="shared" si="67"/>
        <v>#REF!</v>
      </c>
      <c r="BV18" s="171" t="e">
        <f t="shared" si="67"/>
        <v>#REF!</v>
      </c>
      <c r="BW18" s="171" t="e">
        <f t="shared" si="67"/>
        <v>#REF!</v>
      </c>
    </row>
    <row r="19" spans="1:75" s="174" customFormat="1" x14ac:dyDescent="0.25">
      <c r="A19" s="174" t="s">
        <v>21</v>
      </c>
      <c r="B19" s="174" t="e">
        <f>B5</f>
        <v>#REF!</v>
      </c>
      <c r="C19" s="174" t="e">
        <f t="shared" ref="C19:BN19" si="68">C5</f>
        <v>#REF!</v>
      </c>
      <c r="D19" s="174" t="e">
        <f t="shared" si="68"/>
        <v>#REF!</v>
      </c>
      <c r="E19" s="174" t="e">
        <f t="shared" si="68"/>
        <v>#REF!</v>
      </c>
      <c r="F19" s="174" t="e">
        <f t="shared" si="68"/>
        <v>#REF!</v>
      </c>
      <c r="G19" s="174" t="e">
        <f t="shared" si="68"/>
        <v>#REF!</v>
      </c>
      <c r="H19" s="174" t="e">
        <f t="shared" si="68"/>
        <v>#REF!</v>
      </c>
      <c r="I19" s="174" t="e">
        <f t="shared" si="68"/>
        <v>#REF!</v>
      </c>
      <c r="J19" s="174" t="e">
        <f t="shared" si="68"/>
        <v>#REF!</v>
      </c>
      <c r="K19" s="174" t="e">
        <f t="shared" si="68"/>
        <v>#REF!</v>
      </c>
      <c r="L19" s="174" t="e">
        <f t="shared" si="68"/>
        <v>#REF!</v>
      </c>
      <c r="M19" s="174" t="e">
        <f t="shared" si="68"/>
        <v>#REF!</v>
      </c>
      <c r="N19" s="174" t="e">
        <f t="shared" si="68"/>
        <v>#REF!</v>
      </c>
      <c r="O19" s="174" t="e">
        <f t="shared" si="68"/>
        <v>#REF!</v>
      </c>
      <c r="P19" s="174" t="e">
        <f t="shared" si="68"/>
        <v>#REF!</v>
      </c>
      <c r="Q19" s="174" t="e">
        <f t="shared" si="68"/>
        <v>#REF!</v>
      </c>
      <c r="R19" s="174" t="e">
        <f t="shared" si="68"/>
        <v>#REF!</v>
      </c>
      <c r="S19" s="174" t="e">
        <f t="shared" si="68"/>
        <v>#REF!</v>
      </c>
      <c r="T19" s="174" t="e">
        <f t="shared" si="68"/>
        <v>#REF!</v>
      </c>
      <c r="U19" s="174" t="e">
        <f t="shared" si="68"/>
        <v>#REF!</v>
      </c>
      <c r="V19" s="174" t="e">
        <f t="shared" si="68"/>
        <v>#REF!</v>
      </c>
      <c r="W19" s="174" t="e">
        <f t="shared" si="68"/>
        <v>#REF!</v>
      </c>
      <c r="X19" s="174" t="e">
        <f t="shared" si="68"/>
        <v>#REF!</v>
      </c>
      <c r="Y19" s="174" t="e">
        <f t="shared" si="68"/>
        <v>#REF!</v>
      </c>
      <c r="Z19" s="174" t="e">
        <f t="shared" si="68"/>
        <v>#REF!</v>
      </c>
      <c r="AA19" s="174" t="e">
        <f t="shared" si="68"/>
        <v>#REF!</v>
      </c>
      <c r="AB19" s="174" t="e">
        <f t="shared" si="68"/>
        <v>#REF!</v>
      </c>
      <c r="AC19" s="174" t="e">
        <f t="shared" si="68"/>
        <v>#REF!</v>
      </c>
      <c r="AD19" s="174" t="e">
        <f t="shared" si="68"/>
        <v>#REF!</v>
      </c>
      <c r="AE19" s="174" t="e">
        <f t="shared" si="68"/>
        <v>#REF!</v>
      </c>
      <c r="AF19" s="174" t="e">
        <f t="shared" si="68"/>
        <v>#REF!</v>
      </c>
      <c r="AG19" s="174" t="e">
        <f t="shared" si="68"/>
        <v>#REF!</v>
      </c>
      <c r="AH19" s="174" t="e">
        <f t="shared" si="68"/>
        <v>#REF!</v>
      </c>
      <c r="AI19" s="174" t="e">
        <f t="shared" si="68"/>
        <v>#REF!</v>
      </c>
      <c r="AJ19" s="174" t="e">
        <f t="shared" si="68"/>
        <v>#REF!</v>
      </c>
      <c r="AK19" s="174" t="e">
        <f t="shared" si="68"/>
        <v>#REF!</v>
      </c>
      <c r="AL19" s="174" t="e">
        <f t="shared" si="68"/>
        <v>#REF!</v>
      </c>
      <c r="AM19" s="174" t="e">
        <f t="shared" si="68"/>
        <v>#REF!</v>
      </c>
      <c r="AN19" s="174" t="e">
        <f t="shared" si="68"/>
        <v>#REF!</v>
      </c>
      <c r="AO19" s="174" t="e">
        <f t="shared" si="68"/>
        <v>#REF!</v>
      </c>
      <c r="AP19" s="174" t="e">
        <f t="shared" si="68"/>
        <v>#REF!</v>
      </c>
      <c r="AQ19" s="174" t="e">
        <f t="shared" si="68"/>
        <v>#REF!</v>
      </c>
      <c r="AR19" s="174" t="e">
        <f t="shared" si="68"/>
        <v>#REF!</v>
      </c>
      <c r="AS19" s="174" t="e">
        <f t="shared" si="68"/>
        <v>#REF!</v>
      </c>
      <c r="AT19" s="174" t="e">
        <f t="shared" si="68"/>
        <v>#REF!</v>
      </c>
      <c r="AU19" s="174" t="e">
        <f t="shared" si="68"/>
        <v>#REF!</v>
      </c>
      <c r="AV19" s="174" t="e">
        <f t="shared" si="68"/>
        <v>#REF!</v>
      </c>
      <c r="AW19" s="174" t="e">
        <f t="shared" si="68"/>
        <v>#REF!</v>
      </c>
      <c r="AX19" s="174" t="e">
        <f t="shared" si="68"/>
        <v>#REF!</v>
      </c>
      <c r="AY19" s="174" t="e">
        <f t="shared" si="68"/>
        <v>#REF!</v>
      </c>
      <c r="AZ19" s="174" t="e">
        <f t="shared" si="68"/>
        <v>#REF!</v>
      </c>
      <c r="BA19" s="174" t="e">
        <f t="shared" si="68"/>
        <v>#REF!</v>
      </c>
      <c r="BB19" s="174" t="e">
        <f t="shared" si="68"/>
        <v>#REF!</v>
      </c>
      <c r="BC19" s="174" t="e">
        <f t="shared" si="68"/>
        <v>#REF!</v>
      </c>
      <c r="BD19" s="174" t="e">
        <f t="shared" si="68"/>
        <v>#REF!</v>
      </c>
      <c r="BE19" s="174" t="e">
        <f t="shared" si="68"/>
        <v>#REF!</v>
      </c>
      <c r="BF19" s="174" t="e">
        <f t="shared" si="68"/>
        <v>#REF!</v>
      </c>
      <c r="BG19" s="174" t="e">
        <f t="shared" si="68"/>
        <v>#REF!</v>
      </c>
      <c r="BH19" s="174" t="e">
        <f t="shared" si="68"/>
        <v>#REF!</v>
      </c>
      <c r="BI19" s="174" t="e">
        <f t="shared" si="68"/>
        <v>#REF!</v>
      </c>
      <c r="BJ19" s="174" t="e">
        <f t="shared" si="68"/>
        <v>#REF!</v>
      </c>
      <c r="BK19" s="174" t="e">
        <f t="shared" si="68"/>
        <v>#REF!</v>
      </c>
      <c r="BL19" s="174" t="e">
        <f t="shared" si="68"/>
        <v>#REF!</v>
      </c>
      <c r="BM19" s="174" t="e">
        <f t="shared" si="68"/>
        <v>#REF!</v>
      </c>
      <c r="BN19" s="174" t="e">
        <f t="shared" si="68"/>
        <v>#REF!</v>
      </c>
      <c r="BO19" s="174" t="e">
        <f t="shared" ref="BO19:BW19" si="69">BO5</f>
        <v>#REF!</v>
      </c>
      <c r="BP19" s="174" t="e">
        <f t="shared" si="69"/>
        <v>#REF!</v>
      </c>
      <c r="BQ19" s="174" t="e">
        <f t="shared" si="69"/>
        <v>#REF!</v>
      </c>
      <c r="BR19" s="174" t="e">
        <f t="shared" si="69"/>
        <v>#REF!</v>
      </c>
      <c r="BS19" s="174" t="e">
        <f t="shared" si="69"/>
        <v>#REF!</v>
      </c>
      <c r="BT19" s="174" t="e">
        <f t="shared" si="69"/>
        <v>#REF!</v>
      </c>
      <c r="BU19" s="174" t="e">
        <f t="shared" si="69"/>
        <v>#REF!</v>
      </c>
      <c r="BV19" s="174" t="e">
        <f t="shared" si="69"/>
        <v>#REF!</v>
      </c>
      <c r="BW19" s="174" t="e">
        <f t="shared" si="69"/>
        <v>#REF!</v>
      </c>
    </row>
    <row r="20" spans="1:75" x14ac:dyDescent="0.25">
      <c r="A20" t="s">
        <v>22</v>
      </c>
      <c r="B20" s="171" t="e">
        <f>B6</f>
        <v>#REF!</v>
      </c>
      <c r="C20" s="171" t="e">
        <f t="shared" ref="C20:BN20" si="70">C6</f>
        <v>#REF!</v>
      </c>
      <c r="D20" s="171" t="e">
        <f t="shared" si="70"/>
        <v>#REF!</v>
      </c>
      <c r="E20" s="171" t="e">
        <f t="shared" si="70"/>
        <v>#REF!</v>
      </c>
      <c r="F20" s="171" t="e">
        <f t="shared" si="70"/>
        <v>#REF!</v>
      </c>
      <c r="G20" s="171" t="e">
        <f t="shared" si="70"/>
        <v>#REF!</v>
      </c>
      <c r="H20" s="171" t="e">
        <f t="shared" si="70"/>
        <v>#REF!</v>
      </c>
      <c r="I20" s="171" t="e">
        <f t="shared" si="70"/>
        <v>#REF!</v>
      </c>
      <c r="J20" s="171" t="e">
        <f t="shared" si="70"/>
        <v>#REF!</v>
      </c>
      <c r="K20" s="171" t="e">
        <f t="shared" si="70"/>
        <v>#REF!</v>
      </c>
      <c r="L20" s="171" t="e">
        <f t="shared" si="70"/>
        <v>#REF!</v>
      </c>
      <c r="M20" s="171" t="e">
        <f t="shared" si="70"/>
        <v>#REF!</v>
      </c>
      <c r="N20" s="171" t="e">
        <f t="shared" si="70"/>
        <v>#REF!</v>
      </c>
      <c r="O20" s="171" t="e">
        <f t="shared" si="70"/>
        <v>#REF!</v>
      </c>
      <c r="P20" s="171" t="e">
        <f t="shared" si="70"/>
        <v>#REF!</v>
      </c>
      <c r="Q20" s="171" t="e">
        <f t="shared" si="70"/>
        <v>#REF!</v>
      </c>
      <c r="R20" s="171" t="e">
        <f t="shared" si="70"/>
        <v>#REF!</v>
      </c>
      <c r="S20" s="171" t="e">
        <f t="shared" si="70"/>
        <v>#REF!</v>
      </c>
      <c r="T20" s="171" t="e">
        <f t="shared" si="70"/>
        <v>#REF!</v>
      </c>
      <c r="U20" s="171" t="e">
        <f t="shared" si="70"/>
        <v>#REF!</v>
      </c>
      <c r="V20" s="171" t="e">
        <f t="shared" si="70"/>
        <v>#REF!</v>
      </c>
      <c r="W20" s="171" t="e">
        <f t="shared" si="70"/>
        <v>#REF!</v>
      </c>
      <c r="X20" s="171" t="e">
        <f t="shared" si="70"/>
        <v>#REF!</v>
      </c>
      <c r="Y20" s="171" t="e">
        <f t="shared" si="70"/>
        <v>#REF!</v>
      </c>
      <c r="Z20" s="171" t="e">
        <f t="shared" si="70"/>
        <v>#REF!</v>
      </c>
      <c r="AA20" s="171" t="e">
        <f t="shared" si="70"/>
        <v>#REF!</v>
      </c>
      <c r="AB20" s="171" t="e">
        <f t="shared" si="70"/>
        <v>#REF!</v>
      </c>
      <c r="AC20" s="171" t="e">
        <f t="shared" si="70"/>
        <v>#REF!</v>
      </c>
      <c r="AD20" s="171" t="e">
        <f t="shared" si="70"/>
        <v>#REF!</v>
      </c>
      <c r="AE20" s="171" t="e">
        <f t="shared" si="70"/>
        <v>#REF!</v>
      </c>
      <c r="AF20" s="171" t="e">
        <f t="shared" si="70"/>
        <v>#REF!</v>
      </c>
      <c r="AG20" s="171" t="e">
        <f t="shared" si="70"/>
        <v>#REF!</v>
      </c>
      <c r="AH20" s="171" t="e">
        <f t="shared" si="70"/>
        <v>#REF!</v>
      </c>
      <c r="AI20" s="171" t="e">
        <f t="shared" si="70"/>
        <v>#REF!</v>
      </c>
      <c r="AJ20" s="171" t="e">
        <f t="shared" si="70"/>
        <v>#REF!</v>
      </c>
      <c r="AK20" s="171" t="e">
        <f t="shared" si="70"/>
        <v>#REF!</v>
      </c>
      <c r="AL20" s="171" t="e">
        <f t="shared" si="70"/>
        <v>#REF!</v>
      </c>
      <c r="AM20" s="171" t="e">
        <f t="shared" si="70"/>
        <v>#REF!</v>
      </c>
      <c r="AN20" s="171" t="e">
        <f t="shared" si="70"/>
        <v>#REF!</v>
      </c>
      <c r="AO20" s="171" t="e">
        <f t="shared" si="70"/>
        <v>#REF!</v>
      </c>
      <c r="AP20" s="171" t="e">
        <f t="shared" si="70"/>
        <v>#REF!</v>
      </c>
      <c r="AQ20" s="171" t="e">
        <f t="shared" si="70"/>
        <v>#REF!</v>
      </c>
      <c r="AR20" s="171" t="e">
        <f t="shared" si="70"/>
        <v>#REF!</v>
      </c>
      <c r="AS20" s="171" t="e">
        <f t="shared" si="70"/>
        <v>#REF!</v>
      </c>
      <c r="AT20" s="171" t="e">
        <f t="shared" si="70"/>
        <v>#REF!</v>
      </c>
      <c r="AU20" s="171" t="e">
        <f t="shared" si="70"/>
        <v>#REF!</v>
      </c>
      <c r="AV20" s="171" t="e">
        <f t="shared" si="70"/>
        <v>#REF!</v>
      </c>
      <c r="AW20" s="171" t="e">
        <f t="shared" si="70"/>
        <v>#REF!</v>
      </c>
      <c r="AX20" s="171" t="e">
        <f t="shared" si="70"/>
        <v>#REF!</v>
      </c>
      <c r="AY20" s="171" t="e">
        <f t="shared" si="70"/>
        <v>#REF!</v>
      </c>
      <c r="AZ20" s="171" t="e">
        <f t="shared" si="70"/>
        <v>#REF!</v>
      </c>
      <c r="BA20" s="171" t="e">
        <f t="shared" si="70"/>
        <v>#REF!</v>
      </c>
      <c r="BB20" s="171" t="e">
        <f t="shared" si="70"/>
        <v>#REF!</v>
      </c>
      <c r="BC20" s="171" t="e">
        <f t="shared" si="70"/>
        <v>#REF!</v>
      </c>
      <c r="BD20" s="171" t="e">
        <f t="shared" si="70"/>
        <v>#REF!</v>
      </c>
      <c r="BE20" s="171" t="e">
        <f t="shared" si="70"/>
        <v>#REF!</v>
      </c>
      <c r="BF20" s="171" t="e">
        <f t="shared" si="70"/>
        <v>#REF!</v>
      </c>
      <c r="BG20" s="171" t="e">
        <f t="shared" si="70"/>
        <v>#REF!</v>
      </c>
      <c r="BH20" s="171" t="e">
        <f t="shared" si="70"/>
        <v>#REF!</v>
      </c>
      <c r="BI20" s="171" t="e">
        <f t="shared" si="70"/>
        <v>#REF!</v>
      </c>
      <c r="BJ20" s="171" t="e">
        <f t="shared" si="70"/>
        <v>#REF!</v>
      </c>
      <c r="BK20" s="171" t="e">
        <f t="shared" si="70"/>
        <v>#REF!</v>
      </c>
      <c r="BL20" s="171" t="e">
        <f t="shared" si="70"/>
        <v>#REF!</v>
      </c>
      <c r="BM20" s="171" t="e">
        <f t="shared" si="70"/>
        <v>#REF!</v>
      </c>
      <c r="BN20" s="171" t="e">
        <f t="shared" si="70"/>
        <v>#REF!</v>
      </c>
      <c r="BO20" s="171" t="e">
        <f t="shared" ref="BO20:BW20" si="71">BO6</f>
        <v>#REF!</v>
      </c>
      <c r="BP20" s="171" t="e">
        <f t="shared" si="71"/>
        <v>#REF!</v>
      </c>
      <c r="BQ20" s="171" t="e">
        <f t="shared" si="71"/>
        <v>#REF!</v>
      </c>
      <c r="BR20" s="171" t="e">
        <f t="shared" si="71"/>
        <v>#REF!</v>
      </c>
      <c r="BS20" s="171" t="e">
        <f t="shared" si="71"/>
        <v>#REF!</v>
      </c>
      <c r="BT20" s="171" t="e">
        <f t="shared" si="71"/>
        <v>#REF!</v>
      </c>
      <c r="BU20" s="171" t="e">
        <f t="shared" si="71"/>
        <v>#REF!</v>
      </c>
      <c r="BV20" s="171" t="e">
        <f t="shared" si="71"/>
        <v>#REF!</v>
      </c>
      <c r="BW20" s="171" t="e">
        <f t="shared" si="71"/>
        <v>#REF!</v>
      </c>
    </row>
  </sheetData>
  <phoneticPr fontId="21"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0"/>
    <pageSetUpPr fitToPage="1"/>
  </sheetPr>
  <dimension ref="A1:Z91"/>
  <sheetViews>
    <sheetView showGridLines="0" showWhiteSpace="0" topLeftCell="D50" zoomScale="85" zoomScaleNormal="85" workbookViewId="0">
      <selection sqref="A1:Z91"/>
    </sheetView>
  </sheetViews>
  <sheetFormatPr defaultRowHeight="15" x14ac:dyDescent="0.25"/>
  <cols>
    <col min="1" max="1" width="18.7109375" style="1" bestFit="1" customWidth="1"/>
    <col min="2" max="2" width="5.140625" style="1" bestFit="1" customWidth="1"/>
    <col min="3" max="3" width="38" customWidth="1"/>
    <col min="4" max="4" width="14.28515625" bestFit="1" customWidth="1"/>
    <col min="5" max="5" width="8.5703125" bestFit="1" customWidth="1"/>
    <col min="6" max="6" width="7.85546875" bestFit="1" customWidth="1"/>
    <col min="7" max="7" width="10" bestFit="1" customWidth="1"/>
    <col min="8" max="8" width="10.42578125" bestFit="1" customWidth="1"/>
    <col min="10" max="10" width="17.7109375" customWidth="1"/>
    <col min="11" max="11" width="5.140625" customWidth="1"/>
    <col min="12" max="12" width="15.140625" bestFit="1" customWidth="1"/>
    <col min="13" max="13" width="19.5703125" bestFit="1" customWidth="1"/>
    <col min="14" max="14" width="5.85546875" bestFit="1" customWidth="1"/>
    <col min="15" max="15" width="7.85546875" customWidth="1"/>
    <col min="17" max="17" width="10.42578125" bestFit="1" customWidth="1"/>
    <col min="19" max="19" width="13.85546875" bestFit="1" customWidth="1"/>
    <col min="21" max="21" width="23.140625" bestFit="1" customWidth="1"/>
    <col min="22" max="22" width="18" bestFit="1" customWidth="1"/>
    <col min="23" max="23" width="5.85546875" bestFit="1" customWidth="1"/>
    <col min="26" max="26" width="10.42578125" bestFit="1" customWidth="1"/>
  </cols>
  <sheetData>
    <row r="1" spans="1:26" ht="19.899999999999999" customHeight="1" x14ac:dyDescent="0.3">
      <c r="A1" s="632"/>
      <c r="B1" s="632"/>
      <c r="C1" s="632"/>
      <c r="D1" s="632"/>
      <c r="E1" s="632"/>
      <c r="F1" s="632"/>
      <c r="G1" s="632"/>
      <c r="H1" s="632"/>
      <c r="I1" s="76"/>
      <c r="J1" s="633"/>
      <c r="K1" s="633"/>
      <c r="L1" s="633"/>
      <c r="M1" s="633"/>
      <c r="N1" s="633"/>
      <c r="O1" s="633"/>
      <c r="P1" s="633"/>
      <c r="Q1" s="633"/>
      <c r="R1" s="75"/>
      <c r="S1" s="633"/>
      <c r="T1" s="633"/>
      <c r="U1" s="633"/>
      <c r="V1" s="633"/>
      <c r="W1" s="633"/>
      <c r="X1" s="633"/>
      <c r="Y1" s="633"/>
      <c r="Z1" s="633"/>
    </row>
    <row r="2" spans="1:26" ht="19.899999999999999" customHeight="1" x14ac:dyDescent="0.25">
      <c r="A2" s="633"/>
      <c r="B2" s="633"/>
      <c r="C2" s="633"/>
      <c r="D2" s="633"/>
      <c r="E2" s="633"/>
      <c r="F2" s="633"/>
      <c r="G2" s="633"/>
      <c r="H2" s="633"/>
      <c r="I2" s="77"/>
      <c r="J2" s="633"/>
      <c r="K2" s="633"/>
      <c r="L2" s="633"/>
      <c r="M2" s="633"/>
      <c r="N2" s="633"/>
      <c r="O2" s="633"/>
      <c r="P2" s="633"/>
      <c r="Q2" s="633"/>
      <c r="R2" s="75"/>
      <c r="S2" s="633"/>
      <c r="T2" s="633"/>
      <c r="U2" s="633"/>
      <c r="V2" s="633"/>
      <c r="W2" s="633"/>
      <c r="X2" s="633"/>
      <c r="Y2" s="633"/>
      <c r="Z2" s="633"/>
    </row>
    <row r="3" spans="1:26" ht="19.899999999999999" customHeight="1" x14ac:dyDescent="0.3">
      <c r="A3" s="634" t="s">
        <v>123</v>
      </c>
      <c r="B3" s="634"/>
      <c r="C3" s="634"/>
      <c r="D3" s="634"/>
      <c r="E3" s="634"/>
      <c r="F3" s="634"/>
      <c r="G3" s="634"/>
      <c r="H3" s="634"/>
      <c r="I3" s="77"/>
      <c r="J3" s="633"/>
      <c r="K3" s="633"/>
      <c r="L3" s="633"/>
      <c r="M3" s="633"/>
      <c r="N3" s="633"/>
      <c r="O3" s="633"/>
      <c r="P3" s="633"/>
      <c r="Q3" s="633"/>
      <c r="R3" s="75"/>
      <c r="S3" s="633"/>
      <c r="T3" s="633"/>
      <c r="U3" s="633"/>
      <c r="V3" s="633"/>
      <c r="W3" s="633"/>
      <c r="X3" s="633"/>
      <c r="Y3" s="633"/>
      <c r="Z3" s="633"/>
    </row>
    <row r="4" spans="1:26" ht="24.95" customHeight="1" x14ac:dyDescent="0.35">
      <c r="A4" s="579" t="s">
        <v>249</v>
      </c>
      <c r="B4" s="627"/>
      <c r="C4" s="627"/>
      <c r="D4" s="627"/>
      <c r="E4" s="627"/>
      <c r="F4" s="627"/>
      <c r="G4" s="627"/>
      <c r="H4" s="628"/>
      <c r="I4" s="78"/>
      <c r="J4" s="578" t="s">
        <v>244</v>
      </c>
      <c r="K4" s="578"/>
      <c r="L4" s="578"/>
      <c r="M4" s="578"/>
      <c r="N4" s="578"/>
      <c r="O4" s="578"/>
      <c r="P4" s="578"/>
      <c r="Q4" s="578"/>
      <c r="R4" s="78"/>
      <c r="S4" s="578" t="s">
        <v>247</v>
      </c>
      <c r="T4" s="578"/>
      <c r="U4" s="578"/>
      <c r="V4" s="578"/>
      <c r="W4" s="578"/>
      <c r="X4" s="578"/>
      <c r="Y4" s="578"/>
      <c r="Z4" s="578"/>
    </row>
    <row r="5" spans="1:26" ht="16.5" thickBot="1" x14ac:dyDescent="0.3">
      <c r="A5" s="27" t="s">
        <v>0</v>
      </c>
      <c r="B5" s="28" t="s">
        <v>1</v>
      </c>
      <c r="C5" s="28" t="s">
        <v>2</v>
      </c>
      <c r="D5" s="28" t="s">
        <v>24</v>
      </c>
      <c r="E5" s="9" t="s">
        <v>7</v>
      </c>
      <c r="F5" s="45" t="s">
        <v>9</v>
      </c>
      <c r="G5" s="7" t="s">
        <v>133</v>
      </c>
      <c r="H5" s="7" t="s">
        <v>134</v>
      </c>
      <c r="I5" s="75"/>
      <c r="J5" s="6" t="s">
        <v>0</v>
      </c>
      <c r="K5" s="7" t="s">
        <v>1</v>
      </c>
      <c r="L5" s="7" t="s">
        <v>2</v>
      </c>
      <c r="M5" s="7" t="s">
        <v>24</v>
      </c>
      <c r="N5" s="80" t="s">
        <v>7</v>
      </c>
      <c r="O5" s="81" t="s">
        <v>9</v>
      </c>
      <c r="P5" s="7" t="s">
        <v>133</v>
      </c>
      <c r="Q5" s="46" t="s">
        <v>134</v>
      </c>
      <c r="R5" s="75"/>
      <c r="S5" s="27" t="s">
        <v>0</v>
      </c>
      <c r="T5" s="28" t="s">
        <v>1</v>
      </c>
      <c r="U5" s="28" t="s">
        <v>2</v>
      </c>
      <c r="V5" s="28" t="s">
        <v>24</v>
      </c>
      <c r="W5" s="9" t="s">
        <v>7</v>
      </c>
      <c r="X5" s="45" t="s">
        <v>9</v>
      </c>
      <c r="Y5" s="7" t="s">
        <v>133</v>
      </c>
      <c r="Z5" s="46" t="s">
        <v>134</v>
      </c>
    </row>
    <row r="6" spans="1:26" x14ac:dyDescent="0.25">
      <c r="A6" s="10"/>
      <c r="B6" s="11"/>
      <c r="C6" s="10"/>
      <c r="D6" s="12"/>
      <c r="E6" s="22"/>
      <c r="F6" s="26"/>
      <c r="G6" s="59"/>
      <c r="H6" s="16"/>
      <c r="I6" s="75"/>
      <c r="J6" s="10" t="s">
        <v>25</v>
      </c>
      <c r="K6" s="11">
        <v>1</v>
      </c>
      <c r="L6" s="10" t="s">
        <v>33</v>
      </c>
      <c r="M6" s="12" t="s">
        <v>344</v>
      </c>
      <c r="N6" s="79"/>
      <c r="O6" s="16"/>
      <c r="P6" s="56"/>
      <c r="Q6" s="32"/>
      <c r="R6" s="75"/>
      <c r="S6" s="10" t="s">
        <v>28</v>
      </c>
      <c r="T6" s="11">
        <v>1</v>
      </c>
      <c r="U6" s="10" t="s">
        <v>36</v>
      </c>
      <c r="V6" s="12" t="s">
        <v>342</v>
      </c>
      <c r="W6" s="22"/>
      <c r="X6" s="26"/>
      <c r="Y6" s="57"/>
      <c r="Z6" s="23"/>
    </row>
    <row r="7" spans="1:26" x14ac:dyDescent="0.25">
      <c r="A7" s="10" t="s">
        <v>87</v>
      </c>
      <c r="B7" s="11">
        <v>1</v>
      </c>
      <c r="C7" s="34" t="s">
        <v>90</v>
      </c>
      <c r="D7" s="12" t="s">
        <v>346</v>
      </c>
      <c r="E7" s="22"/>
      <c r="F7" s="26"/>
      <c r="G7" s="60"/>
      <c r="H7" s="13"/>
      <c r="I7" s="75"/>
      <c r="J7" s="14" t="s">
        <v>25</v>
      </c>
      <c r="K7" s="12">
        <v>1</v>
      </c>
      <c r="L7" s="14" t="s">
        <v>26</v>
      </c>
      <c r="M7" s="12" t="s">
        <v>344</v>
      </c>
      <c r="N7" s="24"/>
      <c r="O7" s="13"/>
      <c r="P7" s="57"/>
      <c r="Q7" s="23"/>
      <c r="R7" s="75"/>
      <c r="S7" s="10" t="s">
        <v>28</v>
      </c>
      <c r="T7" s="11">
        <v>1</v>
      </c>
      <c r="U7" s="10" t="s">
        <v>34</v>
      </c>
      <c r="V7" s="12" t="s">
        <v>342</v>
      </c>
      <c r="W7" s="22"/>
      <c r="X7" s="26"/>
      <c r="Y7" s="57"/>
      <c r="Z7" s="23"/>
    </row>
    <row r="8" spans="1:26" x14ac:dyDescent="0.25">
      <c r="A8" s="10" t="s">
        <v>81</v>
      </c>
      <c r="B8" s="11">
        <v>1</v>
      </c>
      <c r="C8" s="34" t="s">
        <v>228</v>
      </c>
      <c r="D8" s="12"/>
      <c r="E8" s="22"/>
      <c r="F8" s="26"/>
      <c r="G8" s="60"/>
      <c r="H8" s="13"/>
      <c r="I8" s="75"/>
      <c r="J8" s="14" t="s">
        <v>25</v>
      </c>
      <c r="K8" s="12">
        <v>1</v>
      </c>
      <c r="L8" s="14" t="s">
        <v>30</v>
      </c>
      <c r="M8" s="12" t="s">
        <v>344</v>
      </c>
      <c r="N8" s="24"/>
      <c r="O8" s="13"/>
      <c r="P8" s="57"/>
      <c r="Q8" s="23"/>
      <c r="R8" s="75"/>
      <c r="S8" s="10" t="s">
        <v>28</v>
      </c>
      <c r="T8" s="11">
        <v>1</v>
      </c>
      <c r="U8" s="10" t="s">
        <v>35</v>
      </c>
      <c r="V8" s="12" t="s">
        <v>342</v>
      </c>
      <c r="W8" s="22"/>
      <c r="X8" s="26"/>
      <c r="Y8" s="57"/>
      <c r="Z8" s="23"/>
    </row>
    <row r="9" spans="1:26" x14ac:dyDescent="0.25">
      <c r="A9" s="10" t="s">
        <v>82</v>
      </c>
      <c r="B9" s="11">
        <v>1</v>
      </c>
      <c r="C9" s="34" t="s">
        <v>90</v>
      </c>
      <c r="D9" s="12" t="s">
        <v>346</v>
      </c>
      <c r="E9" s="22"/>
      <c r="F9" s="26"/>
      <c r="G9" s="60"/>
      <c r="H9" s="13"/>
      <c r="I9" s="75"/>
      <c r="J9" s="14" t="s">
        <v>25</v>
      </c>
      <c r="K9" s="12">
        <v>1</v>
      </c>
      <c r="L9" s="14" t="s">
        <v>39</v>
      </c>
      <c r="M9" s="12" t="s">
        <v>344</v>
      </c>
      <c r="N9" s="24"/>
      <c r="O9" s="24"/>
      <c r="P9" s="57"/>
      <c r="Q9" s="23"/>
      <c r="R9" s="75"/>
      <c r="S9" s="10" t="s">
        <v>28</v>
      </c>
      <c r="T9" s="11">
        <v>1</v>
      </c>
      <c r="U9" s="10" t="s">
        <v>40</v>
      </c>
      <c r="V9" s="12" t="s">
        <v>342</v>
      </c>
      <c r="W9" s="21"/>
      <c r="X9" s="22"/>
      <c r="Y9" s="57"/>
      <c r="Z9" s="23"/>
    </row>
    <row r="10" spans="1:26" x14ac:dyDescent="0.25">
      <c r="A10" s="10"/>
      <c r="B10" s="11">
        <v>1</v>
      </c>
      <c r="C10" s="34" t="s">
        <v>90</v>
      </c>
      <c r="D10" s="12" t="s">
        <v>346</v>
      </c>
      <c r="E10" s="22"/>
      <c r="F10" s="26"/>
      <c r="G10" s="60"/>
      <c r="H10" s="13"/>
      <c r="I10" s="75"/>
      <c r="J10" s="14" t="s">
        <v>25</v>
      </c>
      <c r="K10" s="12">
        <v>1</v>
      </c>
      <c r="L10" s="14" t="s">
        <v>42</v>
      </c>
      <c r="M10" s="12" t="s">
        <v>344</v>
      </c>
      <c r="N10" s="24"/>
      <c r="O10" s="24"/>
      <c r="P10" s="57"/>
      <c r="Q10" s="23"/>
      <c r="R10" s="75"/>
      <c r="S10" s="10" t="s">
        <v>28</v>
      </c>
      <c r="T10" s="11">
        <v>1</v>
      </c>
      <c r="U10" s="10" t="s">
        <v>43</v>
      </c>
      <c r="V10" s="12" t="s">
        <v>342</v>
      </c>
      <c r="W10" s="21"/>
      <c r="X10" s="22"/>
      <c r="Y10" s="57"/>
      <c r="Z10" s="23"/>
    </row>
    <row r="11" spans="1:26" x14ac:dyDescent="0.25">
      <c r="A11" s="10" t="s">
        <v>83</v>
      </c>
      <c r="B11" s="11">
        <v>1</v>
      </c>
      <c r="C11" s="34" t="s">
        <v>90</v>
      </c>
      <c r="D11" s="12" t="s">
        <v>346</v>
      </c>
      <c r="E11" s="22"/>
      <c r="F11" s="26"/>
      <c r="G11" s="60"/>
      <c r="H11" s="13"/>
      <c r="I11" s="75"/>
      <c r="J11" s="14" t="s">
        <v>25</v>
      </c>
      <c r="K11" s="12">
        <v>1</v>
      </c>
      <c r="L11" s="14" t="s">
        <v>44</v>
      </c>
      <c r="M11" s="12" t="s">
        <v>344</v>
      </c>
      <c r="N11" s="24"/>
      <c r="O11" s="24"/>
      <c r="P11" s="57"/>
      <c r="Q11" s="23"/>
      <c r="R11" s="75"/>
      <c r="S11" s="10" t="s">
        <v>28</v>
      </c>
      <c r="T11" s="11">
        <v>1</v>
      </c>
      <c r="U11" s="10" t="s">
        <v>45</v>
      </c>
      <c r="V11" s="12" t="s">
        <v>342</v>
      </c>
      <c r="W11" s="21"/>
      <c r="X11" s="22"/>
      <c r="Y11" s="57"/>
      <c r="Z11" s="23"/>
    </row>
    <row r="12" spans="1:26" x14ac:dyDescent="0.25">
      <c r="A12" s="10" t="s">
        <v>114</v>
      </c>
      <c r="B12" s="11">
        <v>1</v>
      </c>
      <c r="C12" s="34" t="s">
        <v>242</v>
      </c>
      <c r="D12" s="12"/>
      <c r="E12" s="22"/>
      <c r="F12" s="26"/>
      <c r="G12" s="60"/>
      <c r="H12" s="13"/>
      <c r="I12" s="75"/>
      <c r="J12" s="14" t="s">
        <v>25</v>
      </c>
      <c r="K12" s="12">
        <v>1</v>
      </c>
      <c r="L12" s="14" t="s">
        <v>47</v>
      </c>
      <c r="M12" s="12" t="s">
        <v>344</v>
      </c>
      <c r="N12" s="24"/>
      <c r="O12" s="24"/>
      <c r="P12" s="57"/>
      <c r="Q12" s="23"/>
      <c r="R12" s="75"/>
      <c r="S12" s="10" t="s">
        <v>28</v>
      </c>
      <c r="T12" s="11">
        <v>1</v>
      </c>
      <c r="U12" s="10" t="s">
        <v>48</v>
      </c>
      <c r="V12" s="12" t="s">
        <v>342</v>
      </c>
      <c r="W12" s="21"/>
      <c r="X12" s="22"/>
      <c r="Y12" s="57"/>
      <c r="Z12" s="23"/>
    </row>
    <row r="13" spans="1:26" x14ac:dyDescent="0.25">
      <c r="A13" s="10" t="s">
        <v>85</v>
      </c>
      <c r="B13" s="11">
        <v>1</v>
      </c>
      <c r="C13" s="34" t="s">
        <v>253</v>
      </c>
      <c r="D13" s="12"/>
      <c r="E13" s="22"/>
      <c r="F13" s="26"/>
      <c r="G13" s="60"/>
      <c r="H13" s="13"/>
      <c r="I13" s="75"/>
      <c r="J13" s="14" t="s">
        <v>25</v>
      </c>
      <c r="K13" s="12">
        <v>1</v>
      </c>
      <c r="L13" s="14" t="s">
        <v>50</v>
      </c>
      <c r="M13" s="12" t="s">
        <v>344</v>
      </c>
      <c r="N13" s="24"/>
      <c r="O13" s="24"/>
      <c r="P13" s="57"/>
      <c r="Q13" s="23"/>
      <c r="R13" s="75"/>
      <c r="S13" s="10" t="s">
        <v>28</v>
      </c>
      <c r="T13" s="11">
        <v>1</v>
      </c>
      <c r="U13" s="10" t="s">
        <v>51</v>
      </c>
      <c r="V13" s="12" t="s">
        <v>342</v>
      </c>
      <c r="W13" s="25"/>
      <c r="X13" s="26"/>
      <c r="Y13" s="57"/>
      <c r="Z13" s="23"/>
    </row>
    <row r="14" spans="1:26" x14ac:dyDescent="0.25">
      <c r="A14" s="10" t="s">
        <v>86</v>
      </c>
      <c r="B14" s="11">
        <v>1</v>
      </c>
      <c r="C14" s="34" t="s">
        <v>88</v>
      </c>
      <c r="D14" s="12" t="s">
        <v>346</v>
      </c>
      <c r="E14" s="22"/>
      <c r="F14" s="22"/>
      <c r="G14" s="62"/>
      <c r="H14" s="24"/>
      <c r="I14" s="75"/>
      <c r="J14" s="14" t="s">
        <v>25</v>
      </c>
      <c r="K14" s="12">
        <v>1</v>
      </c>
      <c r="L14" s="14" t="s">
        <v>52</v>
      </c>
      <c r="M14" s="12" t="s">
        <v>344</v>
      </c>
      <c r="N14" s="24"/>
      <c r="O14" s="13"/>
      <c r="P14" s="57"/>
      <c r="Q14" s="23"/>
      <c r="R14" s="75"/>
      <c r="S14" s="10" t="s">
        <v>28</v>
      </c>
      <c r="T14" s="11">
        <v>1</v>
      </c>
      <c r="U14" s="10" t="s">
        <v>53</v>
      </c>
      <c r="V14" s="12" t="s">
        <v>342</v>
      </c>
      <c r="W14" s="21"/>
      <c r="X14" s="26"/>
      <c r="Y14" s="57"/>
      <c r="Z14" s="23"/>
    </row>
    <row r="15" spans="1:26" x14ac:dyDescent="0.25">
      <c r="A15" s="14"/>
      <c r="B15" s="12"/>
      <c r="C15" s="35" t="s">
        <v>89</v>
      </c>
      <c r="D15" s="12" t="s">
        <v>346</v>
      </c>
      <c r="E15" s="22"/>
      <c r="F15" s="22"/>
      <c r="G15" s="62"/>
      <c r="H15" s="24"/>
      <c r="I15" s="75"/>
      <c r="J15" s="14" t="s">
        <v>25</v>
      </c>
      <c r="K15" s="12">
        <v>1</v>
      </c>
      <c r="L15" s="14" t="s">
        <v>55</v>
      </c>
      <c r="M15" s="12" t="s">
        <v>344</v>
      </c>
      <c r="N15" s="13"/>
      <c r="O15" s="13"/>
      <c r="P15" s="57"/>
      <c r="Q15" s="23"/>
      <c r="R15" s="75"/>
      <c r="S15" s="10" t="s">
        <v>28</v>
      </c>
      <c r="T15" s="11">
        <v>1</v>
      </c>
      <c r="U15" s="10" t="s">
        <v>56</v>
      </c>
      <c r="V15" s="12" t="s">
        <v>342</v>
      </c>
      <c r="W15" s="15"/>
      <c r="X15" s="26"/>
      <c r="Y15" s="57"/>
      <c r="Z15" s="23"/>
    </row>
    <row r="16" spans="1:26" x14ac:dyDescent="0.25">
      <c r="A16" s="10"/>
      <c r="B16" s="11"/>
      <c r="C16" s="32"/>
      <c r="D16" s="12"/>
      <c r="E16" s="21"/>
      <c r="F16" s="22"/>
      <c r="G16" s="62"/>
      <c r="H16" s="24"/>
      <c r="I16" s="75"/>
      <c r="J16" s="14" t="s">
        <v>25</v>
      </c>
      <c r="K16" s="12">
        <v>1</v>
      </c>
      <c r="L16" s="14" t="s">
        <v>58</v>
      </c>
      <c r="M16" s="12" t="s">
        <v>344</v>
      </c>
      <c r="N16" s="13"/>
      <c r="O16" s="13"/>
      <c r="P16" s="57"/>
      <c r="Q16" s="23"/>
      <c r="R16" s="75"/>
      <c r="S16" s="10" t="s">
        <v>28</v>
      </c>
      <c r="T16" s="11">
        <v>1</v>
      </c>
      <c r="U16" s="10" t="s">
        <v>59</v>
      </c>
      <c r="V16" s="12" t="s">
        <v>342</v>
      </c>
      <c r="W16" s="15"/>
      <c r="X16" s="26"/>
      <c r="Y16" s="57"/>
      <c r="Z16" s="23"/>
    </row>
    <row r="17" spans="1:26" x14ac:dyDescent="0.25">
      <c r="A17" s="10" t="s">
        <v>93</v>
      </c>
      <c r="B17" s="11">
        <v>1</v>
      </c>
      <c r="C17" s="10" t="s">
        <v>92</v>
      </c>
      <c r="D17" s="12"/>
      <c r="E17" s="21"/>
      <c r="F17" s="22"/>
      <c r="G17" s="62"/>
      <c r="H17" s="24"/>
      <c r="I17" s="75"/>
      <c r="J17" s="14" t="s">
        <v>25</v>
      </c>
      <c r="K17" s="12">
        <v>1</v>
      </c>
      <c r="L17" s="14" t="s">
        <v>60</v>
      </c>
      <c r="M17" s="12" t="s">
        <v>344</v>
      </c>
      <c r="N17" s="24"/>
      <c r="O17" s="13"/>
      <c r="P17" s="57"/>
      <c r="Q17" s="23"/>
      <c r="R17" s="75"/>
      <c r="S17" s="10" t="s">
        <v>28</v>
      </c>
      <c r="T17" s="11">
        <v>1</v>
      </c>
      <c r="U17" s="10" t="s">
        <v>61</v>
      </c>
      <c r="V17" s="12" t="s">
        <v>342</v>
      </c>
      <c r="W17" s="21"/>
      <c r="X17" s="26"/>
      <c r="Y17" s="57"/>
      <c r="Z17" s="23"/>
    </row>
    <row r="18" spans="1:26" x14ac:dyDescent="0.25">
      <c r="A18" s="10" t="s">
        <v>93</v>
      </c>
      <c r="B18" s="11">
        <v>1</v>
      </c>
      <c r="C18" s="10" t="s">
        <v>94</v>
      </c>
      <c r="D18" s="12"/>
      <c r="E18" s="21"/>
      <c r="F18" s="22"/>
      <c r="G18" s="62"/>
      <c r="H18" s="24"/>
      <c r="I18" s="75"/>
      <c r="J18" s="14" t="s">
        <v>25</v>
      </c>
      <c r="K18" s="12">
        <v>1</v>
      </c>
      <c r="L18" s="14" t="s">
        <v>63</v>
      </c>
      <c r="M18" s="12" t="s">
        <v>344</v>
      </c>
      <c r="N18" s="13"/>
      <c r="O18" s="13"/>
      <c r="P18" s="57"/>
      <c r="Q18" s="23"/>
      <c r="R18" s="75"/>
      <c r="S18" s="10" t="s">
        <v>28</v>
      </c>
      <c r="T18" s="11">
        <v>1</v>
      </c>
      <c r="U18" s="10" t="s">
        <v>64</v>
      </c>
      <c r="V18" s="12" t="s">
        <v>342</v>
      </c>
      <c r="W18" s="15"/>
      <c r="X18" s="26"/>
      <c r="Y18" s="57"/>
      <c r="Z18" s="23"/>
    </row>
    <row r="19" spans="1:26" ht="15.75" x14ac:dyDescent="0.25">
      <c r="A19" s="635" t="s">
        <v>230</v>
      </c>
      <c r="B19" s="636"/>
      <c r="C19" s="636"/>
      <c r="D19" s="636"/>
      <c r="E19" s="636"/>
      <c r="F19" s="636"/>
      <c r="G19" s="636"/>
      <c r="H19" s="637"/>
      <c r="I19" s="75"/>
      <c r="J19" s="14" t="s">
        <v>25</v>
      </c>
      <c r="K19" s="12">
        <v>1</v>
      </c>
      <c r="L19" s="14" t="s">
        <v>66</v>
      </c>
      <c r="M19" s="12" t="s">
        <v>344</v>
      </c>
      <c r="N19" s="13"/>
      <c r="O19" s="13"/>
      <c r="P19" s="57"/>
      <c r="Q19" s="23"/>
      <c r="R19" s="75"/>
      <c r="S19" s="10" t="s">
        <v>28</v>
      </c>
      <c r="T19" s="11">
        <v>1</v>
      </c>
      <c r="U19" s="10" t="s">
        <v>67</v>
      </c>
      <c r="V19" s="12" t="s">
        <v>342</v>
      </c>
      <c r="W19" s="15"/>
      <c r="X19" s="26"/>
      <c r="Y19" s="57"/>
      <c r="Z19" s="23"/>
    </row>
    <row r="20" spans="1:26" x14ac:dyDescent="0.25">
      <c r="A20" s="10"/>
      <c r="B20" s="11"/>
      <c r="C20" s="10"/>
      <c r="D20" s="12"/>
      <c r="E20" s="21"/>
      <c r="F20" s="22"/>
      <c r="G20" s="62"/>
      <c r="H20" s="24"/>
      <c r="I20" s="75"/>
      <c r="J20" s="14" t="s">
        <v>25</v>
      </c>
      <c r="K20" s="12">
        <v>1</v>
      </c>
      <c r="L20" s="14" t="s">
        <v>69</v>
      </c>
      <c r="M20" s="12" t="s">
        <v>344</v>
      </c>
      <c r="N20" s="13"/>
      <c r="O20" s="13"/>
      <c r="P20" s="57"/>
      <c r="Q20" s="23"/>
      <c r="R20" s="75"/>
      <c r="S20" s="10" t="s">
        <v>28</v>
      </c>
      <c r="T20" s="11">
        <v>1</v>
      </c>
      <c r="U20" s="10" t="s">
        <v>70</v>
      </c>
      <c r="V20" s="12" t="s">
        <v>342</v>
      </c>
      <c r="W20" s="15"/>
      <c r="X20" s="26"/>
      <c r="Y20" s="57"/>
      <c r="Z20" s="23"/>
    </row>
    <row r="21" spans="1:26" x14ac:dyDescent="0.25">
      <c r="A21" s="10"/>
      <c r="B21" s="11"/>
      <c r="C21" s="10"/>
      <c r="D21" s="12"/>
      <c r="E21" s="21"/>
      <c r="F21" s="22"/>
      <c r="G21" s="62"/>
      <c r="H21" s="24"/>
      <c r="I21" s="75"/>
      <c r="J21" s="14" t="s">
        <v>25</v>
      </c>
      <c r="K21" s="12">
        <v>1</v>
      </c>
      <c r="L21" s="14" t="s">
        <v>71</v>
      </c>
      <c r="M21" s="12" t="s">
        <v>344</v>
      </c>
      <c r="N21" s="13"/>
      <c r="O21" s="13"/>
      <c r="P21" s="57"/>
      <c r="Q21" s="23"/>
      <c r="R21" s="75"/>
      <c r="S21" s="10" t="s">
        <v>28</v>
      </c>
      <c r="T21" s="11">
        <v>1</v>
      </c>
      <c r="U21" s="10" t="s">
        <v>72</v>
      </c>
      <c r="V21" s="12" t="s">
        <v>342</v>
      </c>
      <c r="W21" s="15"/>
      <c r="X21" s="26"/>
      <c r="Y21" s="57"/>
      <c r="Z21" s="23"/>
    </row>
    <row r="22" spans="1:26" ht="19.899999999999999" customHeight="1" x14ac:dyDescent="0.35">
      <c r="A22" s="579" t="s">
        <v>250</v>
      </c>
      <c r="B22" s="627"/>
      <c r="C22" s="627"/>
      <c r="D22" s="627"/>
      <c r="E22" s="627"/>
      <c r="F22" s="627"/>
      <c r="G22" s="627"/>
      <c r="H22" s="628"/>
      <c r="I22" s="75"/>
      <c r="J22" s="578" t="s">
        <v>245</v>
      </c>
      <c r="K22" s="578"/>
      <c r="L22" s="578"/>
      <c r="M22" s="578"/>
      <c r="N22" s="578"/>
      <c r="O22" s="578"/>
      <c r="P22" s="578"/>
      <c r="Q22" s="578"/>
      <c r="R22" s="75"/>
      <c r="S22" s="579" t="s">
        <v>248</v>
      </c>
      <c r="T22" s="580"/>
      <c r="U22" s="580"/>
      <c r="V22" s="580"/>
      <c r="W22" s="580"/>
      <c r="X22" s="580"/>
      <c r="Y22" s="580"/>
      <c r="Z22" s="581"/>
    </row>
    <row r="23" spans="1:26" x14ac:dyDescent="0.25">
      <c r="A23" s="10"/>
      <c r="B23" s="11"/>
      <c r="C23" s="10"/>
      <c r="D23" s="11"/>
      <c r="E23" s="21"/>
      <c r="F23" s="55"/>
      <c r="G23" s="82"/>
      <c r="H23" s="79"/>
      <c r="I23" s="75"/>
      <c r="J23" s="23" t="s">
        <v>181</v>
      </c>
      <c r="K23" s="12">
        <v>1</v>
      </c>
      <c r="L23" s="23" t="s">
        <v>184</v>
      </c>
      <c r="M23" s="12" t="s">
        <v>344</v>
      </c>
      <c r="N23" s="22"/>
      <c r="O23" s="26"/>
      <c r="P23" s="57"/>
      <c r="Q23" s="23"/>
      <c r="R23" s="75"/>
      <c r="S23" s="10" t="s">
        <v>28</v>
      </c>
      <c r="T23" s="11">
        <v>1</v>
      </c>
      <c r="U23" s="10" t="s">
        <v>36</v>
      </c>
      <c r="V23" s="12" t="s">
        <v>343</v>
      </c>
      <c r="W23" s="21"/>
      <c r="X23" s="22"/>
      <c r="Y23" s="57"/>
      <c r="Z23" s="23"/>
    </row>
    <row r="24" spans="1:26" x14ac:dyDescent="0.25">
      <c r="A24" s="10" t="s">
        <v>251</v>
      </c>
      <c r="B24" s="11">
        <v>1</v>
      </c>
      <c r="C24" s="34" t="s">
        <v>258</v>
      </c>
      <c r="D24" s="12"/>
      <c r="E24" s="21"/>
      <c r="F24" s="22"/>
      <c r="G24" s="62"/>
      <c r="H24" s="24"/>
      <c r="I24" s="75"/>
      <c r="J24" s="23" t="s">
        <v>181</v>
      </c>
      <c r="K24" s="12">
        <v>1</v>
      </c>
      <c r="L24" s="23" t="s">
        <v>185</v>
      </c>
      <c r="M24" s="12" t="s">
        <v>344</v>
      </c>
      <c r="N24" s="22"/>
      <c r="O24" s="26"/>
      <c r="P24" s="57"/>
      <c r="Q24" s="23"/>
      <c r="R24" s="75"/>
      <c r="S24" s="10" t="s">
        <v>28</v>
      </c>
      <c r="T24" s="11">
        <v>1</v>
      </c>
      <c r="U24" s="10" t="s">
        <v>34</v>
      </c>
      <c r="V24" s="12" t="s">
        <v>343</v>
      </c>
      <c r="W24" s="21"/>
      <c r="X24" s="22"/>
      <c r="Y24" s="57"/>
      <c r="Z24" s="23"/>
    </row>
    <row r="25" spans="1:26" x14ac:dyDescent="0.25">
      <c r="A25" s="10" t="s">
        <v>82</v>
      </c>
      <c r="B25" s="11">
        <v>1</v>
      </c>
      <c r="C25" s="34" t="s">
        <v>254</v>
      </c>
      <c r="D25" s="12"/>
      <c r="E25" s="21"/>
      <c r="F25" s="22"/>
      <c r="G25" s="62"/>
      <c r="H25" s="24"/>
      <c r="I25" s="75"/>
      <c r="J25" s="23" t="s">
        <v>181</v>
      </c>
      <c r="K25" s="12">
        <v>1</v>
      </c>
      <c r="L25" s="23" t="s">
        <v>183</v>
      </c>
      <c r="M25" s="12" t="s">
        <v>344</v>
      </c>
      <c r="N25" s="21"/>
      <c r="O25" s="22"/>
      <c r="P25" s="57"/>
      <c r="Q25" s="23"/>
      <c r="R25" s="75"/>
      <c r="S25" s="10" t="s">
        <v>28</v>
      </c>
      <c r="T25" s="11">
        <v>1</v>
      </c>
      <c r="U25" s="10" t="s">
        <v>35</v>
      </c>
      <c r="V25" s="12" t="s">
        <v>343</v>
      </c>
      <c r="W25" s="21"/>
      <c r="X25" s="22"/>
      <c r="Y25" s="57"/>
      <c r="Z25" s="23"/>
    </row>
    <row r="26" spans="1:26" x14ac:dyDescent="0.25">
      <c r="A26" s="10"/>
      <c r="B26" s="11">
        <v>1</v>
      </c>
      <c r="C26" s="34" t="s">
        <v>255</v>
      </c>
      <c r="D26" s="12"/>
      <c r="E26" s="21"/>
      <c r="F26" s="22"/>
      <c r="G26" s="62"/>
      <c r="H26" s="24"/>
      <c r="I26" s="75"/>
      <c r="J26" s="23" t="s">
        <v>181</v>
      </c>
      <c r="K26" s="12">
        <v>1</v>
      </c>
      <c r="L26" s="23" t="s">
        <v>182</v>
      </c>
      <c r="M26" s="12" t="s">
        <v>344</v>
      </c>
      <c r="N26" s="21"/>
      <c r="O26" s="22"/>
      <c r="P26" s="57"/>
      <c r="Q26" s="23"/>
      <c r="R26" s="75"/>
      <c r="S26" s="10" t="s">
        <v>28</v>
      </c>
      <c r="T26" s="11">
        <v>1</v>
      </c>
      <c r="U26" s="10" t="s">
        <v>40</v>
      </c>
      <c r="V26" s="12" t="s">
        <v>343</v>
      </c>
      <c r="W26" s="21"/>
      <c r="X26" s="22"/>
      <c r="Y26" s="57"/>
      <c r="Z26" s="23"/>
    </row>
    <row r="27" spans="1:26" x14ac:dyDescent="0.25">
      <c r="A27" s="10"/>
      <c r="B27" s="11">
        <v>1</v>
      </c>
      <c r="C27" s="34" t="s">
        <v>256</v>
      </c>
      <c r="D27" s="12"/>
      <c r="E27" s="21"/>
      <c r="F27" s="22"/>
      <c r="G27" s="62"/>
      <c r="H27" s="24"/>
      <c r="I27" s="75"/>
      <c r="J27" s="23" t="s">
        <v>181</v>
      </c>
      <c r="K27" s="12">
        <v>1</v>
      </c>
      <c r="L27" s="23" t="s">
        <v>186</v>
      </c>
      <c r="M27" s="12" t="s">
        <v>344</v>
      </c>
      <c r="N27" s="21"/>
      <c r="O27" s="22"/>
      <c r="P27" s="57"/>
      <c r="Q27" s="23"/>
      <c r="R27" s="75"/>
      <c r="S27" s="10" t="s">
        <v>28</v>
      </c>
      <c r="T27" s="11">
        <v>1</v>
      </c>
      <c r="U27" s="10" t="s">
        <v>43</v>
      </c>
      <c r="V27" s="12" t="s">
        <v>343</v>
      </c>
      <c r="W27" s="21"/>
      <c r="X27" s="22"/>
      <c r="Y27" s="57"/>
      <c r="Z27" s="23"/>
    </row>
    <row r="28" spans="1:26" x14ac:dyDescent="0.25">
      <c r="A28" s="10"/>
      <c r="B28" s="11">
        <v>1</v>
      </c>
      <c r="C28" s="34" t="s">
        <v>90</v>
      </c>
      <c r="D28" s="12"/>
      <c r="E28" s="21"/>
      <c r="F28" s="22"/>
      <c r="G28" s="62"/>
      <c r="H28" s="24"/>
      <c r="I28" s="75"/>
      <c r="J28" s="23" t="s">
        <v>181</v>
      </c>
      <c r="K28" s="12">
        <v>1</v>
      </c>
      <c r="L28" s="23" t="s">
        <v>187</v>
      </c>
      <c r="M28" s="12" t="s">
        <v>344</v>
      </c>
      <c r="N28" s="21"/>
      <c r="O28" s="26"/>
      <c r="P28" s="57"/>
      <c r="Q28" s="23"/>
      <c r="R28" s="75"/>
      <c r="S28" s="10" t="s">
        <v>28</v>
      </c>
      <c r="T28" s="11">
        <v>1</v>
      </c>
      <c r="U28" s="10" t="s">
        <v>45</v>
      </c>
      <c r="V28" s="12" t="s">
        <v>343</v>
      </c>
      <c r="W28" s="25"/>
      <c r="X28" s="26"/>
      <c r="Y28" s="57"/>
      <c r="Z28" s="23"/>
    </row>
    <row r="29" spans="1:26" x14ac:dyDescent="0.25">
      <c r="A29" s="10" t="s">
        <v>252</v>
      </c>
      <c r="B29" s="11">
        <v>1</v>
      </c>
      <c r="C29" s="34" t="s">
        <v>257</v>
      </c>
      <c r="D29" s="12"/>
      <c r="E29" s="25"/>
      <c r="F29" s="26"/>
      <c r="G29" s="60"/>
      <c r="H29" s="13"/>
      <c r="I29" s="75"/>
      <c r="J29" s="23" t="s">
        <v>181</v>
      </c>
      <c r="K29" s="12">
        <v>1</v>
      </c>
      <c r="L29" s="23" t="s">
        <v>188</v>
      </c>
      <c r="M29" s="12" t="s">
        <v>344</v>
      </c>
      <c r="N29" s="15"/>
      <c r="O29" s="26"/>
      <c r="P29" s="57"/>
      <c r="Q29" s="23"/>
      <c r="R29" s="75"/>
      <c r="S29" s="10" t="s">
        <v>28</v>
      </c>
      <c r="T29" s="11">
        <v>1</v>
      </c>
      <c r="U29" s="10" t="s">
        <v>48</v>
      </c>
      <c r="V29" s="12" t="s">
        <v>343</v>
      </c>
      <c r="W29" s="22"/>
      <c r="X29" s="26"/>
      <c r="Y29" s="57"/>
      <c r="Z29" s="23"/>
    </row>
    <row r="30" spans="1:26" x14ac:dyDescent="0.25">
      <c r="A30" s="10" t="s">
        <v>114</v>
      </c>
      <c r="B30" s="11">
        <v>1</v>
      </c>
      <c r="C30" s="34" t="s">
        <v>242</v>
      </c>
      <c r="D30" s="12"/>
      <c r="E30" s="22"/>
      <c r="F30" s="26"/>
      <c r="G30" s="60"/>
      <c r="H30" s="13"/>
      <c r="I30" s="75"/>
      <c r="J30" s="23" t="s">
        <v>181</v>
      </c>
      <c r="K30" s="12">
        <v>1</v>
      </c>
      <c r="L30" s="23" t="s">
        <v>189</v>
      </c>
      <c r="M30" s="12" t="s">
        <v>344</v>
      </c>
      <c r="N30" s="21"/>
      <c r="O30" s="26"/>
      <c r="P30" s="57"/>
      <c r="Q30" s="23"/>
      <c r="R30" s="75"/>
      <c r="S30" s="10" t="s">
        <v>28</v>
      </c>
      <c r="T30" s="11">
        <v>1</v>
      </c>
      <c r="U30" s="10" t="s">
        <v>51</v>
      </c>
      <c r="V30" s="12" t="s">
        <v>343</v>
      </c>
      <c r="W30" s="22"/>
      <c r="X30" s="26"/>
      <c r="Y30" s="57"/>
      <c r="Z30" s="23"/>
    </row>
    <row r="31" spans="1:26" x14ac:dyDescent="0.25">
      <c r="A31" s="10" t="s">
        <v>85</v>
      </c>
      <c r="B31" s="11">
        <v>1</v>
      </c>
      <c r="C31" s="34" t="s">
        <v>253</v>
      </c>
      <c r="D31" s="12"/>
      <c r="E31" s="22"/>
      <c r="F31" s="26"/>
      <c r="G31" s="60"/>
      <c r="H31" s="13"/>
      <c r="I31" s="75"/>
      <c r="J31" s="23" t="s">
        <v>181</v>
      </c>
      <c r="K31" s="12">
        <v>1</v>
      </c>
      <c r="L31" s="23" t="s">
        <v>190</v>
      </c>
      <c r="M31" s="12" t="s">
        <v>344</v>
      </c>
      <c r="N31" s="15"/>
      <c r="O31" s="26"/>
      <c r="P31" s="57"/>
      <c r="Q31" s="23"/>
      <c r="R31" s="75"/>
      <c r="S31" s="10" t="s">
        <v>28</v>
      </c>
      <c r="T31" s="11">
        <v>1</v>
      </c>
      <c r="U31" s="10" t="s">
        <v>53</v>
      </c>
      <c r="V31" s="12" t="s">
        <v>343</v>
      </c>
      <c r="W31" s="21"/>
      <c r="X31" s="26"/>
      <c r="Y31" s="57"/>
      <c r="Z31" s="23"/>
    </row>
    <row r="32" spans="1:26" x14ac:dyDescent="0.25">
      <c r="A32" s="10"/>
      <c r="B32" s="11"/>
      <c r="C32" s="10"/>
      <c r="D32" s="12"/>
      <c r="E32" s="21"/>
      <c r="F32" s="26"/>
      <c r="G32" s="60"/>
      <c r="H32" s="13"/>
      <c r="I32" s="75"/>
      <c r="J32" s="23" t="s">
        <v>181</v>
      </c>
      <c r="K32" s="12">
        <v>1</v>
      </c>
      <c r="L32" s="23" t="s">
        <v>191</v>
      </c>
      <c r="M32" s="12" t="s">
        <v>344</v>
      </c>
      <c r="N32" s="15"/>
      <c r="O32" s="26"/>
      <c r="P32" s="57"/>
      <c r="Q32" s="23"/>
      <c r="R32" s="75"/>
      <c r="S32" s="10" t="s">
        <v>28</v>
      </c>
      <c r="T32" s="11">
        <v>1</v>
      </c>
      <c r="U32" s="10" t="s">
        <v>56</v>
      </c>
      <c r="V32" s="12" t="s">
        <v>343</v>
      </c>
      <c r="W32" s="15"/>
      <c r="X32" s="26"/>
      <c r="Y32" s="57"/>
      <c r="Z32" s="23"/>
    </row>
    <row r="33" spans="1:26" x14ac:dyDescent="0.25">
      <c r="A33" s="10"/>
      <c r="B33" s="11"/>
      <c r="C33" s="10"/>
      <c r="D33" s="12"/>
      <c r="E33" s="15"/>
      <c r="F33" s="26"/>
      <c r="G33" s="60"/>
      <c r="H33" s="13"/>
      <c r="I33" s="75"/>
      <c r="J33" s="23" t="s">
        <v>181</v>
      </c>
      <c r="K33" s="12">
        <v>1</v>
      </c>
      <c r="L33" s="23" t="s">
        <v>192</v>
      </c>
      <c r="M33" s="12" t="s">
        <v>344</v>
      </c>
      <c r="N33" s="13"/>
      <c r="O33" s="13"/>
      <c r="P33" s="57"/>
      <c r="Q33" s="23"/>
      <c r="R33" s="75"/>
      <c r="S33" s="10" t="s">
        <v>28</v>
      </c>
      <c r="T33" s="11">
        <v>1</v>
      </c>
      <c r="U33" s="10" t="s">
        <v>59</v>
      </c>
      <c r="V33" s="12" t="s">
        <v>343</v>
      </c>
      <c r="W33" s="15"/>
      <c r="X33" s="26"/>
      <c r="Y33" s="57"/>
      <c r="Z33" s="23"/>
    </row>
    <row r="34" spans="1:26" x14ac:dyDescent="0.25">
      <c r="A34" s="10"/>
      <c r="B34" s="11"/>
      <c r="C34" s="10"/>
      <c r="D34" s="12"/>
      <c r="E34" s="15"/>
      <c r="F34" s="26"/>
      <c r="G34" s="60"/>
      <c r="H34" s="13"/>
      <c r="I34" s="75"/>
      <c r="J34" s="23" t="s">
        <v>181</v>
      </c>
      <c r="K34" s="12">
        <v>1</v>
      </c>
      <c r="L34" s="23" t="s">
        <v>193</v>
      </c>
      <c r="M34" s="12" t="s">
        <v>344</v>
      </c>
      <c r="N34" s="13"/>
      <c r="O34" s="13"/>
      <c r="P34" s="57"/>
      <c r="Q34" s="23"/>
      <c r="R34" s="75"/>
      <c r="S34" s="10" t="s">
        <v>28</v>
      </c>
      <c r="T34" s="11">
        <v>1</v>
      </c>
      <c r="U34" s="10" t="s">
        <v>61</v>
      </c>
      <c r="V34" s="12" t="s">
        <v>343</v>
      </c>
      <c r="W34" s="15"/>
      <c r="X34" s="26"/>
      <c r="Y34" s="57"/>
      <c r="Z34" s="23"/>
    </row>
    <row r="35" spans="1:26" x14ac:dyDescent="0.25">
      <c r="A35" s="10"/>
      <c r="B35" s="11"/>
      <c r="C35" s="10"/>
      <c r="D35" s="12"/>
      <c r="E35" s="15"/>
      <c r="F35" s="26"/>
      <c r="G35" s="60"/>
      <c r="H35" s="13"/>
      <c r="I35" s="75"/>
      <c r="J35" s="23" t="s">
        <v>181</v>
      </c>
      <c r="K35" s="12">
        <v>1</v>
      </c>
      <c r="L35" s="23" t="s">
        <v>194</v>
      </c>
      <c r="M35" s="12" t="s">
        <v>344</v>
      </c>
      <c r="N35" s="13"/>
      <c r="O35" s="13"/>
      <c r="P35" s="57"/>
      <c r="Q35" s="23"/>
      <c r="R35" s="75"/>
      <c r="S35" s="10" t="s">
        <v>28</v>
      </c>
      <c r="T35" s="11">
        <v>1</v>
      </c>
      <c r="U35" s="10" t="s">
        <v>64</v>
      </c>
      <c r="V35" s="12" t="s">
        <v>343</v>
      </c>
      <c r="W35" s="15"/>
      <c r="X35" s="26"/>
      <c r="Y35" s="57"/>
      <c r="Z35" s="23"/>
    </row>
    <row r="36" spans="1:26" x14ac:dyDescent="0.25">
      <c r="A36" s="10"/>
      <c r="B36" s="11"/>
      <c r="C36" s="10"/>
      <c r="D36" s="12"/>
      <c r="E36" s="15"/>
      <c r="F36" s="26"/>
      <c r="G36" s="60"/>
      <c r="H36" s="13"/>
      <c r="I36" s="75"/>
      <c r="J36" s="23" t="s">
        <v>181</v>
      </c>
      <c r="K36" s="12">
        <v>1</v>
      </c>
      <c r="L36" s="23" t="s">
        <v>195</v>
      </c>
      <c r="M36" s="12" t="s">
        <v>344</v>
      </c>
      <c r="N36" s="13"/>
      <c r="O36" s="13"/>
      <c r="P36" s="57"/>
      <c r="Q36" s="23"/>
      <c r="R36" s="75"/>
      <c r="S36" s="10" t="s">
        <v>28</v>
      </c>
      <c r="T36" s="11">
        <v>1</v>
      </c>
      <c r="U36" s="10" t="s">
        <v>67</v>
      </c>
      <c r="V36" s="12" t="s">
        <v>343</v>
      </c>
      <c r="W36" s="15"/>
      <c r="X36" s="26"/>
      <c r="Y36" s="57"/>
      <c r="Z36" s="23"/>
    </row>
    <row r="37" spans="1:26" ht="15.75" x14ac:dyDescent="0.25">
      <c r="A37" s="10"/>
      <c r="B37" s="11"/>
      <c r="C37" s="47"/>
      <c r="D37" s="48"/>
      <c r="E37" s="49"/>
      <c r="F37" s="50"/>
      <c r="G37" s="61"/>
      <c r="H37" s="51"/>
      <c r="I37" s="75"/>
      <c r="J37" s="23" t="s">
        <v>181</v>
      </c>
      <c r="K37" s="12">
        <v>1</v>
      </c>
      <c r="L37" s="23" t="s">
        <v>196</v>
      </c>
      <c r="M37" s="12" t="s">
        <v>344</v>
      </c>
      <c r="N37" s="13"/>
      <c r="O37" s="13"/>
      <c r="P37" s="57"/>
      <c r="Q37" s="23"/>
      <c r="R37" s="75"/>
      <c r="S37" s="10" t="s">
        <v>28</v>
      </c>
      <c r="T37" s="11">
        <v>1</v>
      </c>
      <c r="U37" s="10" t="s">
        <v>70</v>
      </c>
      <c r="V37" s="12" t="s">
        <v>343</v>
      </c>
      <c r="W37" s="15"/>
      <c r="X37" s="26"/>
      <c r="Y37" s="57"/>
      <c r="Z37" s="23"/>
    </row>
    <row r="38" spans="1:26" x14ac:dyDescent="0.25">
      <c r="A38" s="10"/>
      <c r="B38" s="11"/>
      <c r="C38" s="52"/>
      <c r="D38" s="48"/>
      <c r="E38" s="49"/>
      <c r="F38" s="50"/>
      <c r="G38" s="61"/>
      <c r="H38" s="51"/>
      <c r="I38" s="75"/>
      <c r="J38" s="14" t="s">
        <v>181</v>
      </c>
      <c r="K38" s="12">
        <v>1</v>
      </c>
      <c r="L38" s="14" t="s">
        <v>197</v>
      </c>
      <c r="M38" s="12" t="s">
        <v>344</v>
      </c>
      <c r="N38" s="13"/>
      <c r="O38" s="13"/>
      <c r="P38" s="57"/>
      <c r="Q38" s="23"/>
      <c r="R38" s="75"/>
      <c r="S38" s="10" t="s">
        <v>28</v>
      </c>
      <c r="T38" s="11">
        <v>1</v>
      </c>
      <c r="U38" s="10" t="s">
        <v>72</v>
      </c>
      <c r="V38" s="12" t="s">
        <v>343</v>
      </c>
      <c r="W38" s="15"/>
      <c r="X38" s="26"/>
      <c r="Y38" s="57"/>
      <c r="Z38" s="23"/>
    </row>
    <row r="39" spans="1:26" ht="19.899999999999999" customHeight="1" x14ac:dyDescent="0.35">
      <c r="A39" s="611"/>
      <c r="B39" s="612"/>
      <c r="C39" s="612"/>
      <c r="D39" s="612"/>
      <c r="E39" s="612"/>
      <c r="F39" s="612"/>
      <c r="G39" s="612"/>
      <c r="H39" s="613"/>
      <c r="I39" s="75"/>
      <c r="J39" s="578" t="s">
        <v>246</v>
      </c>
      <c r="K39" s="578"/>
      <c r="L39" s="578"/>
      <c r="M39" s="578"/>
      <c r="N39" s="578"/>
      <c r="O39" s="578"/>
      <c r="P39" s="578"/>
      <c r="Q39" s="578"/>
      <c r="R39" s="75"/>
      <c r="S39" s="578" t="s">
        <v>278</v>
      </c>
      <c r="T39" s="578"/>
      <c r="U39" s="578"/>
      <c r="V39" s="578"/>
      <c r="W39" s="578"/>
      <c r="X39" s="578"/>
      <c r="Y39" s="578"/>
      <c r="Z39" s="578"/>
    </row>
    <row r="40" spans="1:26" ht="15.75" x14ac:dyDescent="0.25">
      <c r="A40" s="10"/>
      <c r="B40" s="11"/>
      <c r="C40" s="47" t="s">
        <v>150</v>
      </c>
      <c r="D40" s="48"/>
      <c r="E40" s="49"/>
      <c r="F40" s="50"/>
      <c r="G40" s="61"/>
      <c r="H40" s="51"/>
      <c r="I40" s="75"/>
      <c r="J40" s="10" t="s">
        <v>25</v>
      </c>
      <c r="K40" s="11">
        <v>1</v>
      </c>
      <c r="L40" s="10" t="s">
        <v>140</v>
      </c>
      <c r="M40" s="12" t="s">
        <v>344</v>
      </c>
      <c r="N40" s="22"/>
      <c r="O40" s="26"/>
      <c r="P40" s="56"/>
      <c r="Q40" s="32"/>
      <c r="R40" s="75"/>
      <c r="S40" s="10" t="s">
        <v>31</v>
      </c>
      <c r="T40" s="11">
        <v>1</v>
      </c>
      <c r="U40" s="10" t="s">
        <v>37</v>
      </c>
      <c r="V40" s="12" t="s">
        <v>275</v>
      </c>
      <c r="W40" s="22"/>
      <c r="X40" s="26"/>
      <c r="Y40" s="57"/>
      <c r="Z40" s="23"/>
    </row>
    <row r="41" spans="1:26" x14ac:dyDescent="0.25">
      <c r="A41" s="14"/>
      <c r="B41" s="12"/>
      <c r="C41" s="52" t="s">
        <v>152</v>
      </c>
      <c r="D41" s="48"/>
      <c r="E41" s="49"/>
      <c r="F41" s="50"/>
      <c r="G41" s="61"/>
      <c r="H41" s="51"/>
      <c r="I41" s="75"/>
      <c r="J41" s="10" t="s">
        <v>25</v>
      </c>
      <c r="K41" s="11">
        <v>1</v>
      </c>
      <c r="L41" s="10" t="s">
        <v>142</v>
      </c>
      <c r="M41" s="12" t="s">
        <v>344</v>
      </c>
      <c r="N41" s="22"/>
      <c r="O41" s="26"/>
      <c r="P41" s="57"/>
      <c r="Q41" s="23"/>
      <c r="R41" s="75"/>
      <c r="S41" s="10" t="s">
        <v>31</v>
      </c>
      <c r="T41" s="11">
        <v>1</v>
      </c>
      <c r="U41" s="10" t="s">
        <v>135</v>
      </c>
      <c r="V41" s="12" t="s">
        <v>275</v>
      </c>
      <c r="W41" s="22"/>
      <c r="X41" s="26"/>
      <c r="Y41" s="57"/>
      <c r="Z41" s="23"/>
    </row>
    <row r="42" spans="1:26" x14ac:dyDescent="0.25">
      <c r="A42" s="14"/>
      <c r="B42" s="12"/>
      <c r="C42" s="52" t="s">
        <v>151</v>
      </c>
      <c r="D42" s="48"/>
      <c r="E42" s="53"/>
      <c r="F42" s="50"/>
      <c r="G42" s="61"/>
      <c r="H42" s="51"/>
      <c r="I42" s="75"/>
      <c r="J42" s="10" t="s">
        <v>25</v>
      </c>
      <c r="K42" s="11">
        <v>1</v>
      </c>
      <c r="L42" s="10" t="s">
        <v>144</v>
      </c>
      <c r="M42" s="12" t="s">
        <v>344</v>
      </c>
      <c r="N42" s="22"/>
      <c r="O42" s="22"/>
      <c r="P42" s="57"/>
      <c r="Q42" s="23"/>
      <c r="R42" s="75"/>
      <c r="S42" s="10" t="s">
        <v>31</v>
      </c>
      <c r="T42" s="11">
        <v>1</v>
      </c>
      <c r="U42" s="10" t="s">
        <v>38</v>
      </c>
      <c r="V42" s="12" t="s">
        <v>275</v>
      </c>
      <c r="W42" s="22"/>
      <c r="X42" s="22"/>
      <c r="Y42" s="57"/>
      <c r="Z42" s="23"/>
    </row>
    <row r="43" spans="1:26" x14ac:dyDescent="0.25">
      <c r="A43" s="14"/>
      <c r="B43" s="12"/>
      <c r="C43" s="52" t="s">
        <v>154</v>
      </c>
      <c r="D43" s="48"/>
      <c r="E43" s="54"/>
      <c r="F43" s="50"/>
      <c r="G43" s="61"/>
      <c r="H43" s="51"/>
      <c r="I43" s="75"/>
      <c r="J43" s="10" t="s">
        <v>25</v>
      </c>
      <c r="K43" s="11">
        <v>1</v>
      </c>
      <c r="L43" s="10" t="s">
        <v>146</v>
      </c>
      <c r="M43" s="12" t="s">
        <v>344</v>
      </c>
      <c r="N43" s="21"/>
      <c r="O43" s="22"/>
      <c r="P43" s="57"/>
      <c r="Q43" s="23"/>
      <c r="R43" s="75"/>
      <c r="S43" s="10" t="s">
        <v>31</v>
      </c>
      <c r="T43" s="11">
        <v>1</v>
      </c>
      <c r="U43" s="10" t="s">
        <v>41</v>
      </c>
      <c r="V43" s="12" t="s">
        <v>275</v>
      </c>
      <c r="W43" s="21"/>
      <c r="X43" s="22"/>
      <c r="Y43" s="57"/>
      <c r="Z43" s="23"/>
    </row>
    <row r="44" spans="1:26" x14ac:dyDescent="0.25">
      <c r="A44" s="14"/>
      <c r="B44" s="12"/>
      <c r="C44" s="52" t="s">
        <v>155</v>
      </c>
      <c r="D44" s="48"/>
      <c r="E44" s="49"/>
      <c r="F44" s="50"/>
      <c r="G44" s="61"/>
      <c r="H44" s="51"/>
      <c r="I44" s="75"/>
      <c r="J44" s="10" t="s">
        <v>25</v>
      </c>
      <c r="K44" s="11">
        <v>1</v>
      </c>
      <c r="L44" s="10" t="s">
        <v>148</v>
      </c>
      <c r="M44" s="12" t="s">
        <v>344</v>
      </c>
      <c r="N44" s="21"/>
      <c r="O44" s="22"/>
      <c r="P44" s="57"/>
      <c r="Q44" s="23"/>
      <c r="R44" s="75"/>
      <c r="S44" s="10" t="s">
        <v>31</v>
      </c>
      <c r="T44" s="11">
        <v>1</v>
      </c>
      <c r="U44" s="10" t="s">
        <v>136</v>
      </c>
      <c r="V44" s="12" t="s">
        <v>275</v>
      </c>
      <c r="W44" s="21"/>
      <c r="X44" s="22"/>
      <c r="Y44" s="57"/>
      <c r="Z44" s="23"/>
    </row>
    <row r="45" spans="1:26" x14ac:dyDescent="0.25">
      <c r="A45" s="14"/>
      <c r="B45" s="12"/>
      <c r="C45" s="52" t="s">
        <v>156</v>
      </c>
      <c r="D45" s="48"/>
      <c r="E45" s="49"/>
      <c r="F45" s="50"/>
      <c r="G45" s="61"/>
      <c r="H45" s="51"/>
      <c r="I45" s="75"/>
      <c r="J45" s="10" t="s">
        <v>25</v>
      </c>
      <c r="K45" s="11">
        <v>1</v>
      </c>
      <c r="L45" s="10" t="s">
        <v>159</v>
      </c>
      <c r="M45" s="12" t="s">
        <v>344</v>
      </c>
      <c r="N45" s="25"/>
      <c r="O45" s="26"/>
      <c r="P45" s="57"/>
      <c r="Q45" s="23"/>
      <c r="R45" s="75"/>
      <c r="S45" s="10" t="s">
        <v>31</v>
      </c>
      <c r="T45" s="11">
        <v>1</v>
      </c>
      <c r="U45" s="10" t="s">
        <v>46</v>
      </c>
      <c r="V45" s="12" t="s">
        <v>275</v>
      </c>
      <c r="W45" s="21"/>
      <c r="X45" s="22"/>
      <c r="Y45" s="57"/>
      <c r="Z45" s="23"/>
    </row>
    <row r="46" spans="1:26" x14ac:dyDescent="0.25">
      <c r="A46" s="14"/>
      <c r="B46" s="12"/>
      <c r="C46" s="52" t="s">
        <v>157</v>
      </c>
      <c r="D46" s="48"/>
      <c r="E46" s="49"/>
      <c r="F46" s="50"/>
      <c r="G46" s="61"/>
      <c r="H46" s="51"/>
      <c r="I46" s="75"/>
      <c r="J46" s="10" t="s">
        <v>25</v>
      </c>
      <c r="K46" s="11">
        <v>1</v>
      </c>
      <c r="L46" s="10" t="s">
        <v>161</v>
      </c>
      <c r="M46" s="12" t="s">
        <v>344</v>
      </c>
      <c r="N46" s="15"/>
      <c r="O46" s="26"/>
      <c r="P46" s="57"/>
      <c r="Q46" s="23"/>
      <c r="R46" s="75"/>
      <c r="S46" s="10" t="s">
        <v>31</v>
      </c>
      <c r="T46" s="11">
        <v>1</v>
      </c>
      <c r="U46" s="10" t="s">
        <v>49</v>
      </c>
      <c r="V46" s="12" t="s">
        <v>275</v>
      </c>
      <c r="W46" s="21"/>
      <c r="X46" s="22"/>
      <c r="Y46" s="57"/>
      <c r="Z46" s="23"/>
    </row>
    <row r="47" spans="1:26" x14ac:dyDescent="0.25">
      <c r="A47" s="14"/>
      <c r="B47" s="12"/>
      <c r="C47" s="16"/>
      <c r="D47" s="11"/>
      <c r="E47" s="15"/>
      <c r="F47" s="26"/>
      <c r="G47" s="60"/>
      <c r="H47" s="13"/>
      <c r="I47" s="75"/>
      <c r="J47" s="10" t="s">
        <v>25</v>
      </c>
      <c r="K47" s="11">
        <v>1</v>
      </c>
      <c r="L47" s="10" t="s">
        <v>163</v>
      </c>
      <c r="M47" s="12" t="s">
        <v>344</v>
      </c>
      <c r="N47" s="15"/>
      <c r="O47" s="26"/>
      <c r="P47" s="57"/>
      <c r="Q47" s="23"/>
      <c r="R47" s="75"/>
      <c r="S47" s="10" t="s">
        <v>31</v>
      </c>
      <c r="T47" s="11">
        <v>1</v>
      </c>
      <c r="U47" s="10" t="s">
        <v>137</v>
      </c>
      <c r="V47" s="12" t="s">
        <v>275</v>
      </c>
      <c r="W47" s="22"/>
      <c r="X47" s="26"/>
      <c r="Y47" s="57"/>
      <c r="Z47" s="23"/>
    </row>
    <row r="48" spans="1:26" x14ac:dyDescent="0.25">
      <c r="A48" s="14"/>
      <c r="B48" s="12"/>
      <c r="C48" s="10"/>
      <c r="D48" s="12"/>
      <c r="E48" s="15"/>
      <c r="F48" s="26"/>
      <c r="G48" s="60"/>
      <c r="H48" s="13"/>
      <c r="I48" s="75"/>
      <c r="J48" s="10" t="s">
        <v>25</v>
      </c>
      <c r="K48" s="11">
        <v>1</v>
      </c>
      <c r="L48" s="10" t="s">
        <v>165</v>
      </c>
      <c r="M48" s="12" t="s">
        <v>344</v>
      </c>
      <c r="N48" s="15"/>
      <c r="O48" s="26"/>
      <c r="P48" s="57"/>
      <c r="Q48" s="23"/>
      <c r="R48" s="75"/>
      <c r="S48" s="10" t="s">
        <v>31</v>
      </c>
      <c r="T48" s="11">
        <v>1</v>
      </c>
      <c r="U48" s="10" t="s">
        <v>54</v>
      </c>
      <c r="V48" s="12" t="s">
        <v>275</v>
      </c>
      <c r="W48" s="15"/>
      <c r="X48" s="26"/>
      <c r="Y48" s="57"/>
      <c r="Z48" s="23"/>
    </row>
    <row r="49" spans="1:26" x14ac:dyDescent="0.25">
      <c r="A49" s="14"/>
      <c r="B49" s="12"/>
      <c r="C49" s="10"/>
      <c r="D49" s="12"/>
      <c r="E49" s="15"/>
      <c r="F49" s="26"/>
      <c r="G49" s="60"/>
      <c r="H49" s="13"/>
      <c r="I49" s="75"/>
      <c r="J49" s="10" t="s">
        <v>25</v>
      </c>
      <c r="K49" s="11">
        <v>1</v>
      </c>
      <c r="L49" s="10" t="s">
        <v>167</v>
      </c>
      <c r="M49" s="12" t="s">
        <v>344</v>
      </c>
      <c r="N49" s="15"/>
      <c r="O49" s="26"/>
      <c r="P49" s="57"/>
      <c r="Q49" s="23"/>
      <c r="R49" s="75"/>
      <c r="S49" s="10" t="s">
        <v>31</v>
      </c>
      <c r="T49" s="11">
        <v>1</v>
      </c>
      <c r="U49" s="10" t="s">
        <v>57</v>
      </c>
      <c r="V49" s="12" t="s">
        <v>275</v>
      </c>
      <c r="W49" s="15"/>
      <c r="X49" s="26"/>
      <c r="Y49" s="57"/>
      <c r="Z49" s="23"/>
    </row>
    <row r="50" spans="1:26" x14ac:dyDescent="0.25">
      <c r="A50" s="14"/>
      <c r="B50" s="12"/>
      <c r="C50" s="10"/>
      <c r="D50" s="12"/>
      <c r="E50" s="15"/>
      <c r="F50" s="26"/>
      <c r="G50" s="60"/>
      <c r="H50" s="13"/>
      <c r="I50" s="75"/>
      <c r="J50" s="10" t="s">
        <v>25</v>
      </c>
      <c r="K50" s="11">
        <v>1</v>
      </c>
      <c r="L50" s="10" t="s">
        <v>169</v>
      </c>
      <c r="M50" s="12" t="s">
        <v>344</v>
      </c>
      <c r="N50" s="15"/>
      <c r="O50" s="26"/>
      <c r="P50" s="57"/>
      <c r="Q50" s="23"/>
      <c r="R50" s="75"/>
      <c r="S50" s="10" t="s">
        <v>31</v>
      </c>
      <c r="T50" s="11">
        <v>1</v>
      </c>
      <c r="U50" s="10" t="s">
        <v>138</v>
      </c>
      <c r="V50" s="12" t="s">
        <v>275</v>
      </c>
      <c r="W50" s="15"/>
      <c r="X50" s="26"/>
      <c r="Y50" s="57"/>
      <c r="Z50" s="23"/>
    </row>
    <row r="51" spans="1:26" x14ac:dyDescent="0.25">
      <c r="A51" s="14"/>
      <c r="B51" s="12"/>
      <c r="C51" s="16"/>
      <c r="D51" s="11"/>
      <c r="E51" s="15"/>
      <c r="F51" s="26"/>
      <c r="G51" s="60"/>
      <c r="H51" s="13"/>
      <c r="I51" s="75"/>
      <c r="J51" s="10" t="s">
        <v>25</v>
      </c>
      <c r="K51" s="11">
        <v>1</v>
      </c>
      <c r="L51" s="10" t="s">
        <v>171</v>
      </c>
      <c r="M51" s="12" t="s">
        <v>344</v>
      </c>
      <c r="N51" s="44"/>
      <c r="O51" s="44"/>
      <c r="P51" s="57"/>
      <c r="Q51" s="23"/>
      <c r="R51" s="75"/>
      <c r="S51" s="10" t="s">
        <v>31</v>
      </c>
      <c r="T51" s="11">
        <v>1</v>
      </c>
      <c r="U51" s="10" t="s">
        <v>62</v>
      </c>
      <c r="V51" s="12" t="s">
        <v>275</v>
      </c>
      <c r="W51" s="15"/>
      <c r="X51" s="26"/>
      <c r="Y51" s="57"/>
      <c r="Z51" s="23"/>
    </row>
    <row r="52" spans="1:26" x14ac:dyDescent="0.25">
      <c r="A52" s="14"/>
      <c r="B52" s="12"/>
      <c r="C52" s="16"/>
      <c r="D52" s="11"/>
      <c r="E52" s="15"/>
      <c r="F52" s="26"/>
      <c r="G52" s="60"/>
      <c r="H52" s="13"/>
      <c r="I52" s="75"/>
      <c r="J52" s="10" t="s">
        <v>25</v>
      </c>
      <c r="K52" s="11">
        <v>1</v>
      </c>
      <c r="L52" s="10" t="s">
        <v>173</v>
      </c>
      <c r="M52" s="12" t="s">
        <v>344</v>
      </c>
      <c r="N52" s="44"/>
      <c r="O52" s="44"/>
      <c r="P52" s="57"/>
      <c r="Q52" s="23"/>
      <c r="R52" s="75"/>
      <c r="S52" s="10" t="s">
        <v>31</v>
      </c>
      <c r="T52" s="11">
        <v>1</v>
      </c>
      <c r="U52" s="10" t="s">
        <v>65</v>
      </c>
      <c r="V52" s="12" t="s">
        <v>275</v>
      </c>
      <c r="W52" s="15"/>
      <c r="X52" s="26"/>
      <c r="Y52" s="57"/>
      <c r="Z52" s="23"/>
    </row>
    <row r="53" spans="1:26" x14ac:dyDescent="0.25">
      <c r="A53" s="14"/>
      <c r="B53" s="12"/>
      <c r="C53" s="16"/>
      <c r="D53" s="11"/>
      <c r="E53" s="15"/>
      <c r="F53" s="26"/>
      <c r="G53" s="60"/>
      <c r="H53" s="13"/>
      <c r="I53" s="75"/>
      <c r="J53" s="10" t="s">
        <v>25</v>
      </c>
      <c r="K53" s="11">
        <v>1</v>
      </c>
      <c r="L53" s="10" t="s">
        <v>175</v>
      </c>
      <c r="M53" s="12" t="s">
        <v>344</v>
      </c>
      <c r="N53" s="44"/>
      <c r="O53" s="44"/>
      <c r="P53" s="57"/>
      <c r="Q53" s="23"/>
      <c r="R53" s="75"/>
      <c r="S53" s="10" t="s">
        <v>31</v>
      </c>
      <c r="T53" s="11">
        <v>1</v>
      </c>
      <c r="U53" s="10" t="s">
        <v>68</v>
      </c>
      <c r="V53" s="12" t="s">
        <v>275</v>
      </c>
      <c r="W53" s="15"/>
      <c r="X53" s="26"/>
      <c r="Y53" s="57"/>
      <c r="Z53" s="23"/>
    </row>
    <row r="54" spans="1:26" x14ac:dyDescent="0.25">
      <c r="A54" s="14"/>
      <c r="B54" s="12"/>
      <c r="C54" s="16"/>
      <c r="D54" s="11"/>
      <c r="E54" s="15"/>
      <c r="F54" s="26"/>
      <c r="G54" s="60"/>
      <c r="H54" s="13"/>
      <c r="I54" s="75"/>
      <c r="J54" s="10" t="s">
        <v>25</v>
      </c>
      <c r="K54" s="11">
        <v>1</v>
      </c>
      <c r="L54" s="10" t="s">
        <v>177</v>
      </c>
      <c r="M54" s="12" t="s">
        <v>344</v>
      </c>
      <c r="N54" s="44"/>
      <c r="O54" s="44"/>
      <c r="P54" s="57"/>
      <c r="Q54" s="23"/>
      <c r="R54" s="75"/>
      <c r="S54" s="10" t="s">
        <v>31</v>
      </c>
      <c r="T54" s="11">
        <v>1</v>
      </c>
      <c r="U54" s="10" t="s">
        <v>139</v>
      </c>
      <c r="V54" s="12" t="s">
        <v>275</v>
      </c>
      <c r="W54" s="15"/>
      <c r="X54" s="26"/>
      <c r="Y54" s="57"/>
      <c r="Z54" s="23"/>
    </row>
    <row r="55" spans="1:26" x14ac:dyDescent="0.25">
      <c r="A55" s="14"/>
      <c r="B55" s="12"/>
      <c r="C55" s="16"/>
      <c r="D55" s="11"/>
      <c r="E55" s="15"/>
      <c r="F55" s="26"/>
      <c r="G55" s="60"/>
      <c r="H55" s="13"/>
      <c r="I55" s="75"/>
      <c r="J55" s="10" t="s">
        <v>25</v>
      </c>
      <c r="K55" s="11">
        <v>1</v>
      </c>
      <c r="L55" s="10" t="s">
        <v>179</v>
      </c>
      <c r="M55" s="12" t="s">
        <v>344</v>
      </c>
      <c r="N55" s="44"/>
      <c r="O55" s="44"/>
      <c r="P55" s="57"/>
      <c r="Q55" s="23"/>
      <c r="R55" s="75"/>
      <c r="S55" s="10" t="s">
        <v>31</v>
      </c>
      <c r="T55" s="11">
        <v>1</v>
      </c>
      <c r="U55" s="10" t="s">
        <v>73</v>
      </c>
      <c r="V55" s="12" t="s">
        <v>275</v>
      </c>
      <c r="W55" s="15"/>
      <c r="X55" s="26"/>
      <c r="Y55" s="57"/>
      <c r="Z55" s="23"/>
    </row>
    <row r="56" spans="1:26" ht="25.15" customHeight="1" x14ac:dyDescent="0.35">
      <c r="A56" s="579" t="s">
        <v>281</v>
      </c>
      <c r="B56" s="580"/>
      <c r="C56" s="580"/>
      <c r="D56" s="580"/>
      <c r="E56" s="580"/>
      <c r="F56" s="580"/>
      <c r="G56" s="580"/>
      <c r="H56" s="581"/>
      <c r="I56" s="78"/>
      <c r="J56" s="578" t="s">
        <v>279</v>
      </c>
      <c r="K56" s="578"/>
      <c r="L56" s="578"/>
      <c r="M56" s="578"/>
      <c r="N56" s="578"/>
      <c r="O56" s="578"/>
      <c r="P56" s="578"/>
      <c r="Q56" s="578"/>
      <c r="R56" s="78"/>
      <c r="S56" s="579" t="s">
        <v>280</v>
      </c>
      <c r="T56" s="580"/>
      <c r="U56" s="580"/>
      <c r="V56" s="580"/>
      <c r="W56" s="580"/>
      <c r="X56" s="580"/>
      <c r="Y56" s="580"/>
      <c r="Z56" s="581"/>
    </row>
    <row r="57" spans="1:26" ht="16.5" thickBot="1" x14ac:dyDescent="0.3">
      <c r="A57" s="27" t="s">
        <v>0</v>
      </c>
      <c r="B57" s="28" t="s">
        <v>1</v>
      </c>
      <c r="C57" s="28" t="s">
        <v>2</v>
      </c>
      <c r="D57" s="28" t="s">
        <v>24</v>
      </c>
      <c r="E57" s="9" t="s">
        <v>7</v>
      </c>
      <c r="F57" s="45" t="s">
        <v>9</v>
      </c>
      <c r="G57" s="7" t="s">
        <v>133</v>
      </c>
      <c r="H57" s="7" t="s">
        <v>134</v>
      </c>
      <c r="I57" s="75"/>
      <c r="J57" s="27" t="s">
        <v>0</v>
      </c>
      <c r="K57" s="28" t="s">
        <v>1</v>
      </c>
      <c r="L57" s="28" t="s">
        <v>2</v>
      </c>
      <c r="M57" s="28" t="s">
        <v>24</v>
      </c>
      <c r="N57" s="9" t="s">
        <v>7</v>
      </c>
      <c r="O57" s="45" t="s">
        <v>9</v>
      </c>
      <c r="P57" s="7" t="s">
        <v>133</v>
      </c>
      <c r="Q57" s="46" t="s">
        <v>134</v>
      </c>
      <c r="R57" s="75"/>
      <c r="S57" s="27" t="s">
        <v>0</v>
      </c>
      <c r="T57" s="28" t="s">
        <v>1</v>
      </c>
      <c r="U57" s="28" t="s">
        <v>2</v>
      </c>
      <c r="V57" s="28" t="s">
        <v>24</v>
      </c>
      <c r="W57" s="9" t="s">
        <v>7</v>
      </c>
      <c r="X57" s="45" t="s">
        <v>9</v>
      </c>
      <c r="Y57" s="7" t="s">
        <v>133</v>
      </c>
      <c r="Z57" s="46" t="s">
        <v>134</v>
      </c>
    </row>
    <row r="58" spans="1:26" x14ac:dyDescent="0.25">
      <c r="A58" s="14" t="s">
        <v>198</v>
      </c>
      <c r="B58" s="12">
        <v>1</v>
      </c>
      <c r="C58" s="10" t="s">
        <v>199</v>
      </c>
      <c r="D58" s="12" t="s">
        <v>345</v>
      </c>
      <c r="E58" s="22"/>
      <c r="F58" s="26"/>
      <c r="G58" s="59"/>
      <c r="H58" s="16"/>
      <c r="I58" s="75"/>
      <c r="J58" s="10" t="s">
        <v>28</v>
      </c>
      <c r="K58" s="11">
        <v>1</v>
      </c>
      <c r="L58" s="10" t="s">
        <v>141</v>
      </c>
      <c r="M58" s="12" t="s">
        <v>342</v>
      </c>
      <c r="N58" s="22"/>
      <c r="O58" s="26"/>
      <c r="P58" s="57"/>
      <c r="Q58" s="23"/>
      <c r="R58" s="75"/>
      <c r="S58" s="10" t="s">
        <v>28</v>
      </c>
      <c r="T58" s="11">
        <v>1</v>
      </c>
      <c r="U58" s="10" t="s">
        <v>141</v>
      </c>
      <c r="V58" s="12" t="s">
        <v>343</v>
      </c>
      <c r="W58" s="22"/>
      <c r="X58" s="26"/>
      <c r="Y58" s="58"/>
      <c r="Z58" s="44"/>
    </row>
    <row r="59" spans="1:26" x14ac:dyDescent="0.25">
      <c r="A59" s="14" t="s">
        <v>198</v>
      </c>
      <c r="B59" s="12">
        <v>1</v>
      </c>
      <c r="C59" s="10" t="s">
        <v>200</v>
      </c>
      <c r="D59" s="12" t="s">
        <v>345</v>
      </c>
      <c r="E59" s="22"/>
      <c r="F59" s="26"/>
      <c r="G59" s="60"/>
      <c r="H59" s="13"/>
      <c r="I59" s="75"/>
      <c r="J59" s="10" t="s">
        <v>28</v>
      </c>
      <c r="K59" s="11">
        <v>1</v>
      </c>
      <c r="L59" s="10" t="s">
        <v>143</v>
      </c>
      <c r="M59" s="12" t="s">
        <v>342</v>
      </c>
      <c r="N59" s="22"/>
      <c r="O59" s="26"/>
      <c r="P59" s="57"/>
      <c r="Q59" s="23"/>
      <c r="R59" s="75"/>
      <c r="S59" s="10" t="s">
        <v>28</v>
      </c>
      <c r="T59" s="11">
        <v>1</v>
      </c>
      <c r="U59" s="10" t="s">
        <v>143</v>
      </c>
      <c r="V59" s="12" t="s">
        <v>343</v>
      </c>
      <c r="W59" s="22"/>
      <c r="X59" s="26"/>
      <c r="Y59" s="58"/>
      <c r="Z59" s="44"/>
    </row>
    <row r="60" spans="1:26" x14ac:dyDescent="0.25">
      <c r="A60" s="14" t="s">
        <v>198</v>
      </c>
      <c r="B60" s="12">
        <v>1</v>
      </c>
      <c r="C60" s="10" t="s">
        <v>201</v>
      </c>
      <c r="D60" s="12" t="s">
        <v>345</v>
      </c>
      <c r="E60" s="22"/>
      <c r="F60" s="26"/>
      <c r="G60" s="60"/>
      <c r="H60" s="13"/>
      <c r="I60" s="75"/>
      <c r="J60" s="10" t="s">
        <v>28</v>
      </c>
      <c r="K60" s="11">
        <v>1</v>
      </c>
      <c r="L60" s="10" t="s">
        <v>145</v>
      </c>
      <c r="M60" s="12" t="s">
        <v>342</v>
      </c>
      <c r="N60" s="21"/>
      <c r="O60" s="22"/>
      <c r="P60" s="57"/>
      <c r="Q60" s="23"/>
      <c r="R60" s="75"/>
      <c r="S60" s="10" t="s">
        <v>28</v>
      </c>
      <c r="T60" s="11">
        <v>1</v>
      </c>
      <c r="U60" s="10" t="s">
        <v>145</v>
      </c>
      <c r="V60" s="12" t="s">
        <v>343</v>
      </c>
      <c r="W60" s="21"/>
      <c r="X60" s="22"/>
      <c r="Y60" s="58"/>
      <c r="Z60" s="44"/>
    </row>
    <row r="61" spans="1:26" x14ac:dyDescent="0.25">
      <c r="A61" s="14" t="s">
        <v>198</v>
      </c>
      <c r="B61" s="12">
        <v>1</v>
      </c>
      <c r="C61" s="10" t="s">
        <v>202</v>
      </c>
      <c r="D61" s="12" t="s">
        <v>345</v>
      </c>
      <c r="E61" s="22"/>
      <c r="F61" s="26"/>
      <c r="G61" s="60"/>
      <c r="H61" s="13"/>
      <c r="I61" s="75"/>
      <c r="J61" s="10" t="s">
        <v>28</v>
      </c>
      <c r="K61" s="11">
        <v>1</v>
      </c>
      <c r="L61" s="10" t="s">
        <v>147</v>
      </c>
      <c r="M61" s="12" t="s">
        <v>342</v>
      </c>
      <c r="N61" s="21"/>
      <c r="O61" s="22"/>
      <c r="P61" s="57"/>
      <c r="Q61" s="23"/>
      <c r="R61" s="75"/>
      <c r="S61" s="10" t="s">
        <v>28</v>
      </c>
      <c r="T61" s="11">
        <v>1</v>
      </c>
      <c r="U61" s="10" t="s">
        <v>147</v>
      </c>
      <c r="V61" s="12" t="s">
        <v>343</v>
      </c>
      <c r="W61" s="21"/>
      <c r="X61" s="22"/>
      <c r="Y61" s="58"/>
      <c r="Z61" s="44"/>
    </row>
    <row r="62" spans="1:26" x14ac:dyDescent="0.25">
      <c r="A62" s="14" t="s">
        <v>198</v>
      </c>
      <c r="B62" s="12">
        <v>1</v>
      </c>
      <c r="C62" s="10" t="s">
        <v>203</v>
      </c>
      <c r="D62" s="12" t="s">
        <v>345</v>
      </c>
      <c r="E62" s="22"/>
      <c r="F62" s="26"/>
      <c r="G62" s="60"/>
      <c r="H62" s="13"/>
      <c r="I62" s="75"/>
      <c r="J62" s="10" t="s">
        <v>28</v>
      </c>
      <c r="K62" s="11">
        <v>1</v>
      </c>
      <c r="L62" s="10" t="s">
        <v>149</v>
      </c>
      <c r="M62" s="12" t="s">
        <v>342</v>
      </c>
      <c r="N62" s="21"/>
      <c r="O62" s="22"/>
      <c r="P62" s="57"/>
      <c r="Q62" s="23"/>
      <c r="R62" s="75"/>
      <c r="S62" s="10" t="s">
        <v>28</v>
      </c>
      <c r="T62" s="11">
        <v>1</v>
      </c>
      <c r="U62" s="10" t="s">
        <v>149</v>
      </c>
      <c r="V62" s="12" t="s">
        <v>343</v>
      </c>
      <c r="W62" s="21"/>
      <c r="X62" s="22"/>
      <c r="Y62" s="58"/>
      <c r="Z62" s="44"/>
    </row>
    <row r="63" spans="1:26" x14ac:dyDescent="0.25">
      <c r="A63" s="14" t="s">
        <v>198</v>
      </c>
      <c r="B63" s="12">
        <v>1</v>
      </c>
      <c r="C63" s="10" t="s">
        <v>204</v>
      </c>
      <c r="D63" s="12" t="s">
        <v>345</v>
      </c>
      <c r="E63" s="22"/>
      <c r="F63" s="26"/>
      <c r="G63" s="60"/>
      <c r="H63" s="13"/>
      <c r="I63" s="75"/>
      <c r="J63" s="10" t="s">
        <v>28</v>
      </c>
      <c r="K63" s="11">
        <v>1</v>
      </c>
      <c r="L63" s="10" t="s">
        <v>160</v>
      </c>
      <c r="M63" s="12" t="s">
        <v>342</v>
      </c>
      <c r="N63" s="22"/>
      <c r="O63" s="26"/>
      <c r="P63" s="57"/>
      <c r="Q63" s="23"/>
      <c r="R63" s="75"/>
      <c r="S63" s="10" t="s">
        <v>28</v>
      </c>
      <c r="T63" s="11">
        <v>1</v>
      </c>
      <c r="U63" s="10" t="s">
        <v>160</v>
      </c>
      <c r="V63" s="12" t="s">
        <v>343</v>
      </c>
      <c r="W63" s="22"/>
      <c r="X63" s="26"/>
      <c r="Y63" s="58"/>
      <c r="Z63" s="44"/>
    </row>
    <row r="64" spans="1:26" x14ac:dyDescent="0.25">
      <c r="A64" s="10"/>
      <c r="B64" s="11"/>
      <c r="C64" s="34"/>
      <c r="D64" s="12"/>
      <c r="E64" s="22"/>
      <c r="F64" s="26"/>
      <c r="G64" s="60"/>
      <c r="H64" s="13"/>
      <c r="I64" s="75"/>
      <c r="J64" s="10" t="s">
        <v>28</v>
      </c>
      <c r="K64" s="11">
        <v>1</v>
      </c>
      <c r="L64" s="10" t="s">
        <v>162</v>
      </c>
      <c r="M64" s="12" t="s">
        <v>342</v>
      </c>
      <c r="N64" s="15"/>
      <c r="O64" s="26"/>
      <c r="P64" s="57"/>
      <c r="Q64" s="23"/>
      <c r="R64" s="75"/>
      <c r="S64" s="10" t="s">
        <v>28</v>
      </c>
      <c r="T64" s="11">
        <v>1</v>
      </c>
      <c r="U64" s="10" t="s">
        <v>162</v>
      </c>
      <c r="V64" s="12" t="s">
        <v>343</v>
      </c>
      <c r="W64" s="15"/>
      <c r="X64" s="26"/>
      <c r="Y64" s="58"/>
      <c r="Z64" s="44"/>
    </row>
    <row r="65" spans="1:26" x14ac:dyDescent="0.25">
      <c r="A65" s="10"/>
      <c r="B65" s="11"/>
      <c r="C65" s="34"/>
      <c r="D65" s="12"/>
      <c r="E65" s="22"/>
      <c r="F65" s="26"/>
      <c r="G65" s="60"/>
      <c r="H65" s="13"/>
      <c r="I65" s="75"/>
      <c r="J65" s="10" t="s">
        <v>28</v>
      </c>
      <c r="K65" s="11">
        <v>1</v>
      </c>
      <c r="L65" s="10" t="s">
        <v>164</v>
      </c>
      <c r="M65" s="12" t="s">
        <v>342</v>
      </c>
      <c r="N65" s="22"/>
      <c r="O65" s="26"/>
      <c r="P65" s="57"/>
      <c r="Q65" s="23"/>
      <c r="R65" s="75"/>
      <c r="S65" s="10" t="s">
        <v>28</v>
      </c>
      <c r="T65" s="11">
        <v>1</v>
      </c>
      <c r="U65" s="10" t="s">
        <v>164</v>
      </c>
      <c r="V65" s="12" t="s">
        <v>343</v>
      </c>
      <c r="W65" s="22"/>
      <c r="X65" s="26"/>
      <c r="Y65" s="58"/>
      <c r="Z65" s="44"/>
    </row>
    <row r="66" spans="1:26" x14ac:dyDescent="0.25">
      <c r="A66" s="10"/>
      <c r="B66" s="11"/>
      <c r="C66" s="34"/>
      <c r="D66" s="12"/>
      <c r="E66" s="22"/>
      <c r="F66" s="22"/>
      <c r="G66" s="62"/>
      <c r="H66" s="24"/>
      <c r="I66" s="75"/>
      <c r="J66" s="10" t="s">
        <v>28</v>
      </c>
      <c r="K66" s="11">
        <v>1</v>
      </c>
      <c r="L66" s="10" t="s">
        <v>166</v>
      </c>
      <c r="M66" s="12" t="s">
        <v>342</v>
      </c>
      <c r="N66" s="15"/>
      <c r="O66" s="26"/>
      <c r="P66" s="57"/>
      <c r="Q66" s="23"/>
      <c r="R66" s="75"/>
      <c r="S66" s="10" t="s">
        <v>28</v>
      </c>
      <c r="T66" s="11">
        <v>1</v>
      </c>
      <c r="U66" s="10" t="s">
        <v>166</v>
      </c>
      <c r="V66" s="12" t="s">
        <v>343</v>
      </c>
      <c r="W66" s="15"/>
      <c r="X66" s="26"/>
      <c r="Y66" s="58"/>
      <c r="Z66" s="44"/>
    </row>
    <row r="67" spans="1:26" x14ac:dyDescent="0.25">
      <c r="A67" s="14"/>
      <c r="B67" s="12"/>
      <c r="C67" s="35"/>
      <c r="D67" s="12"/>
      <c r="E67" s="22"/>
      <c r="F67" s="22"/>
      <c r="G67" s="62"/>
      <c r="H67" s="24"/>
      <c r="I67" s="75"/>
      <c r="J67" s="10" t="s">
        <v>28</v>
      </c>
      <c r="K67" s="11">
        <v>1</v>
      </c>
      <c r="L67" s="10" t="s">
        <v>168</v>
      </c>
      <c r="M67" s="12" t="s">
        <v>342</v>
      </c>
      <c r="N67" s="15"/>
      <c r="O67" s="26"/>
      <c r="P67" s="57"/>
      <c r="Q67" s="23"/>
      <c r="R67" s="75"/>
      <c r="S67" s="10" t="s">
        <v>28</v>
      </c>
      <c r="T67" s="11">
        <v>1</v>
      </c>
      <c r="U67" s="10" t="s">
        <v>168</v>
      </c>
      <c r="V67" s="12" t="s">
        <v>343</v>
      </c>
      <c r="W67" s="15"/>
      <c r="X67" s="26"/>
      <c r="Y67" s="58"/>
      <c r="Z67" s="44"/>
    </row>
    <row r="68" spans="1:26" x14ac:dyDescent="0.25">
      <c r="A68" s="10"/>
      <c r="B68" s="11"/>
      <c r="C68" s="32"/>
      <c r="D68" s="12"/>
      <c r="E68" s="21"/>
      <c r="F68" s="22"/>
      <c r="G68" s="62"/>
      <c r="H68" s="24"/>
      <c r="I68" s="75"/>
      <c r="J68" s="10" t="s">
        <v>28</v>
      </c>
      <c r="K68" s="11">
        <v>1</v>
      </c>
      <c r="L68" s="10" t="s">
        <v>170</v>
      </c>
      <c r="M68" s="12" t="s">
        <v>342</v>
      </c>
      <c r="N68" s="15"/>
      <c r="O68" s="26"/>
      <c r="P68" s="57"/>
      <c r="Q68" s="23"/>
      <c r="R68" s="75"/>
      <c r="S68" s="10" t="s">
        <v>28</v>
      </c>
      <c r="T68" s="11">
        <v>1</v>
      </c>
      <c r="U68" s="10" t="s">
        <v>170</v>
      </c>
      <c r="V68" s="12" t="s">
        <v>343</v>
      </c>
      <c r="W68" s="15"/>
      <c r="X68" s="26"/>
      <c r="Y68" s="58"/>
      <c r="Z68" s="44"/>
    </row>
    <row r="69" spans="1:26" x14ac:dyDescent="0.25">
      <c r="A69" s="10"/>
      <c r="B69" s="11"/>
      <c r="C69" s="10"/>
      <c r="D69" s="12"/>
      <c r="E69" s="21"/>
      <c r="F69" s="22"/>
      <c r="G69" s="62"/>
      <c r="H69" s="24"/>
      <c r="I69" s="75"/>
      <c r="J69" s="10" t="s">
        <v>28</v>
      </c>
      <c r="K69" s="11">
        <v>1</v>
      </c>
      <c r="L69" s="10" t="s">
        <v>172</v>
      </c>
      <c r="M69" s="12" t="s">
        <v>342</v>
      </c>
      <c r="N69" s="44"/>
      <c r="O69" s="44"/>
      <c r="P69" s="57"/>
      <c r="Q69" s="23"/>
      <c r="R69" s="75"/>
      <c r="S69" s="10" t="s">
        <v>28</v>
      </c>
      <c r="T69" s="11">
        <v>1</v>
      </c>
      <c r="U69" s="10" t="s">
        <v>172</v>
      </c>
      <c r="V69" s="12" t="s">
        <v>343</v>
      </c>
      <c r="W69" s="44"/>
      <c r="X69" s="44"/>
      <c r="Y69" s="58"/>
      <c r="Z69" s="44"/>
    </row>
    <row r="70" spans="1:26" x14ac:dyDescent="0.25">
      <c r="A70" s="10"/>
      <c r="B70" s="11"/>
      <c r="C70" s="10"/>
      <c r="D70" s="12"/>
      <c r="E70" s="21"/>
      <c r="F70" s="22"/>
      <c r="G70" s="62"/>
      <c r="H70" s="24"/>
      <c r="I70" s="75"/>
      <c r="J70" s="10" t="s">
        <v>28</v>
      </c>
      <c r="K70" s="11">
        <v>1</v>
      </c>
      <c r="L70" s="10" t="s">
        <v>174</v>
      </c>
      <c r="M70" s="12" t="s">
        <v>342</v>
      </c>
      <c r="N70" s="44"/>
      <c r="O70" s="44"/>
      <c r="P70" s="57"/>
      <c r="Q70" s="23"/>
      <c r="R70" s="75"/>
      <c r="S70" s="10" t="s">
        <v>28</v>
      </c>
      <c r="T70" s="11">
        <v>1</v>
      </c>
      <c r="U70" s="10" t="s">
        <v>174</v>
      </c>
      <c r="V70" s="12" t="s">
        <v>343</v>
      </c>
      <c r="W70" s="44"/>
      <c r="X70" s="44"/>
      <c r="Y70" s="58"/>
      <c r="Z70" s="44"/>
    </row>
    <row r="71" spans="1:26" ht="15.75" x14ac:dyDescent="0.25">
      <c r="A71" s="74"/>
      <c r="B71" s="74"/>
      <c r="C71" s="74"/>
      <c r="D71" s="74"/>
      <c r="E71" s="74"/>
      <c r="F71" s="74"/>
      <c r="G71" s="74"/>
      <c r="H71" s="74"/>
      <c r="I71" s="75"/>
      <c r="J71" s="10" t="s">
        <v>28</v>
      </c>
      <c r="K71" s="11">
        <v>1</v>
      </c>
      <c r="L71" s="10" t="s">
        <v>176</v>
      </c>
      <c r="M71" s="12" t="s">
        <v>342</v>
      </c>
      <c r="N71" s="44"/>
      <c r="O71" s="44"/>
      <c r="P71" s="57"/>
      <c r="Q71" s="23"/>
      <c r="R71" s="75"/>
      <c r="S71" s="10" t="s">
        <v>28</v>
      </c>
      <c r="T71" s="11">
        <v>1</v>
      </c>
      <c r="U71" s="10" t="s">
        <v>176</v>
      </c>
      <c r="V71" s="12" t="s">
        <v>343</v>
      </c>
      <c r="W71" s="44"/>
      <c r="X71" s="44"/>
      <c r="Y71" s="58"/>
      <c r="Z71" s="44"/>
    </row>
    <row r="72" spans="1:26" x14ac:dyDescent="0.25">
      <c r="A72" s="10"/>
      <c r="B72" s="11"/>
      <c r="C72" s="10"/>
      <c r="D72" s="12"/>
      <c r="E72" s="21"/>
      <c r="F72" s="22"/>
      <c r="G72" s="62"/>
      <c r="H72" s="24"/>
      <c r="I72" s="75"/>
      <c r="J72" s="10" t="s">
        <v>28</v>
      </c>
      <c r="K72" s="11">
        <v>1</v>
      </c>
      <c r="L72" s="10" t="s">
        <v>178</v>
      </c>
      <c r="M72" s="12" t="s">
        <v>342</v>
      </c>
      <c r="N72" s="44"/>
      <c r="O72" s="44"/>
      <c r="P72" s="57"/>
      <c r="Q72" s="23"/>
      <c r="R72" s="75"/>
      <c r="S72" s="10" t="s">
        <v>28</v>
      </c>
      <c r="T72" s="11">
        <v>1</v>
      </c>
      <c r="U72" s="10" t="s">
        <v>178</v>
      </c>
      <c r="V72" s="12" t="s">
        <v>343</v>
      </c>
      <c r="W72" s="44"/>
      <c r="X72" s="44"/>
      <c r="Y72" s="58"/>
      <c r="Z72" s="44"/>
    </row>
    <row r="73" spans="1:26" x14ac:dyDescent="0.25">
      <c r="A73" s="10"/>
      <c r="B73" s="11"/>
      <c r="C73" s="10"/>
      <c r="D73" s="12"/>
      <c r="E73" s="21"/>
      <c r="F73" s="22"/>
      <c r="G73" s="62"/>
      <c r="H73" s="24"/>
      <c r="I73" s="75"/>
      <c r="J73" s="10" t="s">
        <v>28</v>
      </c>
      <c r="K73" s="11">
        <v>1</v>
      </c>
      <c r="L73" s="10" t="s">
        <v>180</v>
      </c>
      <c r="M73" s="12" t="s">
        <v>342</v>
      </c>
      <c r="N73" s="44"/>
      <c r="O73" s="44"/>
      <c r="P73" s="57"/>
      <c r="Q73" s="23"/>
      <c r="R73" s="75"/>
      <c r="S73" s="10" t="s">
        <v>28</v>
      </c>
      <c r="T73" s="11">
        <v>1</v>
      </c>
      <c r="U73" s="10" t="s">
        <v>180</v>
      </c>
      <c r="V73" s="12" t="s">
        <v>343</v>
      </c>
      <c r="W73" s="44"/>
      <c r="X73" s="44"/>
      <c r="Y73" s="58"/>
      <c r="Z73" s="44"/>
    </row>
    <row r="74" spans="1:26" ht="19.899999999999999" customHeight="1" x14ac:dyDescent="0.25">
      <c r="A74" s="611"/>
      <c r="B74" s="612"/>
      <c r="C74" s="612"/>
      <c r="D74" s="612"/>
      <c r="E74" s="612"/>
      <c r="F74" s="612"/>
      <c r="G74" s="612"/>
      <c r="H74" s="613"/>
      <c r="I74" s="78"/>
      <c r="J74" s="611"/>
      <c r="K74" s="612"/>
      <c r="L74" s="612"/>
      <c r="M74" s="612"/>
      <c r="N74" s="612"/>
      <c r="O74" s="612"/>
      <c r="P74" s="612"/>
      <c r="Q74" s="613"/>
      <c r="R74" s="78"/>
      <c r="S74" s="611"/>
      <c r="T74" s="612"/>
      <c r="U74" s="612"/>
      <c r="V74" s="612"/>
      <c r="W74" s="612"/>
      <c r="X74" s="612"/>
      <c r="Y74" s="612"/>
      <c r="Z74" s="613"/>
    </row>
    <row r="75" spans="1:26" x14ac:dyDescent="0.25">
      <c r="A75" s="10" t="s">
        <v>115</v>
      </c>
      <c r="B75" s="11">
        <v>1</v>
      </c>
      <c r="C75" s="10" t="s">
        <v>121</v>
      </c>
      <c r="D75" s="11"/>
      <c r="E75" s="21"/>
      <c r="F75" s="22"/>
      <c r="G75" s="62"/>
      <c r="H75" s="24"/>
      <c r="I75" s="75"/>
      <c r="J75" s="10"/>
      <c r="K75" s="11"/>
      <c r="L75" s="10"/>
      <c r="M75" s="12"/>
      <c r="N75" s="22"/>
      <c r="O75" s="26"/>
      <c r="P75" s="58"/>
      <c r="Q75" s="44"/>
      <c r="R75" s="75"/>
      <c r="S75" s="23"/>
      <c r="T75" s="12"/>
      <c r="U75" s="23"/>
      <c r="V75" s="12"/>
      <c r="W75" s="21"/>
      <c r="X75" s="26"/>
      <c r="Y75" s="58"/>
      <c r="Z75" s="44"/>
    </row>
    <row r="76" spans="1:26" x14ac:dyDescent="0.25">
      <c r="A76" s="10" t="s">
        <v>116</v>
      </c>
      <c r="B76" s="11">
        <v>1</v>
      </c>
      <c r="C76" s="10" t="s">
        <v>97</v>
      </c>
      <c r="D76" s="12"/>
      <c r="E76" s="21"/>
      <c r="F76" s="22"/>
      <c r="G76" s="62"/>
      <c r="H76" s="24"/>
      <c r="I76" s="75"/>
      <c r="J76" s="10"/>
      <c r="K76" s="11"/>
      <c r="L76" s="10"/>
      <c r="M76" s="12"/>
      <c r="N76" s="22"/>
      <c r="O76" s="26"/>
      <c r="P76" s="58"/>
      <c r="Q76" s="44"/>
      <c r="R76" s="75"/>
      <c r="S76" s="10"/>
      <c r="T76" s="11"/>
      <c r="U76" s="10"/>
      <c r="V76" s="12"/>
      <c r="W76" s="15"/>
      <c r="X76" s="26"/>
      <c r="Y76" s="58"/>
      <c r="Z76" s="44"/>
    </row>
    <row r="77" spans="1:26" x14ac:dyDescent="0.25">
      <c r="A77" s="10" t="s">
        <v>117</v>
      </c>
      <c r="B77" s="11">
        <v>1</v>
      </c>
      <c r="C77" s="10" t="s">
        <v>97</v>
      </c>
      <c r="D77" s="12"/>
      <c r="E77" s="21"/>
      <c r="F77" s="22"/>
      <c r="G77" s="62"/>
      <c r="H77" s="24"/>
      <c r="I77" s="75"/>
      <c r="J77" s="10"/>
      <c r="K77" s="11"/>
      <c r="L77" s="10"/>
      <c r="M77" s="12"/>
      <c r="N77" s="21"/>
      <c r="O77" s="22"/>
      <c r="P77" s="58"/>
      <c r="Q77" s="44"/>
      <c r="R77" s="75"/>
      <c r="S77" s="10"/>
      <c r="T77" s="11"/>
      <c r="U77" s="10"/>
      <c r="V77" s="12"/>
      <c r="W77" s="15"/>
      <c r="X77" s="26"/>
      <c r="Y77" s="58"/>
      <c r="Z77" s="44"/>
    </row>
    <row r="78" spans="1:26" x14ac:dyDescent="0.25">
      <c r="A78" s="10" t="s">
        <v>99</v>
      </c>
      <c r="B78" s="11">
        <v>1</v>
      </c>
      <c r="C78" s="10" t="s">
        <v>242</v>
      </c>
      <c r="D78" s="12"/>
      <c r="E78" s="21"/>
      <c r="F78" s="22"/>
      <c r="G78" s="62"/>
      <c r="H78" s="24"/>
      <c r="I78" s="75"/>
      <c r="J78" s="10"/>
      <c r="K78" s="11"/>
      <c r="L78" s="10"/>
      <c r="M78" s="12"/>
      <c r="N78" s="21"/>
      <c r="O78" s="22"/>
      <c r="P78" s="58"/>
      <c r="Q78" s="44"/>
      <c r="R78" s="75"/>
      <c r="S78" s="23"/>
      <c r="T78" s="12"/>
      <c r="U78" s="23"/>
      <c r="V78" s="12"/>
      <c r="W78" s="15"/>
      <c r="X78" s="26"/>
      <c r="Y78" s="58"/>
      <c r="Z78" s="44"/>
    </row>
    <row r="79" spans="1:26" x14ac:dyDescent="0.25">
      <c r="A79" s="10"/>
      <c r="B79" s="11"/>
      <c r="C79" s="32"/>
      <c r="D79" s="12"/>
      <c r="E79" s="21"/>
      <c r="F79" s="22"/>
      <c r="G79" s="62"/>
      <c r="H79" s="24"/>
      <c r="I79" s="75"/>
      <c r="J79" s="10"/>
      <c r="K79" s="11"/>
      <c r="L79" s="10"/>
      <c r="M79" s="12"/>
      <c r="N79" s="21"/>
      <c r="O79" s="22"/>
      <c r="P79" s="58"/>
      <c r="Q79" s="44"/>
      <c r="R79" s="75"/>
      <c r="S79" s="10"/>
      <c r="T79" s="11"/>
      <c r="U79" s="10"/>
      <c r="V79" s="12"/>
      <c r="W79" s="15"/>
      <c r="X79" s="26"/>
      <c r="Y79" s="58"/>
      <c r="Z79" s="44"/>
    </row>
    <row r="80" spans="1:26" x14ac:dyDescent="0.25">
      <c r="A80" s="10" t="s">
        <v>95</v>
      </c>
      <c r="B80" s="11">
        <v>1</v>
      </c>
      <c r="C80" s="10" t="s">
        <v>100</v>
      </c>
      <c r="D80" s="12"/>
      <c r="E80" s="21"/>
      <c r="F80" s="26"/>
      <c r="G80" s="60"/>
      <c r="H80" s="13"/>
      <c r="I80" s="75"/>
      <c r="J80" s="10"/>
      <c r="K80" s="11"/>
      <c r="L80" s="10"/>
      <c r="M80" s="12"/>
      <c r="N80" s="22"/>
      <c r="O80" s="26"/>
      <c r="P80" s="58"/>
      <c r="Q80" s="44"/>
      <c r="R80" s="75"/>
      <c r="S80" s="10"/>
      <c r="T80" s="11"/>
      <c r="U80" s="10"/>
      <c r="V80" s="12"/>
      <c r="W80" s="22"/>
      <c r="X80" s="26"/>
      <c r="Y80" s="58"/>
      <c r="Z80" s="44"/>
    </row>
    <row r="81" spans="1:26" x14ac:dyDescent="0.25">
      <c r="A81" s="10" t="s">
        <v>96</v>
      </c>
      <c r="B81" s="11">
        <v>1</v>
      </c>
      <c r="C81" s="10" t="s">
        <v>97</v>
      </c>
      <c r="D81" s="12"/>
      <c r="E81" s="25"/>
      <c r="F81" s="26"/>
      <c r="G81" s="60"/>
      <c r="H81" s="13"/>
      <c r="I81" s="75"/>
      <c r="J81" s="10"/>
      <c r="K81" s="11"/>
      <c r="L81" s="10"/>
      <c r="M81" s="12"/>
      <c r="N81" s="15"/>
      <c r="O81" s="26"/>
      <c r="P81" s="58"/>
      <c r="Q81" s="44"/>
      <c r="R81" s="75"/>
      <c r="S81" s="23"/>
      <c r="T81" s="12"/>
      <c r="U81" s="23"/>
      <c r="V81" s="12"/>
      <c r="W81" s="21"/>
      <c r="X81" s="26"/>
      <c r="Y81" s="58"/>
      <c r="Z81" s="44"/>
    </row>
    <row r="82" spans="1:26" x14ac:dyDescent="0.25">
      <c r="A82" s="10" t="s">
        <v>98</v>
      </c>
      <c r="B82" s="11">
        <v>1</v>
      </c>
      <c r="C82" s="10" t="s">
        <v>97</v>
      </c>
      <c r="D82" s="12"/>
      <c r="E82" s="22"/>
      <c r="F82" s="26"/>
      <c r="G82" s="60"/>
      <c r="H82" s="13"/>
      <c r="I82" s="75"/>
      <c r="J82" s="10"/>
      <c r="K82" s="11"/>
      <c r="L82" s="10"/>
      <c r="M82" s="12"/>
      <c r="N82" s="22"/>
      <c r="O82" s="26"/>
      <c r="P82" s="58"/>
      <c r="Q82" s="44"/>
      <c r="R82" s="75"/>
      <c r="S82" s="10"/>
      <c r="T82" s="11"/>
      <c r="U82" s="10"/>
      <c r="V82" s="12"/>
      <c r="W82" s="15"/>
      <c r="X82" s="26"/>
      <c r="Y82" s="58"/>
      <c r="Z82" s="44"/>
    </row>
    <row r="83" spans="1:26" x14ac:dyDescent="0.25">
      <c r="A83" s="10" t="s">
        <v>99</v>
      </c>
      <c r="B83" s="11">
        <v>1</v>
      </c>
      <c r="C83" s="10" t="s">
        <v>242</v>
      </c>
      <c r="D83" s="12"/>
      <c r="E83" s="22"/>
      <c r="F83" s="26"/>
      <c r="G83" s="60"/>
      <c r="H83" s="13"/>
      <c r="I83" s="75"/>
      <c r="J83" s="10"/>
      <c r="K83" s="11"/>
      <c r="L83" s="10"/>
      <c r="M83" s="12"/>
      <c r="N83" s="15"/>
      <c r="O83" s="26"/>
      <c r="P83" s="58"/>
      <c r="Q83" s="44"/>
      <c r="R83" s="75"/>
      <c r="S83" s="10"/>
      <c r="T83" s="11"/>
      <c r="U83" s="10"/>
      <c r="V83" s="12"/>
      <c r="W83" s="15"/>
      <c r="X83" s="26"/>
      <c r="Y83" s="58"/>
      <c r="Z83" s="44"/>
    </row>
    <row r="84" spans="1:26" x14ac:dyDescent="0.25">
      <c r="A84" s="10"/>
      <c r="B84" s="11"/>
      <c r="C84" s="10"/>
      <c r="D84" s="12"/>
      <c r="E84" s="21"/>
      <c r="F84" s="26"/>
      <c r="G84" s="60"/>
      <c r="H84" s="13"/>
      <c r="I84" s="75"/>
      <c r="J84" s="10"/>
      <c r="K84" s="11"/>
      <c r="L84" s="10"/>
      <c r="M84" s="12"/>
      <c r="N84" s="15"/>
      <c r="O84" s="26"/>
      <c r="P84" s="58"/>
      <c r="Q84" s="44"/>
      <c r="R84" s="75"/>
      <c r="S84" s="23"/>
      <c r="T84" s="12"/>
      <c r="U84" s="23"/>
      <c r="V84" s="12"/>
      <c r="W84" s="15"/>
      <c r="X84" s="26"/>
      <c r="Y84" s="58"/>
      <c r="Z84" s="44"/>
    </row>
    <row r="85" spans="1:26" x14ac:dyDescent="0.25">
      <c r="A85" s="10" t="s">
        <v>118</v>
      </c>
      <c r="B85" s="11">
        <v>1</v>
      </c>
      <c r="C85" s="10" t="s">
        <v>122</v>
      </c>
      <c r="D85" s="12"/>
      <c r="E85" s="15"/>
      <c r="F85" s="26"/>
      <c r="G85" s="60"/>
      <c r="H85" s="13"/>
      <c r="I85" s="75"/>
      <c r="J85" s="10"/>
      <c r="K85" s="11"/>
      <c r="L85" s="10"/>
      <c r="M85" s="12"/>
      <c r="N85" s="15"/>
      <c r="O85" s="26"/>
      <c r="P85" s="58"/>
      <c r="Q85" s="44"/>
      <c r="R85" s="75"/>
      <c r="S85" s="10"/>
      <c r="T85" s="11"/>
      <c r="U85" s="10"/>
      <c r="V85" s="12"/>
      <c r="W85" s="15"/>
      <c r="X85" s="26"/>
      <c r="Y85" s="58"/>
      <c r="Z85" s="44"/>
    </row>
    <row r="86" spans="1:26" x14ac:dyDescent="0.25">
      <c r="A86" s="10" t="s">
        <v>119</v>
      </c>
      <c r="B86" s="11">
        <v>1</v>
      </c>
      <c r="C86" s="10" t="s">
        <v>97</v>
      </c>
      <c r="D86" s="12"/>
      <c r="E86" s="15"/>
      <c r="F86" s="26"/>
      <c r="G86" s="60"/>
      <c r="H86" s="13"/>
      <c r="I86" s="75"/>
      <c r="J86" s="10"/>
      <c r="K86" s="11"/>
      <c r="L86" s="10"/>
      <c r="M86" s="12"/>
      <c r="N86" s="44"/>
      <c r="O86" s="44"/>
      <c r="P86" s="58"/>
      <c r="Q86" s="44"/>
      <c r="R86" s="75"/>
      <c r="S86" s="10"/>
      <c r="T86" s="11"/>
      <c r="U86" s="10"/>
      <c r="V86" s="12"/>
      <c r="W86" s="15"/>
      <c r="X86" s="26"/>
      <c r="Y86" s="58"/>
      <c r="Z86" s="44"/>
    </row>
    <row r="87" spans="1:26" x14ac:dyDescent="0.25">
      <c r="A87" s="10" t="s">
        <v>120</v>
      </c>
      <c r="B87" s="11">
        <v>1</v>
      </c>
      <c r="C87" s="10" t="s">
        <v>97</v>
      </c>
      <c r="D87" s="12"/>
      <c r="E87" s="15"/>
      <c r="F87" s="26"/>
      <c r="G87" s="60"/>
      <c r="H87" s="13"/>
      <c r="I87" s="75"/>
      <c r="J87" s="10"/>
      <c r="K87" s="11"/>
      <c r="L87" s="10"/>
      <c r="M87" s="12"/>
      <c r="N87" s="44"/>
      <c r="O87" s="44"/>
      <c r="P87" s="58"/>
      <c r="Q87" s="44"/>
      <c r="R87" s="75"/>
      <c r="S87" s="23"/>
      <c r="T87" s="12"/>
      <c r="U87" s="23"/>
      <c r="V87" s="12"/>
      <c r="W87" s="15"/>
      <c r="X87" s="26"/>
      <c r="Y87" s="58"/>
      <c r="Z87" s="44"/>
    </row>
    <row r="88" spans="1:26" x14ac:dyDescent="0.25">
      <c r="A88" s="10" t="s">
        <v>99</v>
      </c>
      <c r="B88" s="11">
        <v>1</v>
      </c>
      <c r="C88" s="10" t="s">
        <v>242</v>
      </c>
      <c r="D88" s="12"/>
      <c r="E88" s="15"/>
      <c r="F88" s="26"/>
      <c r="G88" s="60"/>
      <c r="H88" s="13"/>
      <c r="I88" s="75"/>
      <c r="J88" s="10"/>
      <c r="K88" s="11"/>
      <c r="L88" s="10"/>
      <c r="M88" s="12"/>
      <c r="N88" s="44"/>
      <c r="O88" s="44"/>
      <c r="P88" s="58"/>
      <c r="Q88" s="44"/>
      <c r="R88" s="75"/>
      <c r="S88" s="10"/>
      <c r="T88" s="11"/>
      <c r="U88" s="10"/>
      <c r="V88" s="12"/>
      <c r="W88" s="15"/>
      <c r="X88" s="26"/>
      <c r="Y88" s="58"/>
      <c r="Z88" s="44"/>
    </row>
    <row r="89" spans="1:26" ht="15.75" x14ac:dyDescent="0.25">
      <c r="A89" s="10"/>
      <c r="B89" s="11"/>
      <c r="C89" s="47"/>
      <c r="D89" s="48"/>
      <c r="E89" s="49"/>
      <c r="F89" s="50"/>
      <c r="G89" s="61"/>
      <c r="H89" s="51"/>
      <c r="I89" s="75"/>
      <c r="J89" s="10"/>
      <c r="K89" s="11"/>
      <c r="L89" s="10"/>
      <c r="M89" s="12"/>
      <c r="N89" s="44"/>
      <c r="O89" s="44"/>
      <c r="P89" s="58"/>
      <c r="Q89" s="44"/>
      <c r="R89" s="75"/>
      <c r="S89" s="10"/>
      <c r="T89" s="11"/>
      <c r="U89" s="10"/>
      <c r="V89" s="12"/>
      <c r="W89" s="15"/>
      <c r="X89" s="26"/>
      <c r="Y89" s="58"/>
      <c r="Z89" s="44"/>
    </row>
    <row r="90" spans="1:26" x14ac:dyDescent="0.25">
      <c r="A90" s="10"/>
      <c r="B90" s="11"/>
      <c r="C90" s="52"/>
      <c r="D90" s="48"/>
      <c r="E90" s="49"/>
      <c r="F90" s="50"/>
      <c r="G90" s="61"/>
      <c r="H90" s="51"/>
      <c r="I90" s="75"/>
      <c r="J90" s="10"/>
      <c r="K90" s="11"/>
      <c r="L90" s="10"/>
      <c r="M90" s="12"/>
      <c r="N90" s="44"/>
      <c r="O90" s="44"/>
      <c r="P90" s="58"/>
      <c r="Q90" s="44"/>
      <c r="R90" s="75"/>
      <c r="S90" s="23"/>
      <c r="T90" s="12"/>
      <c r="U90" s="23"/>
      <c r="V90" s="12"/>
      <c r="W90" s="13"/>
      <c r="X90" s="13"/>
      <c r="Y90" s="58"/>
      <c r="Z90" s="44"/>
    </row>
    <row r="91" spans="1:26" ht="19.899999999999999" customHeight="1" x14ac:dyDescent="0.25">
      <c r="A91" s="611"/>
      <c r="B91" s="612"/>
      <c r="C91" s="612"/>
      <c r="D91" s="612"/>
      <c r="E91" s="612"/>
      <c r="F91" s="612"/>
      <c r="G91" s="612"/>
      <c r="H91" s="613"/>
      <c r="I91" s="75"/>
      <c r="J91" s="611"/>
      <c r="K91" s="612"/>
      <c r="L91" s="612"/>
      <c r="M91" s="612"/>
      <c r="N91" s="612"/>
      <c r="O91" s="612"/>
      <c r="P91" s="612"/>
      <c r="Q91" s="613"/>
      <c r="R91" s="75"/>
      <c r="S91" s="611"/>
      <c r="T91" s="612"/>
      <c r="U91" s="612"/>
      <c r="V91" s="612"/>
      <c r="W91" s="612"/>
      <c r="X91" s="612"/>
      <c r="Y91" s="612"/>
      <c r="Z91" s="613"/>
    </row>
  </sheetData>
  <mergeCells count="28">
    <mergeCell ref="A1:H1"/>
    <mergeCell ref="J1:Q1"/>
    <mergeCell ref="S1:Z1"/>
    <mergeCell ref="A2:H2"/>
    <mergeCell ref="J2:Q2"/>
    <mergeCell ref="S2:Z2"/>
    <mergeCell ref="A3:H3"/>
    <mergeCell ref="J3:Q3"/>
    <mergeCell ref="S3:Z3"/>
    <mergeCell ref="A4:H4"/>
    <mergeCell ref="J4:Q4"/>
    <mergeCell ref="S4:Z4"/>
    <mergeCell ref="A91:H91"/>
    <mergeCell ref="J91:Q91"/>
    <mergeCell ref="S91:Z91"/>
    <mergeCell ref="A19:H19"/>
    <mergeCell ref="A22:H22"/>
    <mergeCell ref="J22:Q22"/>
    <mergeCell ref="S22:Z22"/>
    <mergeCell ref="A39:H39"/>
    <mergeCell ref="J39:Q39"/>
    <mergeCell ref="S39:Z39"/>
    <mergeCell ref="J56:Q56"/>
    <mergeCell ref="S56:Z56"/>
    <mergeCell ref="A74:H74"/>
    <mergeCell ref="J74:Q74"/>
    <mergeCell ref="S74:Z74"/>
    <mergeCell ref="A56:H56"/>
  </mergeCells>
  <printOptions horizontalCentered="1"/>
  <pageMargins left="0.25" right="0.25" top="0.75" bottom="0.75" header="0.3" footer="0.3"/>
  <pageSetup fitToHeight="0" orientation="portrait" r:id="rId1"/>
  <headerFooter>
    <oddFooter>&amp;Z&amp;F&amp;RPage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0"/>
  </sheetPr>
  <dimension ref="A1:Z91"/>
  <sheetViews>
    <sheetView topLeftCell="D50" zoomScale="85" zoomScaleNormal="85" workbookViewId="0">
      <selection sqref="A1:Z91"/>
    </sheetView>
  </sheetViews>
  <sheetFormatPr defaultRowHeight="15" x14ac:dyDescent="0.25"/>
  <cols>
    <col min="1" max="1" width="18.7109375" style="1" bestFit="1" customWidth="1"/>
    <col min="2" max="2" width="5.140625" style="1" bestFit="1" customWidth="1"/>
    <col min="3" max="3" width="38" customWidth="1"/>
    <col min="4" max="4" width="15.28515625" bestFit="1" customWidth="1"/>
    <col min="5" max="5" width="8.5703125" bestFit="1" customWidth="1"/>
    <col min="6" max="6" width="7.85546875" bestFit="1" customWidth="1"/>
    <col min="7" max="7" width="10" bestFit="1" customWidth="1"/>
    <col min="8" max="8" width="10.42578125" bestFit="1" customWidth="1"/>
    <col min="10" max="10" width="17.7109375" customWidth="1"/>
    <col min="11" max="11" width="5.140625" customWidth="1"/>
    <col min="12" max="12" width="15.140625" bestFit="1" customWidth="1"/>
    <col min="13" max="13" width="17.5703125" bestFit="1" customWidth="1"/>
    <col min="14" max="14" width="5.85546875" bestFit="1" customWidth="1"/>
    <col min="15" max="15" width="7.85546875" customWidth="1"/>
    <col min="17" max="17" width="10.42578125" bestFit="1" customWidth="1"/>
    <col min="19" max="19" width="13.85546875" bestFit="1" customWidth="1"/>
    <col min="21" max="21" width="23.140625" bestFit="1" customWidth="1"/>
    <col min="22" max="22" width="16.7109375" bestFit="1" customWidth="1"/>
    <col min="23" max="23" width="5.85546875" bestFit="1" customWidth="1"/>
    <col min="26" max="26" width="10.42578125" bestFit="1" customWidth="1"/>
  </cols>
  <sheetData>
    <row r="1" spans="1:26" ht="19.899999999999999" customHeight="1" x14ac:dyDescent="0.3">
      <c r="A1" s="632"/>
      <c r="B1" s="632"/>
      <c r="C1" s="632"/>
      <c r="D1" s="632"/>
      <c r="E1" s="632"/>
      <c r="F1" s="632"/>
      <c r="G1" s="632"/>
      <c r="H1" s="632"/>
      <c r="I1" s="76"/>
      <c r="J1" s="633"/>
      <c r="K1" s="633"/>
      <c r="L1" s="633"/>
      <c r="M1" s="633"/>
      <c r="N1" s="633"/>
      <c r="O1" s="633"/>
      <c r="P1" s="633"/>
      <c r="Q1" s="633"/>
      <c r="R1" s="75"/>
      <c r="S1" s="633"/>
      <c r="T1" s="633"/>
      <c r="U1" s="633"/>
      <c r="V1" s="633"/>
      <c r="W1" s="633"/>
      <c r="X1" s="633"/>
      <c r="Y1" s="633"/>
      <c r="Z1" s="633"/>
    </row>
    <row r="2" spans="1:26" ht="19.899999999999999" customHeight="1" x14ac:dyDescent="0.25">
      <c r="A2" s="633"/>
      <c r="B2" s="633"/>
      <c r="C2" s="633"/>
      <c r="D2" s="633"/>
      <c r="E2" s="633"/>
      <c r="F2" s="633"/>
      <c r="G2" s="633"/>
      <c r="H2" s="633"/>
      <c r="I2" s="77"/>
      <c r="J2" s="633"/>
      <c r="K2" s="633"/>
      <c r="L2" s="633"/>
      <c r="M2" s="633"/>
      <c r="N2" s="633"/>
      <c r="O2" s="633"/>
      <c r="P2" s="633"/>
      <c r="Q2" s="633"/>
      <c r="R2" s="75"/>
      <c r="S2" s="633"/>
      <c r="T2" s="633"/>
      <c r="U2" s="633"/>
      <c r="V2" s="633"/>
      <c r="W2" s="633"/>
      <c r="X2" s="633"/>
      <c r="Y2" s="633"/>
      <c r="Z2" s="633"/>
    </row>
    <row r="3" spans="1:26" ht="19.899999999999999" customHeight="1" x14ac:dyDescent="0.3">
      <c r="A3" s="634" t="s">
        <v>123</v>
      </c>
      <c r="B3" s="634"/>
      <c r="C3" s="634"/>
      <c r="D3" s="634"/>
      <c r="E3" s="634"/>
      <c r="F3" s="634"/>
      <c r="G3" s="634"/>
      <c r="H3" s="634"/>
      <c r="I3" s="77"/>
      <c r="J3" s="633"/>
      <c r="K3" s="633"/>
      <c r="L3" s="633"/>
      <c r="M3" s="633"/>
      <c r="N3" s="633"/>
      <c r="O3" s="633"/>
      <c r="P3" s="633"/>
      <c r="Q3" s="633"/>
      <c r="R3" s="75"/>
      <c r="S3" s="633"/>
      <c r="T3" s="633"/>
      <c r="U3" s="633"/>
      <c r="V3" s="633"/>
      <c r="W3" s="633"/>
      <c r="X3" s="633"/>
      <c r="Y3" s="633"/>
      <c r="Z3" s="633"/>
    </row>
    <row r="4" spans="1:26" ht="24.95" customHeight="1" x14ac:dyDescent="0.35">
      <c r="A4" s="579" t="s">
        <v>249</v>
      </c>
      <c r="B4" s="627"/>
      <c r="C4" s="627"/>
      <c r="D4" s="627"/>
      <c r="E4" s="627"/>
      <c r="F4" s="627"/>
      <c r="G4" s="627"/>
      <c r="H4" s="628"/>
      <c r="I4" s="78"/>
      <c r="J4" s="578" t="s">
        <v>244</v>
      </c>
      <c r="K4" s="578"/>
      <c r="L4" s="578"/>
      <c r="M4" s="578"/>
      <c r="N4" s="578"/>
      <c r="O4" s="578"/>
      <c r="P4" s="578"/>
      <c r="Q4" s="578"/>
      <c r="R4" s="78"/>
      <c r="S4" s="578" t="s">
        <v>247</v>
      </c>
      <c r="T4" s="578"/>
      <c r="U4" s="578"/>
      <c r="V4" s="578"/>
      <c r="W4" s="578"/>
      <c r="X4" s="578"/>
      <c r="Y4" s="578"/>
      <c r="Z4" s="578"/>
    </row>
    <row r="5" spans="1:26" ht="16.5" thickBot="1" x14ac:dyDescent="0.3">
      <c r="A5" s="27" t="s">
        <v>0</v>
      </c>
      <c r="B5" s="28" t="s">
        <v>1</v>
      </c>
      <c r="C5" s="28" t="s">
        <v>2</v>
      </c>
      <c r="D5" s="28" t="s">
        <v>24</v>
      </c>
      <c r="E5" s="9" t="s">
        <v>7</v>
      </c>
      <c r="F5" s="45" t="s">
        <v>9</v>
      </c>
      <c r="G5" s="7" t="s">
        <v>133</v>
      </c>
      <c r="H5" s="7" t="s">
        <v>134</v>
      </c>
      <c r="I5" s="75"/>
      <c r="J5" s="6" t="s">
        <v>0</v>
      </c>
      <c r="K5" s="7" t="s">
        <v>1</v>
      </c>
      <c r="L5" s="7" t="s">
        <v>2</v>
      </c>
      <c r="M5" s="7" t="s">
        <v>24</v>
      </c>
      <c r="N5" s="80" t="s">
        <v>7</v>
      </c>
      <c r="O5" s="81" t="s">
        <v>9</v>
      </c>
      <c r="P5" s="7" t="s">
        <v>133</v>
      </c>
      <c r="Q5" s="46" t="s">
        <v>134</v>
      </c>
      <c r="R5" s="75"/>
      <c r="S5" s="27" t="s">
        <v>0</v>
      </c>
      <c r="T5" s="28" t="s">
        <v>1</v>
      </c>
      <c r="U5" s="28" t="s">
        <v>2</v>
      </c>
      <c r="V5" s="28" t="s">
        <v>24</v>
      </c>
      <c r="W5" s="9" t="s">
        <v>7</v>
      </c>
      <c r="X5" s="45" t="s">
        <v>9</v>
      </c>
      <c r="Y5" s="7" t="s">
        <v>133</v>
      </c>
      <c r="Z5" s="46" t="s">
        <v>134</v>
      </c>
    </row>
    <row r="6" spans="1:26" x14ac:dyDescent="0.25">
      <c r="A6" s="10"/>
      <c r="B6" s="11"/>
      <c r="C6" s="10"/>
      <c r="D6" s="12"/>
      <c r="E6" s="22"/>
      <c r="F6" s="26"/>
      <c r="G6" s="59"/>
      <c r="H6" s="16"/>
      <c r="I6" s="75"/>
      <c r="J6" s="10" t="s">
        <v>25</v>
      </c>
      <c r="K6" s="11">
        <v>1</v>
      </c>
      <c r="L6" s="10" t="s">
        <v>33</v>
      </c>
      <c r="M6" s="12" t="s">
        <v>337</v>
      </c>
      <c r="N6" s="79"/>
      <c r="O6" s="16"/>
      <c r="P6" s="56"/>
      <c r="Q6" s="32"/>
      <c r="R6" s="75"/>
      <c r="S6" s="10" t="s">
        <v>28</v>
      </c>
      <c r="T6" s="11">
        <v>1</v>
      </c>
      <c r="U6" s="10" t="s">
        <v>36</v>
      </c>
      <c r="V6" s="12" t="s">
        <v>340</v>
      </c>
      <c r="W6" s="22"/>
      <c r="X6" s="26"/>
      <c r="Y6" s="57"/>
      <c r="Z6" s="23"/>
    </row>
    <row r="7" spans="1:26" x14ac:dyDescent="0.25">
      <c r="A7" s="10" t="s">
        <v>87</v>
      </c>
      <c r="B7" s="11">
        <v>1</v>
      </c>
      <c r="C7" s="34" t="s">
        <v>90</v>
      </c>
      <c r="D7" s="12" t="s">
        <v>341</v>
      </c>
      <c r="E7" s="22"/>
      <c r="F7" s="26"/>
      <c r="G7" s="60"/>
      <c r="H7" s="13"/>
      <c r="I7" s="75"/>
      <c r="J7" s="14" t="s">
        <v>25</v>
      </c>
      <c r="K7" s="12">
        <v>1</v>
      </c>
      <c r="L7" s="14" t="s">
        <v>26</v>
      </c>
      <c r="M7" s="12" t="s">
        <v>337</v>
      </c>
      <c r="N7" s="24"/>
      <c r="O7" s="13"/>
      <c r="P7" s="57"/>
      <c r="Q7" s="23"/>
      <c r="R7" s="75"/>
      <c r="S7" s="10" t="s">
        <v>28</v>
      </c>
      <c r="T7" s="11">
        <v>1</v>
      </c>
      <c r="U7" s="10" t="s">
        <v>34</v>
      </c>
      <c r="V7" s="12" t="s">
        <v>340</v>
      </c>
      <c r="W7" s="22"/>
      <c r="X7" s="26"/>
      <c r="Y7" s="57"/>
      <c r="Z7" s="23"/>
    </row>
    <row r="8" spans="1:26" x14ac:dyDescent="0.25">
      <c r="A8" s="10" t="s">
        <v>81</v>
      </c>
      <c r="B8" s="11">
        <v>1</v>
      </c>
      <c r="C8" s="34" t="s">
        <v>228</v>
      </c>
      <c r="D8" s="12"/>
      <c r="E8" s="22"/>
      <c r="F8" s="26"/>
      <c r="G8" s="60"/>
      <c r="H8" s="13"/>
      <c r="I8" s="75"/>
      <c r="J8" s="14" t="s">
        <v>25</v>
      </c>
      <c r="K8" s="12">
        <v>1</v>
      </c>
      <c r="L8" s="14" t="s">
        <v>30</v>
      </c>
      <c r="M8" s="12" t="s">
        <v>337</v>
      </c>
      <c r="N8" s="24"/>
      <c r="O8" s="13"/>
      <c r="P8" s="57"/>
      <c r="Q8" s="23"/>
      <c r="R8" s="75"/>
      <c r="S8" s="10" t="s">
        <v>28</v>
      </c>
      <c r="T8" s="11">
        <v>1</v>
      </c>
      <c r="U8" s="10" t="s">
        <v>35</v>
      </c>
      <c r="V8" s="12" t="s">
        <v>340</v>
      </c>
      <c r="W8" s="22"/>
      <c r="X8" s="26"/>
      <c r="Y8" s="57"/>
      <c r="Z8" s="23"/>
    </row>
    <row r="9" spans="1:26" x14ac:dyDescent="0.25">
      <c r="A9" s="10" t="s">
        <v>82</v>
      </c>
      <c r="B9" s="11">
        <v>1</v>
      </c>
      <c r="C9" s="34" t="s">
        <v>90</v>
      </c>
      <c r="D9" s="12" t="s">
        <v>341</v>
      </c>
      <c r="E9" s="22"/>
      <c r="F9" s="26"/>
      <c r="G9" s="60"/>
      <c r="H9" s="13"/>
      <c r="I9" s="75"/>
      <c r="J9" s="14" t="s">
        <v>25</v>
      </c>
      <c r="K9" s="12">
        <v>1</v>
      </c>
      <c r="L9" s="14" t="s">
        <v>39</v>
      </c>
      <c r="M9" s="12" t="s">
        <v>337</v>
      </c>
      <c r="N9" s="24"/>
      <c r="O9" s="24"/>
      <c r="P9" s="57"/>
      <c r="Q9" s="23"/>
      <c r="R9" s="75"/>
      <c r="S9" s="10" t="s">
        <v>28</v>
      </c>
      <c r="T9" s="11">
        <v>1</v>
      </c>
      <c r="U9" s="10" t="s">
        <v>40</v>
      </c>
      <c r="V9" s="12" t="s">
        <v>340</v>
      </c>
      <c r="W9" s="21"/>
      <c r="X9" s="22"/>
      <c r="Y9" s="57"/>
      <c r="Z9" s="23"/>
    </row>
    <row r="10" spans="1:26" x14ac:dyDescent="0.25">
      <c r="A10" s="10"/>
      <c r="B10" s="11">
        <v>1</v>
      </c>
      <c r="C10" s="34" t="s">
        <v>90</v>
      </c>
      <c r="D10" s="12" t="s">
        <v>341</v>
      </c>
      <c r="E10" s="22"/>
      <c r="F10" s="26"/>
      <c r="G10" s="60"/>
      <c r="H10" s="13"/>
      <c r="I10" s="75"/>
      <c r="J10" s="14" t="s">
        <v>25</v>
      </c>
      <c r="K10" s="12">
        <v>1</v>
      </c>
      <c r="L10" s="14" t="s">
        <v>42</v>
      </c>
      <c r="M10" s="12" t="s">
        <v>337</v>
      </c>
      <c r="N10" s="24"/>
      <c r="O10" s="24"/>
      <c r="P10" s="57"/>
      <c r="Q10" s="23"/>
      <c r="R10" s="75"/>
      <c r="S10" s="10" t="s">
        <v>28</v>
      </c>
      <c r="T10" s="11">
        <v>1</v>
      </c>
      <c r="U10" s="10" t="s">
        <v>43</v>
      </c>
      <c r="V10" s="12" t="s">
        <v>340</v>
      </c>
      <c r="W10" s="21"/>
      <c r="X10" s="22"/>
      <c r="Y10" s="57"/>
      <c r="Z10" s="23"/>
    </row>
    <row r="11" spans="1:26" x14ac:dyDescent="0.25">
      <c r="A11" s="10" t="s">
        <v>83</v>
      </c>
      <c r="B11" s="11">
        <v>1</v>
      </c>
      <c r="C11" s="34" t="s">
        <v>90</v>
      </c>
      <c r="D11" s="12" t="s">
        <v>341</v>
      </c>
      <c r="E11" s="22"/>
      <c r="F11" s="26"/>
      <c r="G11" s="60"/>
      <c r="H11" s="13"/>
      <c r="I11" s="75"/>
      <c r="J11" s="14" t="s">
        <v>25</v>
      </c>
      <c r="K11" s="12">
        <v>1</v>
      </c>
      <c r="L11" s="14" t="s">
        <v>44</v>
      </c>
      <c r="M11" s="12" t="s">
        <v>337</v>
      </c>
      <c r="N11" s="24"/>
      <c r="O11" s="24"/>
      <c r="P11" s="57"/>
      <c r="Q11" s="23"/>
      <c r="R11" s="75"/>
      <c r="S11" s="10" t="s">
        <v>28</v>
      </c>
      <c r="T11" s="11">
        <v>1</v>
      </c>
      <c r="U11" s="10" t="s">
        <v>45</v>
      </c>
      <c r="V11" s="12" t="s">
        <v>340</v>
      </c>
      <c r="W11" s="21"/>
      <c r="X11" s="22"/>
      <c r="Y11" s="57"/>
      <c r="Z11" s="23"/>
    </row>
    <row r="12" spans="1:26" x14ac:dyDescent="0.25">
      <c r="A12" s="10" t="s">
        <v>114</v>
      </c>
      <c r="B12" s="11">
        <v>1</v>
      </c>
      <c r="C12" s="34" t="s">
        <v>242</v>
      </c>
      <c r="D12" s="12"/>
      <c r="E12" s="22"/>
      <c r="F12" s="26"/>
      <c r="G12" s="60"/>
      <c r="H12" s="13"/>
      <c r="I12" s="75"/>
      <c r="J12" s="14" t="s">
        <v>25</v>
      </c>
      <c r="K12" s="12">
        <v>1</v>
      </c>
      <c r="L12" s="14" t="s">
        <v>47</v>
      </c>
      <c r="M12" s="12" t="s">
        <v>337</v>
      </c>
      <c r="N12" s="24"/>
      <c r="O12" s="24"/>
      <c r="P12" s="57"/>
      <c r="Q12" s="23"/>
      <c r="R12" s="75"/>
      <c r="S12" s="10" t="s">
        <v>28</v>
      </c>
      <c r="T12" s="11">
        <v>1</v>
      </c>
      <c r="U12" s="10" t="s">
        <v>48</v>
      </c>
      <c r="V12" s="12" t="s">
        <v>340</v>
      </c>
      <c r="W12" s="21"/>
      <c r="X12" s="22"/>
      <c r="Y12" s="57"/>
      <c r="Z12" s="23"/>
    </row>
    <row r="13" spans="1:26" x14ac:dyDescent="0.25">
      <c r="A13" s="10" t="s">
        <v>85</v>
      </c>
      <c r="B13" s="11">
        <v>1</v>
      </c>
      <c r="C13" s="34" t="s">
        <v>253</v>
      </c>
      <c r="D13" s="12"/>
      <c r="E13" s="22"/>
      <c r="F13" s="26"/>
      <c r="G13" s="60"/>
      <c r="H13" s="13"/>
      <c r="I13" s="75"/>
      <c r="J13" s="14" t="s">
        <v>25</v>
      </c>
      <c r="K13" s="12">
        <v>1</v>
      </c>
      <c r="L13" s="14" t="s">
        <v>50</v>
      </c>
      <c r="M13" s="12" t="s">
        <v>337</v>
      </c>
      <c r="N13" s="24"/>
      <c r="O13" s="24"/>
      <c r="P13" s="57"/>
      <c r="Q13" s="23"/>
      <c r="R13" s="75"/>
      <c r="S13" s="10" t="s">
        <v>28</v>
      </c>
      <c r="T13" s="11">
        <v>1</v>
      </c>
      <c r="U13" s="10" t="s">
        <v>51</v>
      </c>
      <c r="V13" s="12" t="s">
        <v>340</v>
      </c>
      <c r="W13" s="25"/>
      <c r="X13" s="26"/>
      <c r="Y13" s="57"/>
      <c r="Z13" s="23"/>
    </row>
    <row r="14" spans="1:26" x14ac:dyDescent="0.25">
      <c r="A14" s="10" t="s">
        <v>86</v>
      </c>
      <c r="B14" s="11">
        <v>1</v>
      </c>
      <c r="C14" s="34" t="s">
        <v>88</v>
      </c>
      <c r="D14" s="12" t="s">
        <v>341</v>
      </c>
      <c r="E14" s="22"/>
      <c r="F14" s="22"/>
      <c r="G14" s="62"/>
      <c r="H14" s="24"/>
      <c r="I14" s="75"/>
      <c r="J14" s="14" t="s">
        <v>25</v>
      </c>
      <c r="K14" s="12">
        <v>1</v>
      </c>
      <c r="L14" s="14" t="s">
        <v>52</v>
      </c>
      <c r="M14" s="12" t="s">
        <v>337</v>
      </c>
      <c r="N14" s="24"/>
      <c r="O14" s="13"/>
      <c r="P14" s="57"/>
      <c r="Q14" s="23"/>
      <c r="R14" s="75"/>
      <c r="S14" s="10" t="s">
        <v>28</v>
      </c>
      <c r="T14" s="11">
        <v>1</v>
      </c>
      <c r="U14" s="10" t="s">
        <v>53</v>
      </c>
      <c r="V14" s="12" t="s">
        <v>340</v>
      </c>
      <c r="W14" s="21"/>
      <c r="X14" s="26"/>
      <c r="Y14" s="57"/>
      <c r="Z14" s="23"/>
    </row>
    <row r="15" spans="1:26" x14ac:dyDescent="0.25">
      <c r="A15" s="14"/>
      <c r="B15" s="12"/>
      <c r="C15" s="35" t="s">
        <v>89</v>
      </c>
      <c r="D15" s="12" t="s">
        <v>341</v>
      </c>
      <c r="E15" s="22"/>
      <c r="F15" s="22"/>
      <c r="G15" s="62"/>
      <c r="H15" s="24"/>
      <c r="I15" s="75"/>
      <c r="J15" s="14" t="s">
        <v>25</v>
      </c>
      <c r="K15" s="12">
        <v>1</v>
      </c>
      <c r="L15" s="14" t="s">
        <v>55</v>
      </c>
      <c r="M15" s="12" t="s">
        <v>337</v>
      </c>
      <c r="N15" s="13"/>
      <c r="O15" s="13"/>
      <c r="P15" s="57"/>
      <c r="Q15" s="23"/>
      <c r="R15" s="75"/>
      <c r="S15" s="10" t="s">
        <v>28</v>
      </c>
      <c r="T15" s="11">
        <v>1</v>
      </c>
      <c r="U15" s="10" t="s">
        <v>56</v>
      </c>
      <c r="V15" s="12" t="s">
        <v>340</v>
      </c>
      <c r="W15" s="15"/>
      <c r="X15" s="26"/>
      <c r="Y15" s="57"/>
      <c r="Z15" s="23"/>
    </row>
    <row r="16" spans="1:26" x14ac:dyDescent="0.25">
      <c r="A16" s="10"/>
      <c r="B16" s="11"/>
      <c r="C16" s="32"/>
      <c r="D16" s="12"/>
      <c r="E16" s="21"/>
      <c r="F16" s="22"/>
      <c r="G16" s="62"/>
      <c r="H16" s="24"/>
      <c r="I16" s="75"/>
      <c r="J16" s="14" t="s">
        <v>25</v>
      </c>
      <c r="K16" s="12">
        <v>1</v>
      </c>
      <c r="L16" s="14" t="s">
        <v>58</v>
      </c>
      <c r="M16" s="12" t="s">
        <v>337</v>
      </c>
      <c r="N16" s="13"/>
      <c r="O16" s="13"/>
      <c r="P16" s="57"/>
      <c r="Q16" s="23"/>
      <c r="R16" s="75"/>
      <c r="S16" s="10" t="s">
        <v>28</v>
      </c>
      <c r="T16" s="11">
        <v>1</v>
      </c>
      <c r="U16" s="10" t="s">
        <v>59</v>
      </c>
      <c r="V16" s="12" t="s">
        <v>340</v>
      </c>
      <c r="W16" s="15"/>
      <c r="X16" s="26"/>
      <c r="Y16" s="57"/>
      <c r="Z16" s="23"/>
    </row>
    <row r="17" spans="1:26" x14ac:dyDescent="0.25">
      <c r="A17" s="10" t="s">
        <v>93</v>
      </c>
      <c r="B17" s="11">
        <v>1</v>
      </c>
      <c r="C17" s="10" t="s">
        <v>92</v>
      </c>
      <c r="D17" s="12"/>
      <c r="E17" s="21"/>
      <c r="F17" s="22"/>
      <c r="G17" s="62"/>
      <c r="H17" s="24"/>
      <c r="I17" s="75"/>
      <c r="J17" s="14" t="s">
        <v>25</v>
      </c>
      <c r="K17" s="12">
        <v>1</v>
      </c>
      <c r="L17" s="14" t="s">
        <v>60</v>
      </c>
      <c r="M17" s="12" t="s">
        <v>337</v>
      </c>
      <c r="N17" s="24"/>
      <c r="O17" s="13"/>
      <c r="P17" s="57"/>
      <c r="Q17" s="23"/>
      <c r="R17" s="75"/>
      <c r="S17" s="10" t="s">
        <v>28</v>
      </c>
      <c r="T17" s="11">
        <v>1</v>
      </c>
      <c r="U17" s="10" t="s">
        <v>61</v>
      </c>
      <c r="V17" s="12" t="s">
        <v>340</v>
      </c>
      <c r="W17" s="21"/>
      <c r="X17" s="26"/>
      <c r="Y17" s="57"/>
      <c r="Z17" s="23"/>
    </row>
    <row r="18" spans="1:26" x14ac:dyDescent="0.25">
      <c r="A18" s="10" t="s">
        <v>93</v>
      </c>
      <c r="B18" s="11">
        <v>1</v>
      </c>
      <c r="C18" s="10" t="s">
        <v>94</v>
      </c>
      <c r="D18" s="12"/>
      <c r="E18" s="21"/>
      <c r="F18" s="22"/>
      <c r="G18" s="62"/>
      <c r="H18" s="24"/>
      <c r="I18" s="75"/>
      <c r="J18" s="14" t="s">
        <v>25</v>
      </c>
      <c r="K18" s="12">
        <v>1</v>
      </c>
      <c r="L18" s="14" t="s">
        <v>63</v>
      </c>
      <c r="M18" s="12" t="s">
        <v>337</v>
      </c>
      <c r="N18" s="13"/>
      <c r="O18" s="13"/>
      <c r="P18" s="57"/>
      <c r="Q18" s="23"/>
      <c r="R18" s="75"/>
      <c r="S18" s="10" t="s">
        <v>28</v>
      </c>
      <c r="T18" s="11">
        <v>1</v>
      </c>
      <c r="U18" s="10" t="s">
        <v>64</v>
      </c>
      <c r="V18" s="12" t="s">
        <v>340</v>
      </c>
      <c r="W18" s="15"/>
      <c r="X18" s="26"/>
      <c r="Y18" s="57"/>
      <c r="Z18" s="23"/>
    </row>
    <row r="19" spans="1:26" ht="15.75" x14ac:dyDescent="0.25">
      <c r="A19" s="635" t="s">
        <v>230</v>
      </c>
      <c r="B19" s="636"/>
      <c r="C19" s="636"/>
      <c r="D19" s="636"/>
      <c r="E19" s="636"/>
      <c r="F19" s="636"/>
      <c r="G19" s="636"/>
      <c r="H19" s="637"/>
      <c r="I19" s="75"/>
      <c r="J19" s="14" t="s">
        <v>25</v>
      </c>
      <c r="K19" s="12">
        <v>1</v>
      </c>
      <c r="L19" s="14" t="s">
        <v>66</v>
      </c>
      <c r="M19" s="12" t="s">
        <v>337</v>
      </c>
      <c r="N19" s="13"/>
      <c r="O19" s="13"/>
      <c r="P19" s="57"/>
      <c r="Q19" s="23"/>
      <c r="R19" s="75"/>
      <c r="S19" s="10" t="s">
        <v>28</v>
      </c>
      <c r="T19" s="11">
        <v>1</v>
      </c>
      <c r="U19" s="10" t="s">
        <v>67</v>
      </c>
      <c r="V19" s="12" t="s">
        <v>340</v>
      </c>
      <c r="W19" s="15"/>
      <c r="X19" s="26"/>
      <c r="Y19" s="57"/>
      <c r="Z19" s="23"/>
    </row>
    <row r="20" spans="1:26" x14ac:dyDescent="0.25">
      <c r="A20" s="10"/>
      <c r="B20" s="11"/>
      <c r="C20" s="10"/>
      <c r="D20" s="12"/>
      <c r="E20" s="21"/>
      <c r="F20" s="22"/>
      <c r="G20" s="62"/>
      <c r="H20" s="24"/>
      <c r="I20" s="75"/>
      <c r="J20" s="14" t="s">
        <v>25</v>
      </c>
      <c r="K20" s="12">
        <v>1</v>
      </c>
      <c r="L20" s="14" t="s">
        <v>69</v>
      </c>
      <c r="M20" s="12" t="s">
        <v>337</v>
      </c>
      <c r="N20" s="13"/>
      <c r="O20" s="13"/>
      <c r="P20" s="57"/>
      <c r="Q20" s="23"/>
      <c r="R20" s="75"/>
      <c r="S20" s="10" t="s">
        <v>28</v>
      </c>
      <c r="T20" s="11">
        <v>1</v>
      </c>
      <c r="U20" s="10" t="s">
        <v>70</v>
      </c>
      <c r="V20" s="12" t="s">
        <v>340</v>
      </c>
      <c r="W20" s="15"/>
      <c r="X20" s="26"/>
      <c r="Y20" s="57"/>
      <c r="Z20" s="23"/>
    </row>
    <row r="21" spans="1:26" x14ac:dyDescent="0.25">
      <c r="A21" s="10"/>
      <c r="B21" s="11"/>
      <c r="C21" s="10"/>
      <c r="D21" s="12"/>
      <c r="E21" s="21"/>
      <c r="F21" s="22"/>
      <c r="G21" s="62"/>
      <c r="H21" s="24"/>
      <c r="I21" s="75"/>
      <c r="J21" s="14" t="s">
        <v>25</v>
      </c>
      <c r="K21" s="12">
        <v>1</v>
      </c>
      <c r="L21" s="14" t="s">
        <v>71</v>
      </c>
      <c r="M21" s="12" t="s">
        <v>337</v>
      </c>
      <c r="N21" s="13"/>
      <c r="O21" s="13"/>
      <c r="P21" s="57"/>
      <c r="Q21" s="23"/>
      <c r="R21" s="75"/>
      <c r="S21" s="10" t="s">
        <v>28</v>
      </c>
      <c r="T21" s="11">
        <v>1</v>
      </c>
      <c r="U21" s="10" t="s">
        <v>72</v>
      </c>
      <c r="V21" s="12" t="s">
        <v>340</v>
      </c>
      <c r="W21" s="15"/>
      <c r="X21" s="26"/>
      <c r="Y21" s="57"/>
      <c r="Z21" s="23"/>
    </row>
    <row r="22" spans="1:26" ht="19.899999999999999" customHeight="1" x14ac:dyDescent="0.35">
      <c r="A22" s="579" t="s">
        <v>250</v>
      </c>
      <c r="B22" s="627"/>
      <c r="C22" s="627"/>
      <c r="D22" s="627"/>
      <c r="E22" s="627"/>
      <c r="F22" s="627"/>
      <c r="G22" s="627"/>
      <c r="H22" s="628"/>
      <c r="I22" s="75"/>
      <c r="J22" s="578" t="s">
        <v>245</v>
      </c>
      <c r="K22" s="578"/>
      <c r="L22" s="578"/>
      <c r="M22" s="578"/>
      <c r="N22" s="578"/>
      <c r="O22" s="578"/>
      <c r="P22" s="578"/>
      <c r="Q22" s="578"/>
      <c r="R22" s="75"/>
      <c r="S22" s="579" t="s">
        <v>248</v>
      </c>
      <c r="T22" s="580"/>
      <c r="U22" s="580"/>
      <c r="V22" s="580"/>
      <c r="W22" s="580"/>
      <c r="X22" s="580"/>
      <c r="Y22" s="580"/>
      <c r="Z22" s="581"/>
    </row>
    <row r="23" spans="1:26" x14ac:dyDescent="0.25">
      <c r="A23" s="10"/>
      <c r="B23" s="11"/>
      <c r="C23" s="10"/>
      <c r="D23" s="11"/>
      <c r="E23" s="21"/>
      <c r="F23" s="55"/>
      <c r="G23" s="82"/>
      <c r="H23" s="79"/>
      <c r="I23" s="75"/>
      <c r="J23" s="23" t="s">
        <v>181</v>
      </c>
      <c r="K23" s="12">
        <v>1</v>
      </c>
      <c r="L23" s="23" t="s">
        <v>184</v>
      </c>
      <c r="M23" s="12" t="s">
        <v>337</v>
      </c>
      <c r="N23" s="22"/>
      <c r="O23" s="26"/>
      <c r="P23" s="57"/>
      <c r="Q23" s="23"/>
      <c r="R23" s="75"/>
      <c r="S23" s="10" t="s">
        <v>28</v>
      </c>
      <c r="T23" s="11">
        <v>1</v>
      </c>
      <c r="U23" s="10" t="s">
        <v>36</v>
      </c>
      <c r="V23" s="12" t="s">
        <v>339</v>
      </c>
      <c r="W23" s="21"/>
      <c r="X23" s="22"/>
      <c r="Y23" s="57"/>
      <c r="Z23" s="23"/>
    </row>
    <row r="24" spans="1:26" x14ac:dyDescent="0.25">
      <c r="A24" s="10" t="s">
        <v>251</v>
      </c>
      <c r="B24" s="11">
        <v>1</v>
      </c>
      <c r="C24" s="34" t="s">
        <v>258</v>
      </c>
      <c r="D24" s="12"/>
      <c r="E24" s="21"/>
      <c r="F24" s="22"/>
      <c r="G24" s="62"/>
      <c r="H24" s="24"/>
      <c r="I24" s="75"/>
      <c r="J24" s="23" t="s">
        <v>181</v>
      </c>
      <c r="K24" s="12">
        <v>1</v>
      </c>
      <c r="L24" s="23" t="s">
        <v>185</v>
      </c>
      <c r="M24" s="12" t="s">
        <v>337</v>
      </c>
      <c r="N24" s="22"/>
      <c r="O24" s="26"/>
      <c r="P24" s="57"/>
      <c r="Q24" s="23"/>
      <c r="R24" s="75"/>
      <c r="S24" s="10" t="s">
        <v>28</v>
      </c>
      <c r="T24" s="11">
        <v>1</v>
      </c>
      <c r="U24" s="10" t="s">
        <v>34</v>
      </c>
      <c r="V24" s="12" t="s">
        <v>339</v>
      </c>
      <c r="W24" s="21"/>
      <c r="X24" s="22"/>
      <c r="Y24" s="57"/>
      <c r="Z24" s="23"/>
    </row>
    <row r="25" spans="1:26" x14ac:dyDescent="0.25">
      <c r="A25" s="10" t="s">
        <v>82</v>
      </c>
      <c r="B25" s="11">
        <v>1</v>
      </c>
      <c r="C25" s="34" t="s">
        <v>254</v>
      </c>
      <c r="D25" s="12"/>
      <c r="E25" s="21"/>
      <c r="F25" s="22"/>
      <c r="G25" s="62"/>
      <c r="H25" s="24"/>
      <c r="I25" s="75"/>
      <c r="J25" s="23" t="s">
        <v>181</v>
      </c>
      <c r="K25" s="12">
        <v>1</v>
      </c>
      <c r="L25" s="23" t="s">
        <v>183</v>
      </c>
      <c r="M25" s="12" t="s">
        <v>337</v>
      </c>
      <c r="N25" s="21"/>
      <c r="O25" s="22"/>
      <c r="P25" s="57"/>
      <c r="Q25" s="23"/>
      <c r="R25" s="75"/>
      <c r="S25" s="10" t="s">
        <v>28</v>
      </c>
      <c r="T25" s="11">
        <v>1</v>
      </c>
      <c r="U25" s="10" t="s">
        <v>35</v>
      </c>
      <c r="V25" s="12" t="s">
        <v>339</v>
      </c>
      <c r="W25" s="21"/>
      <c r="X25" s="22"/>
      <c r="Y25" s="57"/>
      <c r="Z25" s="23"/>
    </row>
    <row r="26" spans="1:26" x14ac:dyDescent="0.25">
      <c r="A26" s="10"/>
      <c r="B26" s="11">
        <v>1</v>
      </c>
      <c r="C26" s="34" t="s">
        <v>255</v>
      </c>
      <c r="D26" s="12"/>
      <c r="E26" s="21"/>
      <c r="F26" s="22"/>
      <c r="G26" s="62"/>
      <c r="H26" s="24"/>
      <c r="I26" s="75"/>
      <c r="J26" s="23" t="s">
        <v>181</v>
      </c>
      <c r="K26" s="12">
        <v>1</v>
      </c>
      <c r="L26" s="23" t="s">
        <v>182</v>
      </c>
      <c r="M26" s="12" t="s">
        <v>337</v>
      </c>
      <c r="N26" s="21"/>
      <c r="O26" s="22"/>
      <c r="P26" s="57"/>
      <c r="Q26" s="23"/>
      <c r="R26" s="75"/>
      <c r="S26" s="10" t="s">
        <v>28</v>
      </c>
      <c r="T26" s="11">
        <v>1</v>
      </c>
      <c r="U26" s="10" t="s">
        <v>40</v>
      </c>
      <c r="V26" s="12" t="s">
        <v>339</v>
      </c>
      <c r="W26" s="21"/>
      <c r="X26" s="22"/>
      <c r="Y26" s="57"/>
      <c r="Z26" s="23"/>
    </row>
    <row r="27" spans="1:26" x14ac:dyDescent="0.25">
      <c r="A27" s="10"/>
      <c r="B27" s="11">
        <v>1</v>
      </c>
      <c r="C27" s="34" t="s">
        <v>256</v>
      </c>
      <c r="D27" s="12"/>
      <c r="E27" s="21"/>
      <c r="F27" s="22"/>
      <c r="G27" s="62"/>
      <c r="H27" s="24"/>
      <c r="I27" s="75"/>
      <c r="J27" s="23" t="s">
        <v>181</v>
      </c>
      <c r="K27" s="12">
        <v>1</v>
      </c>
      <c r="L27" s="23" t="s">
        <v>186</v>
      </c>
      <c r="M27" s="12" t="s">
        <v>337</v>
      </c>
      <c r="N27" s="21"/>
      <c r="O27" s="22"/>
      <c r="P27" s="57"/>
      <c r="Q27" s="23"/>
      <c r="R27" s="75"/>
      <c r="S27" s="10" t="s">
        <v>28</v>
      </c>
      <c r="T27" s="11">
        <v>1</v>
      </c>
      <c r="U27" s="10" t="s">
        <v>43</v>
      </c>
      <c r="V27" s="12" t="s">
        <v>339</v>
      </c>
      <c r="W27" s="21"/>
      <c r="X27" s="22"/>
      <c r="Y27" s="57"/>
      <c r="Z27" s="23"/>
    </row>
    <row r="28" spans="1:26" x14ac:dyDescent="0.25">
      <c r="A28" s="10"/>
      <c r="B28" s="11">
        <v>1</v>
      </c>
      <c r="C28" s="34" t="s">
        <v>90</v>
      </c>
      <c r="D28" s="12"/>
      <c r="E28" s="21"/>
      <c r="F28" s="22"/>
      <c r="G28" s="62"/>
      <c r="H28" s="24"/>
      <c r="I28" s="75"/>
      <c r="J28" s="23" t="s">
        <v>181</v>
      </c>
      <c r="K28" s="12">
        <v>1</v>
      </c>
      <c r="L28" s="23" t="s">
        <v>187</v>
      </c>
      <c r="M28" s="12" t="s">
        <v>337</v>
      </c>
      <c r="N28" s="21"/>
      <c r="O28" s="26"/>
      <c r="P28" s="57"/>
      <c r="Q28" s="23"/>
      <c r="R28" s="75"/>
      <c r="S28" s="10" t="s">
        <v>28</v>
      </c>
      <c r="T28" s="11">
        <v>1</v>
      </c>
      <c r="U28" s="10" t="s">
        <v>45</v>
      </c>
      <c r="V28" s="12" t="s">
        <v>339</v>
      </c>
      <c r="W28" s="25"/>
      <c r="X28" s="26"/>
      <c r="Y28" s="57"/>
      <c r="Z28" s="23"/>
    </row>
    <row r="29" spans="1:26" x14ac:dyDescent="0.25">
      <c r="A29" s="10" t="s">
        <v>252</v>
      </c>
      <c r="B29" s="11">
        <v>1</v>
      </c>
      <c r="C29" s="34" t="s">
        <v>257</v>
      </c>
      <c r="D29" s="12"/>
      <c r="E29" s="25"/>
      <c r="F29" s="26"/>
      <c r="G29" s="60"/>
      <c r="H29" s="13"/>
      <c r="I29" s="75"/>
      <c r="J29" s="23" t="s">
        <v>181</v>
      </c>
      <c r="K29" s="12">
        <v>1</v>
      </c>
      <c r="L29" s="23" t="s">
        <v>188</v>
      </c>
      <c r="M29" s="12" t="s">
        <v>337</v>
      </c>
      <c r="N29" s="15"/>
      <c r="O29" s="26"/>
      <c r="P29" s="57"/>
      <c r="Q29" s="23"/>
      <c r="R29" s="75"/>
      <c r="S29" s="10" t="s">
        <v>28</v>
      </c>
      <c r="T29" s="11">
        <v>1</v>
      </c>
      <c r="U29" s="10" t="s">
        <v>48</v>
      </c>
      <c r="V29" s="12" t="s">
        <v>339</v>
      </c>
      <c r="W29" s="22"/>
      <c r="X29" s="26"/>
      <c r="Y29" s="57"/>
      <c r="Z29" s="23"/>
    </row>
    <row r="30" spans="1:26" x14ac:dyDescent="0.25">
      <c r="A30" s="10" t="s">
        <v>114</v>
      </c>
      <c r="B30" s="11">
        <v>1</v>
      </c>
      <c r="C30" s="34" t="s">
        <v>242</v>
      </c>
      <c r="D30" s="12"/>
      <c r="E30" s="22"/>
      <c r="F30" s="26"/>
      <c r="G30" s="60"/>
      <c r="H30" s="13"/>
      <c r="I30" s="75"/>
      <c r="J30" s="23" t="s">
        <v>181</v>
      </c>
      <c r="K30" s="12">
        <v>1</v>
      </c>
      <c r="L30" s="23" t="s">
        <v>189</v>
      </c>
      <c r="M30" s="12" t="s">
        <v>337</v>
      </c>
      <c r="N30" s="21"/>
      <c r="O30" s="26"/>
      <c r="P30" s="57"/>
      <c r="Q30" s="23"/>
      <c r="R30" s="75"/>
      <c r="S30" s="10" t="s">
        <v>28</v>
      </c>
      <c r="T30" s="11">
        <v>1</v>
      </c>
      <c r="U30" s="10" t="s">
        <v>51</v>
      </c>
      <c r="V30" s="12" t="s">
        <v>339</v>
      </c>
      <c r="W30" s="22"/>
      <c r="X30" s="26"/>
      <c r="Y30" s="57"/>
      <c r="Z30" s="23"/>
    </row>
    <row r="31" spans="1:26" x14ac:dyDescent="0.25">
      <c r="A31" s="10" t="s">
        <v>85</v>
      </c>
      <c r="B31" s="11">
        <v>1</v>
      </c>
      <c r="C31" s="34" t="s">
        <v>253</v>
      </c>
      <c r="D31" s="12"/>
      <c r="E31" s="22"/>
      <c r="F31" s="26"/>
      <c r="G31" s="60"/>
      <c r="H31" s="13"/>
      <c r="I31" s="75"/>
      <c r="J31" s="23" t="s">
        <v>181</v>
      </c>
      <c r="K31" s="12">
        <v>1</v>
      </c>
      <c r="L31" s="23" t="s">
        <v>190</v>
      </c>
      <c r="M31" s="12" t="s">
        <v>337</v>
      </c>
      <c r="N31" s="15"/>
      <c r="O31" s="26"/>
      <c r="P31" s="57"/>
      <c r="Q31" s="23"/>
      <c r="R31" s="75"/>
      <c r="S31" s="10" t="s">
        <v>28</v>
      </c>
      <c r="T31" s="11">
        <v>1</v>
      </c>
      <c r="U31" s="10" t="s">
        <v>53</v>
      </c>
      <c r="V31" s="12" t="s">
        <v>339</v>
      </c>
      <c r="W31" s="21"/>
      <c r="X31" s="26"/>
      <c r="Y31" s="57"/>
      <c r="Z31" s="23"/>
    </row>
    <row r="32" spans="1:26" x14ac:dyDescent="0.25">
      <c r="A32" s="10"/>
      <c r="B32" s="11"/>
      <c r="C32" s="10"/>
      <c r="D32" s="12"/>
      <c r="E32" s="21"/>
      <c r="F32" s="26"/>
      <c r="G32" s="60"/>
      <c r="H32" s="13"/>
      <c r="I32" s="75"/>
      <c r="J32" s="23" t="s">
        <v>181</v>
      </c>
      <c r="K32" s="12">
        <v>1</v>
      </c>
      <c r="L32" s="23" t="s">
        <v>191</v>
      </c>
      <c r="M32" s="12" t="s">
        <v>337</v>
      </c>
      <c r="N32" s="15"/>
      <c r="O32" s="26"/>
      <c r="P32" s="57"/>
      <c r="Q32" s="23"/>
      <c r="R32" s="75"/>
      <c r="S32" s="10" t="s">
        <v>28</v>
      </c>
      <c r="T32" s="11">
        <v>1</v>
      </c>
      <c r="U32" s="10" t="s">
        <v>56</v>
      </c>
      <c r="V32" s="12" t="s">
        <v>339</v>
      </c>
      <c r="W32" s="15"/>
      <c r="X32" s="26"/>
      <c r="Y32" s="57"/>
      <c r="Z32" s="23"/>
    </row>
    <row r="33" spans="1:26" x14ac:dyDescent="0.25">
      <c r="A33" s="10"/>
      <c r="B33" s="11"/>
      <c r="C33" s="10"/>
      <c r="D33" s="12"/>
      <c r="E33" s="15"/>
      <c r="F33" s="26"/>
      <c r="G33" s="60"/>
      <c r="H33" s="13"/>
      <c r="I33" s="75"/>
      <c r="J33" s="23" t="s">
        <v>181</v>
      </c>
      <c r="K33" s="12">
        <v>1</v>
      </c>
      <c r="L33" s="23" t="s">
        <v>192</v>
      </c>
      <c r="M33" s="12" t="s">
        <v>337</v>
      </c>
      <c r="N33" s="13"/>
      <c r="O33" s="13"/>
      <c r="P33" s="57"/>
      <c r="Q33" s="23"/>
      <c r="R33" s="75"/>
      <c r="S33" s="10" t="s">
        <v>28</v>
      </c>
      <c r="T33" s="11">
        <v>1</v>
      </c>
      <c r="U33" s="10" t="s">
        <v>59</v>
      </c>
      <c r="V33" s="12" t="s">
        <v>339</v>
      </c>
      <c r="W33" s="15"/>
      <c r="X33" s="26"/>
      <c r="Y33" s="57"/>
      <c r="Z33" s="23"/>
    </row>
    <row r="34" spans="1:26" x14ac:dyDescent="0.25">
      <c r="A34" s="10"/>
      <c r="B34" s="11"/>
      <c r="C34" s="10"/>
      <c r="D34" s="12"/>
      <c r="E34" s="15"/>
      <c r="F34" s="26"/>
      <c r="G34" s="60"/>
      <c r="H34" s="13"/>
      <c r="I34" s="75"/>
      <c r="J34" s="23" t="s">
        <v>181</v>
      </c>
      <c r="K34" s="12">
        <v>1</v>
      </c>
      <c r="L34" s="23" t="s">
        <v>193</v>
      </c>
      <c r="M34" s="12" t="s">
        <v>337</v>
      </c>
      <c r="N34" s="13"/>
      <c r="O34" s="13"/>
      <c r="P34" s="57"/>
      <c r="Q34" s="23"/>
      <c r="R34" s="75"/>
      <c r="S34" s="10" t="s">
        <v>28</v>
      </c>
      <c r="T34" s="11">
        <v>1</v>
      </c>
      <c r="U34" s="10" t="s">
        <v>61</v>
      </c>
      <c r="V34" s="12" t="s">
        <v>339</v>
      </c>
      <c r="W34" s="15"/>
      <c r="X34" s="26"/>
      <c r="Y34" s="57"/>
      <c r="Z34" s="23"/>
    </row>
    <row r="35" spans="1:26" x14ac:dyDescent="0.25">
      <c r="A35" s="10"/>
      <c r="B35" s="11"/>
      <c r="C35" s="10"/>
      <c r="D35" s="12"/>
      <c r="E35" s="15"/>
      <c r="F35" s="26"/>
      <c r="G35" s="60"/>
      <c r="H35" s="13"/>
      <c r="I35" s="75"/>
      <c r="J35" s="23" t="s">
        <v>181</v>
      </c>
      <c r="K35" s="12">
        <v>1</v>
      </c>
      <c r="L35" s="23" t="s">
        <v>194</v>
      </c>
      <c r="M35" s="12" t="s">
        <v>337</v>
      </c>
      <c r="N35" s="13"/>
      <c r="O35" s="13"/>
      <c r="P35" s="57"/>
      <c r="Q35" s="23"/>
      <c r="R35" s="75"/>
      <c r="S35" s="10" t="s">
        <v>28</v>
      </c>
      <c r="T35" s="11">
        <v>1</v>
      </c>
      <c r="U35" s="10" t="s">
        <v>64</v>
      </c>
      <c r="V35" s="12" t="s">
        <v>339</v>
      </c>
      <c r="W35" s="15"/>
      <c r="X35" s="26"/>
      <c r="Y35" s="57"/>
      <c r="Z35" s="23"/>
    </row>
    <row r="36" spans="1:26" x14ac:dyDescent="0.25">
      <c r="A36" s="10"/>
      <c r="B36" s="11"/>
      <c r="C36" s="10"/>
      <c r="D36" s="12"/>
      <c r="E36" s="15"/>
      <c r="F36" s="26"/>
      <c r="G36" s="60"/>
      <c r="H36" s="13"/>
      <c r="I36" s="75"/>
      <c r="J36" s="23" t="s">
        <v>181</v>
      </c>
      <c r="K36" s="12">
        <v>1</v>
      </c>
      <c r="L36" s="23" t="s">
        <v>195</v>
      </c>
      <c r="M36" s="12" t="s">
        <v>337</v>
      </c>
      <c r="N36" s="13"/>
      <c r="O36" s="13"/>
      <c r="P36" s="57"/>
      <c r="Q36" s="23"/>
      <c r="R36" s="75"/>
      <c r="S36" s="10" t="s">
        <v>28</v>
      </c>
      <c r="T36" s="11">
        <v>1</v>
      </c>
      <c r="U36" s="10" t="s">
        <v>67</v>
      </c>
      <c r="V36" s="12" t="s">
        <v>339</v>
      </c>
      <c r="W36" s="15"/>
      <c r="X36" s="26"/>
      <c r="Y36" s="57"/>
      <c r="Z36" s="23"/>
    </row>
    <row r="37" spans="1:26" ht="15.75" x14ac:dyDescent="0.25">
      <c r="A37" s="10"/>
      <c r="B37" s="11"/>
      <c r="C37" s="47"/>
      <c r="D37" s="48"/>
      <c r="E37" s="49"/>
      <c r="F37" s="50"/>
      <c r="G37" s="61"/>
      <c r="H37" s="51"/>
      <c r="I37" s="75"/>
      <c r="J37" s="23" t="s">
        <v>181</v>
      </c>
      <c r="K37" s="12">
        <v>1</v>
      </c>
      <c r="L37" s="23" t="s">
        <v>196</v>
      </c>
      <c r="M37" s="12" t="s">
        <v>337</v>
      </c>
      <c r="N37" s="13"/>
      <c r="O37" s="13"/>
      <c r="P37" s="57"/>
      <c r="Q37" s="23"/>
      <c r="R37" s="75"/>
      <c r="S37" s="10" t="s">
        <v>28</v>
      </c>
      <c r="T37" s="11">
        <v>1</v>
      </c>
      <c r="U37" s="10" t="s">
        <v>70</v>
      </c>
      <c r="V37" s="12" t="s">
        <v>339</v>
      </c>
      <c r="W37" s="15"/>
      <c r="X37" s="26"/>
      <c r="Y37" s="57"/>
      <c r="Z37" s="23"/>
    </row>
    <row r="38" spans="1:26" x14ac:dyDescent="0.25">
      <c r="A38" s="10"/>
      <c r="B38" s="11"/>
      <c r="C38" s="52"/>
      <c r="D38" s="48"/>
      <c r="E38" s="49"/>
      <c r="F38" s="50"/>
      <c r="G38" s="61"/>
      <c r="H38" s="51"/>
      <c r="I38" s="75"/>
      <c r="J38" s="14" t="s">
        <v>181</v>
      </c>
      <c r="K38" s="12">
        <v>1</v>
      </c>
      <c r="L38" s="14" t="s">
        <v>197</v>
      </c>
      <c r="M38" s="12" t="s">
        <v>337</v>
      </c>
      <c r="N38" s="13"/>
      <c r="O38" s="13"/>
      <c r="P38" s="57"/>
      <c r="Q38" s="23"/>
      <c r="R38" s="75"/>
      <c r="S38" s="10" t="s">
        <v>28</v>
      </c>
      <c r="T38" s="11">
        <v>1</v>
      </c>
      <c r="U38" s="10" t="s">
        <v>72</v>
      </c>
      <c r="V38" s="12" t="s">
        <v>339</v>
      </c>
      <c r="W38" s="15"/>
      <c r="X38" s="26"/>
      <c r="Y38" s="57"/>
      <c r="Z38" s="23"/>
    </row>
    <row r="39" spans="1:26" ht="19.899999999999999" customHeight="1" x14ac:dyDescent="0.35">
      <c r="A39" s="611"/>
      <c r="B39" s="612"/>
      <c r="C39" s="612"/>
      <c r="D39" s="612"/>
      <c r="E39" s="612"/>
      <c r="F39" s="612"/>
      <c r="G39" s="612"/>
      <c r="H39" s="613"/>
      <c r="I39" s="75"/>
      <c r="J39" s="578" t="s">
        <v>246</v>
      </c>
      <c r="K39" s="578"/>
      <c r="L39" s="578"/>
      <c r="M39" s="578"/>
      <c r="N39" s="578"/>
      <c r="O39" s="578"/>
      <c r="P39" s="578"/>
      <c r="Q39" s="578"/>
      <c r="R39" s="75"/>
      <c r="S39" s="578" t="s">
        <v>278</v>
      </c>
      <c r="T39" s="578"/>
      <c r="U39" s="578"/>
      <c r="V39" s="578"/>
      <c r="W39" s="578"/>
      <c r="X39" s="578"/>
      <c r="Y39" s="578"/>
      <c r="Z39" s="578"/>
    </row>
    <row r="40" spans="1:26" ht="15.75" x14ac:dyDescent="0.25">
      <c r="A40" s="10"/>
      <c r="B40" s="11"/>
      <c r="C40" s="47" t="s">
        <v>150</v>
      </c>
      <c r="D40" s="48"/>
      <c r="E40" s="49"/>
      <c r="F40" s="50"/>
      <c r="G40" s="61"/>
      <c r="H40" s="51"/>
      <c r="I40" s="75"/>
      <c r="J40" s="10" t="s">
        <v>25</v>
      </c>
      <c r="K40" s="11">
        <v>1</v>
      </c>
      <c r="L40" s="10" t="s">
        <v>140</v>
      </c>
      <c r="M40" s="12" t="s">
        <v>337</v>
      </c>
      <c r="N40" s="22"/>
      <c r="O40" s="26"/>
      <c r="P40" s="56"/>
      <c r="Q40" s="32"/>
      <c r="R40" s="75"/>
      <c r="S40" s="10" t="s">
        <v>31</v>
      </c>
      <c r="T40" s="11">
        <v>1</v>
      </c>
      <c r="U40" s="10" t="s">
        <v>37</v>
      </c>
      <c r="V40" s="12" t="s">
        <v>338</v>
      </c>
      <c r="W40" s="22"/>
      <c r="X40" s="26"/>
      <c r="Y40" s="57"/>
      <c r="Z40" s="23"/>
    </row>
    <row r="41" spans="1:26" x14ac:dyDescent="0.25">
      <c r="A41" s="14"/>
      <c r="B41" s="12"/>
      <c r="C41" s="52" t="s">
        <v>152</v>
      </c>
      <c r="D41" s="48"/>
      <c r="E41" s="49"/>
      <c r="F41" s="50"/>
      <c r="G41" s="61"/>
      <c r="H41" s="51"/>
      <c r="I41" s="75"/>
      <c r="J41" s="10" t="s">
        <v>25</v>
      </c>
      <c r="K41" s="11">
        <v>1</v>
      </c>
      <c r="L41" s="10" t="s">
        <v>142</v>
      </c>
      <c r="M41" s="12" t="s">
        <v>337</v>
      </c>
      <c r="N41" s="22"/>
      <c r="O41" s="26"/>
      <c r="P41" s="57"/>
      <c r="Q41" s="23"/>
      <c r="R41" s="75"/>
      <c r="S41" s="10" t="s">
        <v>31</v>
      </c>
      <c r="T41" s="11">
        <v>1</v>
      </c>
      <c r="U41" s="10" t="s">
        <v>135</v>
      </c>
      <c r="V41" s="12" t="s">
        <v>338</v>
      </c>
      <c r="W41" s="22"/>
      <c r="X41" s="26"/>
      <c r="Y41" s="57"/>
      <c r="Z41" s="23"/>
    </row>
    <row r="42" spans="1:26" x14ac:dyDescent="0.25">
      <c r="A42" s="14"/>
      <c r="B42" s="12"/>
      <c r="C42" s="52" t="s">
        <v>151</v>
      </c>
      <c r="D42" s="48"/>
      <c r="E42" s="53"/>
      <c r="F42" s="50"/>
      <c r="G42" s="61"/>
      <c r="H42" s="51"/>
      <c r="I42" s="75"/>
      <c r="J42" s="10" t="s">
        <v>25</v>
      </c>
      <c r="K42" s="11">
        <v>1</v>
      </c>
      <c r="L42" s="10" t="s">
        <v>144</v>
      </c>
      <c r="M42" s="12" t="s">
        <v>337</v>
      </c>
      <c r="N42" s="22"/>
      <c r="O42" s="22"/>
      <c r="P42" s="57"/>
      <c r="Q42" s="23"/>
      <c r="R42" s="75"/>
      <c r="S42" s="10" t="s">
        <v>31</v>
      </c>
      <c r="T42" s="11">
        <v>1</v>
      </c>
      <c r="U42" s="10" t="s">
        <v>38</v>
      </c>
      <c r="V42" s="12" t="s">
        <v>338</v>
      </c>
      <c r="W42" s="22"/>
      <c r="X42" s="22"/>
      <c r="Y42" s="57"/>
      <c r="Z42" s="23"/>
    </row>
    <row r="43" spans="1:26" x14ac:dyDescent="0.25">
      <c r="A43" s="14"/>
      <c r="B43" s="12"/>
      <c r="C43" s="52" t="s">
        <v>154</v>
      </c>
      <c r="D43" s="48"/>
      <c r="E43" s="54"/>
      <c r="F43" s="50"/>
      <c r="G43" s="61"/>
      <c r="H43" s="51"/>
      <c r="I43" s="75"/>
      <c r="J43" s="10" t="s">
        <v>25</v>
      </c>
      <c r="K43" s="11">
        <v>1</v>
      </c>
      <c r="L43" s="10" t="s">
        <v>146</v>
      </c>
      <c r="M43" s="12" t="s">
        <v>337</v>
      </c>
      <c r="N43" s="21"/>
      <c r="O43" s="22"/>
      <c r="P43" s="57"/>
      <c r="Q43" s="23"/>
      <c r="R43" s="75"/>
      <c r="S43" s="10" t="s">
        <v>31</v>
      </c>
      <c r="T43" s="11">
        <v>1</v>
      </c>
      <c r="U43" s="10" t="s">
        <v>41</v>
      </c>
      <c r="V43" s="12" t="s">
        <v>338</v>
      </c>
      <c r="W43" s="21"/>
      <c r="X43" s="22"/>
      <c r="Y43" s="57"/>
      <c r="Z43" s="23"/>
    </row>
    <row r="44" spans="1:26" x14ac:dyDescent="0.25">
      <c r="A44" s="14"/>
      <c r="B44" s="12"/>
      <c r="C44" s="52" t="s">
        <v>155</v>
      </c>
      <c r="D44" s="48"/>
      <c r="E44" s="49"/>
      <c r="F44" s="50"/>
      <c r="G44" s="61"/>
      <c r="H44" s="51"/>
      <c r="I44" s="75"/>
      <c r="J44" s="10" t="s">
        <v>25</v>
      </c>
      <c r="K44" s="11">
        <v>1</v>
      </c>
      <c r="L44" s="10" t="s">
        <v>148</v>
      </c>
      <c r="M44" s="12" t="s">
        <v>337</v>
      </c>
      <c r="N44" s="21"/>
      <c r="O44" s="22"/>
      <c r="P44" s="57"/>
      <c r="Q44" s="23"/>
      <c r="R44" s="75"/>
      <c r="S44" s="10" t="s">
        <v>31</v>
      </c>
      <c r="T44" s="11">
        <v>1</v>
      </c>
      <c r="U44" s="10" t="s">
        <v>136</v>
      </c>
      <c r="V44" s="12" t="s">
        <v>338</v>
      </c>
      <c r="W44" s="21"/>
      <c r="X44" s="22"/>
      <c r="Y44" s="57"/>
      <c r="Z44" s="23"/>
    </row>
    <row r="45" spans="1:26" x14ac:dyDescent="0.25">
      <c r="A45" s="14"/>
      <c r="B45" s="12"/>
      <c r="C45" s="52" t="s">
        <v>156</v>
      </c>
      <c r="D45" s="48"/>
      <c r="E45" s="49"/>
      <c r="F45" s="50"/>
      <c r="G45" s="61"/>
      <c r="H45" s="51"/>
      <c r="I45" s="75"/>
      <c r="J45" s="10" t="s">
        <v>25</v>
      </c>
      <c r="K45" s="11">
        <v>1</v>
      </c>
      <c r="L45" s="10" t="s">
        <v>159</v>
      </c>
      <c r="M45" s="12" t="s">
        <v>337</v>
      </c>
      <c r="N45" s="25"/>
      <c r="O45" s="26"/>
      <c r="P45" s="57"/>
      <c r="Q45" s="23"/>
      <c r="R45" s="75"/>
      <c r="S45" s="10" t="s">
        <v>31</v>
      </c>
      <c r="T45" s="11">
        <v>1</v>
      </c>
      <c r="U45" s="10" t="s">
        <v>46</v>
      </c>
      <c r="V45" s="12" t="s">
        <v>338</v>
      </c>
      <c r="W45" s="21"/>
      <c r="X45" s="22"/>
      <c r="Y45" s="57"/>
      <c r="Z45" s="23"/>
    </row>
    <row r="46" spans="1:26" x14ac:dyDescent="0.25">
      <c r="A46" s="14"/>
      <c r="B46" s="12"/>
      <c r="C46" s="52" t="s">
        <v>157</v>
      </c>
      <c r="D46" s="48"/>
      <c r="E46" s="49"/>
      <c r="F46" s="50"/>
      <c r="G46" s="61"/>
      <c r="H46" s="51"/>
      <c r="I46" s="75"/>
      <c r="J46" s="10" t="s">
        <v>25</v>
      </c>
      <c r="K46" s="11">
        <v>1</v>
      </c>
      <c r="L46" s="10" t="s">
        <v>161</v>
      </c>
      <c r="M46" s="12" t="s">
        <v>337</v>
      </c>
      <c r="N46" s="15"/>
      <c r="O46" s="26"/>
      <c r="P46" s="57"/>
      <c r="Q46" s="23"/>
      <c r="R46" s="75"/>
      <c r="S46" s="10" t="s">
        <v>31</v>
      </c>
      <c r="T46" s="11">
        <v>1</v>
      </c>
      <c r="U46" s="10" t="s">
        <v>49</v>
      </c>
      <c r="V46" s="12" t="s">
        <v>338</v>
      </c>
      <c r="W46" s="21"/>
      <c r="X46" s="22"/>
      <c r="Y46" s="57"/>
      <c r="Z46" s="23"/>
    </row>
    <row r="47" spans="1:26" x14ac:dyDescent="0.25">
      <c r="A47" s="14"/>
      <c r="B47" s="12"/>
      <c r="C47" s="16"/>
      <c r="D47" s="11"/>
      <c r="E47" s="15"/>
      <c r="F47" s="26"/>
      <c r="G47" s="60"/>
      <c r="H47" s="13"/>
      <c r="I47" s="75"/>
      <c r="J47" s="10" t="s">
        <v>25</v>
      </c>
      <c r="K47" s="11">
        <v>1</v>
      </c>
      <c r="L47" s="10" t="s">
        <v>163</v>
      </c>
      <c r="M47" s="12" t="s">
        <v>337</v>
      </c>
      <c r="N47" s="15"/>
      <c r="O47" s="26"/>
      <c r="P47" s="57"/>
      <c r="Q47" s="23"/>
      <c r="R47" s="75"/>
      <c r="S47" s="10" t="s">
        <v>31</v>
      </c>
      <c r="T47" s="11">
        <v>1</v>
      </c>
      <c r="U47" s="10" t="s">
        <v>137</v>
      </c>
      <c r="V47" s="12" t="s">
        <v>338</v>
      </c>
      <c r="W47" s="22"/>
      <c r="X47" s="26"/>
      <c r="Y47" s="57"/>
      <c r="Z47" s="23"/>
    </row>
    <row r="48" spans="1:26" x14ac:dyDescent="0.25">
      <c r="A48" s="14"/>
      <c r="B48" s="12"/>
      <c r="C48" s="10"/>
      <c r="D48" s="12"/>
      <c r="E48" s="15"/>
      <c r="F48" s="26"/>
      <c r="G48" s="60"/>
      <c r="H48" s="13"/>
      <c r="I48" s="75"/>
      <c r="J48" s="10" t="s">
        <v>25</v>
      </c>
      <c r="K48" s="11">
        <v>1</v>
      </c>
      <c r="L48" s="10" t="s">
        <v>165</v>
      </c>
      <c r="M48" s="12" t="s">
        <v>337</v>
      </c>
      <c r="N48" s="15"/>
      <c r="O48" s="26"/>
      <c r="P48" s="57"/>
      <c r="Q48" s="23"/>
      <c r="R48" s="75"/>
      <c r="S48" s="10" t="s">
        <v>31</v>
      </c>
      <c r="T48" s="11">
        <v>1</v>
      </c>
      <c r="U48" s="10" t="s">
        <v>54</v>
      </c>
      <c r="V48" s="12" t="s">
        <v>338</v>
      </c>
      <c r="W48" s="15"/>
      <c r="X48" s="26"/>
      <c r="Y48" s="57"/>
      <c r="Z48" s="23"/>
    </row>
    <row r="49" spans="1:26" x14ac:dyDescent="0.25">
      <c r="A49" s="14"/>
      <c r="B49" s="12"/>
      <c r="C49" s="10"/>
      <c r="D49" s="12"/>
      <c r="E49" s="15"/>
      <c r="F49" s="26"/>
      <c r="G49" s="60"/>
      <c r="H49" s="13"/>
      <c r="I49" s="75"/>
      <c r="J49" s="10" t="s">
        <v>25</v>
      </c>
      <c r="K49" s="11">
        <v>1</v>
      </c>
      <c r="L49" s="10" t="s">
        <v>167</v>
      </c>
      <c r="M49" s="12" t="s">
        <v>337</v>
      </c>
      <c r="N49" s="15"/>
      <c r="O49" s="26"/>
      <c r="P49" s="57"/>
      <c r="Q49" s="23"/>
      <c r="R49" s="75"/>
      <c r="S49" s="10" t="s">
        <v>31</v>
      </c>
      <c r="T49" s="11">
        <v>1</v>
      </c>
      <c r="U49" s="10" t="s">
        <v>57</v>
      </c>
      <c r="V49" s="12" t="s">
        <v>338</v>
      </c>
      <c r="W49" s="15"/>
      <c r="X49" s="26"/>
      <c r="Y49" s="57"/>
      <c r="Z49" s="23"/>
    </row>
    <row r="50" spans="1:26" x14ac:dyDescent="0.25">
      <c r="A50" s="14"/>
      <c r="B50" s="12"/>
      <c r="C50" s="10"/>
      <c r="D50" s="12"/>
      <c r="E50" s="15"/>
      <c r="F50" s="26"/>
      <c r="G50" s="60"/>
      <c r="H50" s="13"/>
      <c r="I50" s="75"/>
      <c r="J50" s="10" t="s">
        <v>25</v>
      </c>
      <c r="K50" s="11">
        <v>1</v>
      </c>
      <c r="L50" s="10" t="s">
        <v>169</v>
      </c>
      <c r="M50" s="12" t="s">
        <v>337</v>
      </c>
      <c r="N50" s="15"/>
      <c r="O50" s="26"/>
      <c r="P50" s="57"/>
      <c r="Q50" s="23"/>
      <c r="R50" s="75"/>
      <c r="S50" s="10" t="s">
        <v>31</v>
      </c>
      <c r="T50" s="11">
        <v>1</v>
      </c>
      <c r="U50" s="10" t="s">
        <v>138</v>
      </c>
      <c r="V50" s="12" t="s">
        <v>338</v>
      </c>
      <c r="W50" s="15"/>
      <c r="X50" s="26"/>
      <c r="Y50" s="57"/>
      <c r="Z50" s="23"/>
    </row>
    <row r="51" spans="1:26" x14ac:dyDescent="0.25">
      <c r="A51" s="14"/>
      <c r="B51" s="12"/>
      <c r="C51" s="16"/>
      <c r="D51" s="11"/>
      <c r="E51" s="15"/>
      <c r="F51" s="26"/>
      <c r="G51" s="60"/>
      <c r="H51" s="13"/>
      <c r="I51" s="75"/>
      <c r="J51" s="10" t="s">
        <v>25</v>
      </c>
      <c r="K51" s="11">
        <v>1</v>
      </c>
      <c r="L51" s="10" t="s">
        <v>171</v>
      </c>
      <c r="M51" s="12" t="s">
        <v>337</v>
      </c>
      <c r="N51" s="44"/>
      <c r="O51" s="44"/>
      <c r="P51" s="57"/>
      <c r="Q51" s="23"/>
      <c r="R51" s="75"/>
      <c r="S51" s="10" t="s">
        <v>31</v>
      </c>
      <c r="T51" s="11">
        <v>1</v>
      </c>
      <c r="U51" s="10" t="s">
        <v>62</v>
      </c>
      <c r="V51" s="12" t="s">
        <v>338</v>
      </c>
      <c r="W51" s="15"/>
      <c r="X51" s="26"/>
      <c r="Y51" s="57"/>
      <c r="Z51" s="23"/>
    </row>
    <row r="52" spans="1:26" x14ac:dyDescent="0.25">
      <c r="A52" s="14"/>
      <c r="B52" s="12"/>
      <c r="C52" s="16"/>
      <c r="D52" s="11"/>
      <c r="E52" s="15"/>
      <c r="F52" s="26"/>
      <c r="G52" s="60"/>
      <c r="H52" s="13"/>
      <c r="I52" s="75"/>
      <c r="J52" s="10" t="s">
        <v>25</v>
      </c>
      <c r="K52" s="11">
        <v>1</v>
      </c>
      <c r="L52" s="10" t="s">
        <v>173</v>
      </c>
      <c r="M52" s="12" t="s">
        <v>337</v>
      </c>
      <c r="N52" s="44"/>
      <c r="O52" s="44"/>
      <c r="P52" s="57"/>
      <c r="Q52" s="23"/>
      <c r="R52" s="75"/>
      <c r="S52" s="10" t="s">
        <v>31</v>
      </c>
      <c r="T52" s="11">
        <v>1</v>
      </c>
      <c r="U52" s="10" t="s">
        <v>65</v>
      </c>
      <c r="V52" s="12" t="s">
        <v>338</v>
      </c>
      <c r="W52" s="15"/>
      <c r="X52" s="26"/>
      <c r="Y52" s="57"/>
      <c r="Z52" s="23"/>
    </row>
    <row r="53" spans="1:26" x14ac:dyDescent="0.25">
      <c r="A53" s="14"/>
      <c r="B53" s="12"/>
      <c r="C53" s="16"/>
      <c r="D53" s="11"/>
      <c r="E53" s="15"/>
      <c r="F53" s="26"/>
      <c r="G53" s="60"/>
      <c r="H53" s="13"/>
      <c r="I53" s="75"/>
      <c r="J53" s="10" t="s">
        <v>25</v>
      </c>
      <c r="K53" s="11">
        <v>1</v>
      </c>
      <c r="L53" s="10" t="s">
        <v>175</v>
      </c>
      <c r="M53" s="12" t="s">
        <v>337</v>
      </c>
      <c r="N53" s="44"/>
      <c r="O53" s="44"/>
      <c r="P53" s="57"/>
      <c r="Q53" s="23"/>
      <c r="R53" s="75"/>
      <c r="S53" s="10" t="s">
        <v>31</v>
      </c>
      <c r="T53" s="11">
        <v>1</v>
      </c>
      <c r="U53" s="10" t="s">
        <v>68</v>
      </c>
      <c r="V53" s="12" t="s">
        <v>338</v>
      </c>
      <c r="W53" s="15"/>
      <c r="X53" s="26"/>
      <c r="Y53" s="57"/>
      <c r="Z53" s="23"/>
    </row>
    <row r="54" spans="1:26" x14ac:dyDescent="0.25">
      <c r="A54" s="14"/>
      <c r="B54" s="12"/>
      <c r="C54" s="16"/>
      <c r="D54" s="11"/>
      <c r="E54" s="15"/>
      <c r="F54" s="26"/>
      <c r="G54" s="60"/>
      <c r="H54" s="13"/>
      <c r="I54" s="75"/>
      <c r="J54" s="10" t="s">
        <v>25</v>
      </c>
      <c r="K54" s="11">
        <v>1</v>
      </c>
      <c r="L54" s="10" t="s">
        <v>177</v>
      </c>
      <c r="M54" s="12" t="s">
        <v>337</v>
      </c>
      <c r="N54" s="44"/>
      <c r="O54" s="44"/>
      <c r="P54" s="57"/>
      <c r="Q54" s="23"/>
      <c r="R54" s="75"/>
      <c r="S54" s="10" t="s">
        <v>31</v>
      </c>
      <c r="T54" s="11">
        <v>1</v>
      </c>
      <c r="U54" s="10" t="s">
        <v>139</v>
      </c>
      <c r="V54" s="12" t="s">
        <v>338</v>
      </c>
      <c r="W54" s="15"/>
      <c r="X54" s="26"/>
      <c r="Y54" s="57"/>
      <c r="Z54" s="23"/>
    </row>
    <row r="55" spans="1:26" x14ac:dyDescent="0.25">
      <c r="A55" s="14"/>
      <c r="B55" s="12"/>
      <c r="C55" s="16"/>
      <c r="D55" s="11"/>
      <c r="E55" s="15"/>
      <c r="F55" s="26"/>
      <c r="G55" s="60"/>
      <c r="H55" s="13"/>
      <c r="I55" s="75"/>
      <c r="J55" s="10" t="s">
        <v>25</v>
      </c>
      <c r="K55" s="11">
        <v>1</v>
      </c>
      <c r="L55" s="10" t="s">
        <v>179</v>
      </c>
      <c r="M55" s="12" t="s">
        <v>337</v>
      </c>
      <c r="N55" s="44"/>
      <c r="O55" s="44"/>
      <c r="P55" s="57"/>
      <c r="Q55" s="23"/>
      <c r="R55" s="75"/>
      <c r="S55" s="10" t="s">
        <v>31</v>
      </c>
      <c r="T55" s="11">
        <v>1</v>
      </c>
      <c r="U55" s="10" t="s">
        <v>73</v>
      </c>
      <c r="V55" s="12" t="s">
        <v>338</v>
      </c>
      <c r="W55" s="15"/>
      <c r="X55" s="26"/>
      <c r="Y55" s="57"/>
      <c r="Z55" s="23"/>
    </row>
    <row r="56" spans="1:26" ht="25.15" customHeight="1" x14ac:dyDescent="0.35">
      <c r="A56" s="579" t="s">
        <v>281</v>
      </c>
      <c r="B56" s="580"/>
      <c r="C56" s="580"/>
      <c r="D56" s="580"/>
      <c r="E56" s="580"/>
      <c r="F56" s="580"/>
      <c r="G56" s="580"/>
      <c r="H56" s="581"/>
      <c r="I56" s="78"/>
      <c r="J56" s="578" t="s">
        <v>279</v>
      </c>
      <c r="K56" s="578"/>
      <c r="L56" s="578"/>
      <c r="M56" s="578"/>
      <c r="N56" s="578"/>
      <c r="O56" s="578"/>
      <c r="P56" s="578"/>
      <c r="Q56" s="578"/>
      <c r="R56" s="78"/>
      <c r="S56" s="579" t="s">
        <v>280</v>
      </c>
      <c r="T56" s="580"/>
      <c r="U56" s="580"/>
      <c r="V56" s="580"/>
      <c r="W56" s="580"/>
      <c r="X56" s="580"/>
      <c r="Y56" s="580"/>
      <c r="Z56" s="581"/>
    </row>
    <row r="57" spans="1:26" ht="16.5" thickBot="1" x14ac:dyDescent="0.3">
      <c r="A57" s="27" t="s">
        <v>0</v>
      </c>
      <c r="B57" s="28" t="s">
        <v>1</v>
      </c>
      <c r="C57" s="28" t="s">
        <v>2</v>
      </c>
      <c r="D57" s="28" t="s">
        <v>24</v>
      </c>
      <c r="E57" s="9" t="s">
        <v>7</v>
      </c>
      <c r="F57" s="45" t="s">
        <v>9</v>
      </c>
      <c r="G57" s="7" t="s">
        <v>133</v>
      </c>
      <c r="H57" s="7" t="s">
        <v>134</v>
      </c>
      <c r="I57" s="75"/>
      <c r="J57" s="27" t="s">
        <v>0</v>
      </c>
      <c r="K57" s="28" t="s">
        <v>1</v>
      </c>
      <c r="L57" s="28" t="s">
        <v>2</v>
      </c>
      <c r="M57" s="28" t="s">
        <v>24</v>
      </c>
      <c r="N57" s="9" t="s">
        <v>7</v>
      </c>
      <c r="O57" s="45" t="s">
        <v>9</v>
      </c>
      <c r="P57" s="7" t="s">
        <v>133</v>
      </c>
      <c r="Q57" s="46" t="s">
        <v>134</v>
      </c>
      <c r="R57" s="75"/>
      <c r="S57" s="27" t="s">
        <v>0</v>
      </c>
      <c r="T57" s="28" t="s">
        <v>1</v>
      </c>
      <c r="U57" s="28" t="s">
        <v>2</v>
      </c>
      <c r="V57" s="28" t="s">
        <v>24</v>
      </c>
      <c r="W57" s="9" t="s">
        <v>7</v>
      </c>
      <c r="X57" s="45" t="s">
        <v>9</v>
      </c>
      <c r="Y57" s="7" t="s">
        <v>133</v>
      </c>
      <c r="Z57" s="46" t="s">
        <v>134</v>
      </c>
    </row>
    <row r="58" spans="1:26" x14ac:dyDescent="0.25">
      <c r="A58" s="14" t="s">
        <v>198</v>
      </c>
      <c r="B58" s="12">
        <v>1</v>
      </c>
      <c r="C58" s="10" t="s">
        <v>199</v>
      </c>
      <c r="D58" s="12" t="s">
        <v>341</v>
      </c>
      <c r="E58" s="22"/>
      <c r="F58" s="26"/>
      <c r="G58" s="59"/>
      <c r="H58" s="16"/>
      <c r="I58" s="75"/>
      <c r="J58" s="10" t="s">
        <v>28</v>
      </c>
      <c r="K58" s="11">
        <v>1</v>
      </c>
      <c r="L58" s="10" t="s">
        <v>141</v>
      </c>
      <c r="M58" s="12" t="s">
        <v>340</v>
      </c>
      <c r="N58" s="22"/>
      <c r="O58" s="26"/>
      <c r="P58" s="57"/>
      <c r="Q58" s="23"/>
      <c r="R58" s="75"/>
      <c r="S58" s="10" t="s">
        <v>28</v>
      </c>
      <c r="T58" s="11">
        <v>1</v>
      </c>
      <c r="U58" s="10" t="s">
        <v>141</v>
      </c>
      <c r="V58" s="12" t="s">
        <v>339</v>
      </c>
      <c r="W58" s="22"/>
      <c r="X58" s="26"/>
      <c r="Y58" s="58"/>
      <c r="Z58" s="44"/>
    </row>
    <row r="59" spans="1:26" x14ac:dyDescent="0.25">
      <c r="A59" s="14" t="s">
        <v>198</v>
      </c>
      <c r="B59" s="12">
        <v>1</v>
      </c>
      <c r="C59" s="10" t="s">
        <v>200</v>
      </c>
      <c r="D59" s="12" t="s">
        <v>341</v>
      </c>
      <c r="E59" s="22"/>
      <c r="F59" s="26"/>
      <c r="G59" s="60"/>
      <c r="H59" s="13"/>
      <c r="I59" s="75"/>
      <c r="J59" s="10" t="s">
        <v>28</v>
      </c>
      <c r="K59" s="11">
        <v>1</v>
      </c>
      <c r="L59" s="10" t="s">
        <v>143</v>
      </c>
      <c r="M59" s="12" t="s">
        <v>340</v>
      </c>
      <c r="N59" s="22"/>
      <c r="O59" s="26"/>
      <c r="P59" s="57"/>
      <c r="Q59" s="23"/>
      <c r="R59" s="75"/>
      <c r="S59" s="10" t="s">
        <v>28</v>
      </c>
      <c r="T59" s="11">
        <v>1</v>
      </c>
      <c r="U59" s="10" t="s">
        <v>143</v>
      </c>
      <c r="V59" s="12" t="s">
        <v>339</v>
      </c>
      <c r="W59" s="22"/>
      <c r="X59" s="26"/>
      <c r="Y59" s="58"/>
      <c r="Z59" s="44"/>
    </row>
    <row r="60" spans="1:26" x14ac:dyDescent="0.25">
      <c r="A60" s="14" t="s">
        <v>198</v>
      </c>
      <c r="B60" s="12">
        <v>1</v>
      </c>
      <c r="C60" s="10" t="s">
        <v>201</v>
      </c>
      <c r="D60" s="12" t="s">
        <v>341</v>
      </c>
      <c r="E60" s="22"/>
      <c r="F60" s="26"/>
      <c r="G60" s="60"/>
      <c r="H60" s="13"/>
      <c r="I60" s="75"/>
      <c r="J60" s="10" t="s">
        <v>28</v>
      </c>
      <c r="K60" s="11">
        <v>1</v>
      </c>
      <c r="L60" s="10" t="s">
        <v>145</v>
      </c>
      <c r="M60" s="12" t="s">
        <v>340</v>
      </c>
      <c r="N60" s="21"/>
      <c r="O60" s="22"/>
      <c r="P60" s="57"/>
      <c r="Q60" s="23"/>
      <c r="R60" s="75"/>
      <c r="S60" s="10" t="s">
        <v>28</v>
      </c>
      <c r="T60" s="11">
        <v>1</v>
      </c>
      <c r="U60" s="10" t="s">
        <v>145</v>
      </c>
      <c r="V60" s="12" t="s">
        <v>339</v>
      </c>
      <c r="W60" s="21"/>
      <c r="X60" s="22"/>
      <c r="Y60" s="58"/>
      <c r="Z60" s="44"/>
    </row>
    <row r="61" spans="1:26" x14ac:dyDescent="0.25">
      <c r="A61" s="14" t="s">
        <v>198</v>
      </c>
      <c r="B61" s="12">
        <v>1</v>
      </c>
      <c r="C61" s="10" t="s">
        <v>202</v>
      </c>
      <c r="D61" s="12" t="s">
        <v>341</v>
      </c>
      <c r="E61" s="22"/>
      <c r="F61" s="26"/>
      <c r="G61" s="60"/>
      <c r="H61" s="13"/>
      <c r="I61" s="75"/>
      <c r="J61" s="10" t="s">
        <v>28</v>
      </c>
      <c r="K61" s="11">
        <v>1</v>
      </c>
      <c r="L61" s="10" t="s">
        <v>147</v>
      </c>
      <c r="M61" s="12" t="s">
        <v>340</v>
      </c>
      <c r="N61" s="21"/>
      <c r="O61" s="22"/>
      <c r="P61" s="57"/>
      <c r="Q61" s="23"/>
      <c r="R61" s="75"/>
      <c r="S61" s="10" t="s">
        <v>28</v>
      </c>
      <c r="T61" s="11">
        <v>1</v>
      </c>
      <c r="U61" s="10" t="s">
        <v>147</v>
      </c>
      <c r="V61" s="12" t="s">
        <v>339</v>
      </c>
      <c r="W61" s="21"/>
      <c r="X61" s="22"/>
      <c r="Y61" s="58"/>
      <c r="Z61" s="44"/>
    </row>
    <row r="62" spans="1:26" x14ac:dyDescent="0.25">
      <c r="A62" s="14" t="s">
        <v>198</v>
      </c>
      <c r="B62" s="12">
        <v>1</v>
      </c>
      <c r="C62" s="10" t="s">
        <v>203</v>
      </c>
      <c r="D62" s="12" t="s">
        <v>341</v>
      </c>
      <c r="E62" s="22"/>
      <c r="F62" s="26"/>
      <c r="G62" s="60"/>
      <c r="H62" s="13"/>
      <c r="I62" s="75"/>
      <c r="J62" s="10" t="s">
        <v>28</v>
      </c>
      <c r="K62" s="11">
        <v>1</v>
      </c>
      <c r="L62" s="10" t="s">
        <v>149</v>
      </c>
      <c r="M62" s="12" t="s">
        <v>340</v>
      </c>
      <c r="N62" s="21"/>
      <c r="O62" s="22"/>
      <c r="P62" s="57"/>
      <c r="Q62" s="23"/>
      <c r="R62" s="75"/>
      <c r="S62" s="10" t="s">
        <v>28</v>
      </c>
      <c r="T62" s="11">
        <v>1</v>
      </c>
      <c r="U62" s="10" t="s">
        <v>149</v>
      </c>
      <c r="V62" s="12" t="s">
        <v>339</v>
      </c>
      <c r="W62" s="21"/>
      <c r="X62" s="22"/>
      <c r="Y62" s="58"/>
      <c r="Z62" s="44"/>
    </row>
    <row r="63" spans="1:26" x14ac:dyDescent="0.25">
      <c r="A63" s="14" t="s">
        <v>198</v>
      </c>
      <c r="B63" s="12">
        <v>1</v>
      </c>
      <c r="C63" s="10" t="s">
        <v>204</v>
      </c>
      <c r="D63" s="12" t="s">
        <v>341</v>
      </c>
      <c r="E63" s="22"/>
      <c r="F63" s="26"/>
      <c r="G63" s="60"/>
      <c r="H63" s="13"/>
      <c r="I63" s="75"/>
      <c r="J63" s="10" t="s">
        <v>28</v>
      </c>
      <c r="K63" s="11">
        <v>1</v>
      </c>
      <c r="L63" s="10" t="s">
        <v>160</v>
      </c>
      <c r="M63" s="12" t="s">
        <v>340</v>
      </c>
      <c r="N63" s="22"/>
      <c r="O63" s="26"/>
      <c r="P63" s="57"/>
      <c r="Q63" s="23"/>
      <c r="R63" s="75"/>
      <c r="S63" s="10" t="s">
        <v>28</v>
      </c>
      <c r="T63" s="11">
        <v>1</v>
      </c>
      <c r="U63" s="10" t="s">
        <v>160</v>
      </c>
      <c r="V63" s="12" t="s">
        <v>339</v>
      </c>
      <c r="W63" s="22"/>
      <c r="X63" s="26"/>
      <c r="Y63" s="58"/>
      <c r="Z63" s="44"/>
    </row>
    <row r="64" spans="1:26" x14ac:dyDescent="0.25">
      <c r="A64" s="10"/>
      <c r="B64" s="11"/>
      <c r="C64" s="34"/>
      <c r="D64" s="12"/>
      <c r="E64" s="22"/>
      <c r="F64" s="26"/>
      <c r="G64" s="60"/>
      <c r="H64" s="13"/>
      <c r="I64" s="75"/>
      <c r="J64" s="10" t="s">
        <v>28</v>
      </c>
      <c r="K64" s="11">
        <v>1</v>
      </c>
      <c r="L64" s="10" t="s">
        <v>162</v>
      </c>
      <c r="M64" s="12" t="s">
        <v>340</v>
      </c>
      <c r="N64" s="15"/>
      <c r="O64" s="26"/>
      <c r="P64" s="57"/>
      <c r="Q64" s="23"/>
      <c r="R64" s="75"/>
      <c r="S64" s="10" t="s">
        <v>28</v>
      </c>
      <c r="T64" s="11">
        <v>1</v>
      </c>
      <c r="U64" s="10" t="s">
        <v>162</v>
      </c>
      <c r="V64" s="12" t="s">
        <v>339</v>
      </c>
      <c r="W64" s="15"/>
      <c r="X64" s="26"/>
      <c r="Y64" s="58"/>
      <c r="Z64" s="44"/>
    </row>
    <row r="65" spans="1:26" x14ac:dyDescent="0.25">
      <c r="A65" s="10"/>
      <c r="B65" s="11"/>
      <c r="C65" s="34"/>
      <c r="D65" s="12"/>
      <c r="E65" s="22"/>
      <c r="F65" s="26"/>
      <c r="G65" s="60"/>
      <c r="H65" s="13"/>
      <c r="I65" s="75"/>
      <c r="J65" s="10" t="s">
        <v>28</v>
      </c>
      <c r="K65" s="11">
        <v>1</v>
      </c>
      <c r="L65" s="10" t="s">
        <v>164</v>
      </c>
      <c r="M65" s="12" t="s">
        <v>340</v>
      </c>
      <c r="N65" s="22"/>
      <c r="O65" s="26"/>
      <c r="P65" s="57"/>
      <c r="Q65" s="23"/>
      <c r="R65" s="75"/>
      <c r="S65" s="10" t="s">
        <v>28</v>
      </c>
      <c r="T65" s="11">
        <v>1</v>
      </c>
      <c r="U65" s="10" t="s">
        <v>164</v>
      </c>
      <c r="V65" s="12" t="s">
        <v>339</v>
      </c>
      <c r="W65" s="22"/>
      <c r="X65" s="26"/>
      <c r="Y65" s="58"/>
      <c r="Z65" s="44"/>
    </row>
    <row r="66" spans="1:26" x14ac:dyDescent="0.25">
      <c r="A66" s="10"/>
      <c r="B66" s="11"/>
      <c r="C66" s="34"/>
      <c r="D66" s="12"/>
      <c r="E66" s="22"/>
      <c r="F66" s="22"/>
      <c r="G66" s="62"/>
      <c r="H66" s="24"/>
      <c r="I66" s="75"/>
      <c r="J66" s="10" t="s">
        <v>28</v>
      </c>
      <c r="K66" s="11">
        <v>1</v>
      </c>
      <c r="L66" s="10" t="s">
        <v>166</v>
      </c>
      <c r="M66" s="12" t="s">
        <v>340</v>
      </c>
      <c r="N66" s="15"/>
      <c r="O66" s="26"/>
      <c r="P66" s="57"/>
      <c r="Q66" s="23"/>
      <c r="R66" s="75"/>
      <c r="S66" s="10" t="s">
        <v>28</v>
      </c>
      <c r="T66" s="11">
        <v>1</v>
      </c>
      <c r="U66" s="10" t="s">
        <v>166</v>
      </c>
      <c r="V66" s="12" t="s">
        <v>339</v>
      </c>
      <c r="W66" s="15"/>
      <c r="X66" s="26"/>
      <c r="Y66" s="58"/>
      <c r="Z66" s="44"/>
    </row>
    <row r="67" spans="1:26" x14ac:dyDescent="0.25">
      <c r="A67" s="14"/>
      <c r="B67" s="12"/>
      <c r="C67" s="35"/>
      <c r="D67" s="12"/>
      <c r="E67" s="22"/>
      <c r="F67" s="22"/>
      <c r="G67" s="62"/>
      <c r="H67" s="24"/>
      <c r="I67" s="75"/>
      <c r="J67" s="10" t="s">
        <v>28</v>
      </c>
      <c r="K67" s="11">
        <v>1</v>
      </c>
      <c r="L67" s="10" t="s">
        <v>168</v>
      </c>
      <c r="M67" s="12" t="s">
        <v>340</v>
      </c>
      <c r="N67" s="15"/>
      <c r="O67" s="26"/>
      <c r="P67" s="57"/>
      <c r="Q67" s="23"/>
      <c r="R67" s="75"/>
      <c r="S67" s="10" t="s">
        <v>28</v>
      </c>
      <c r="T67" s="11">
        <v>1</v>
      </c>
      <c r="U67" s="10" t="s">
        <v>168</v>
      </c>
      <c r="V67" s="12" t="s">
        <v>339</v>
      </c>
      <c r="W67" s="15"/>
      <c r="X67" s="26"/>
      <c r="Y67" s="58"/>
      <c r="Z67" s="44"/>
    </row>
    <row r="68" spans="1:26" x14ac:dyDescent="0.25">
      <c r="A68" s="10"/>
      <c r="B68" s="11"/>
      <c r="C68" s="32"/>
      <c r="D68" s="12"/>
      <c r="E68" s="21"/>
      <c r="F68" s="22"/>
      <c r="G68" s="62"/>
      <c r="H68" s="24"/>
      <c r="I68" s="75"/>
      <c r="J68" s="10" t="s">
        <v>28</v>
      </c>
      <c r="K68" s="11">
        <v>1</v>
      </c>
      <c r="L68" s="10" t="s">
        <v>170</v>
      </c>
      <c r="M68" s="12" t="s">
        <v>340</v>
      </c>
      <c r="N68" s="15"/>
      <c r="O68" s="26"/>
      <c r="P68" s="57"/>
      <c r="Q68" s="23"/>
      <c r="R68" s="75"/>
      <c r="S68" s="10" t="s">
        <v>28</v>
      </c>
      <c r="T68" s="11">
        <v>1</v>
      </c>
      <c r="U68" s="10" t="s">
        <v>170</v>
      </c>
      <c r="V68" s="12" t="s">
        <v>339</v>
      </c>
      <c r="W68" s="15"/>
      <c r="X68" s="26"/>
      <c r="Y68" s="58"/>
      <c r="Z68" s="44"/>
    </row>
    <row r="69" spans="1:26" x14ac:dyDescent="0.25">
      <c r="A69" s="10"/>
      <c r="B69" s="11"/>
      <c r="C69" s="10"/>
      <c r="D69" s="12"/>
      <c r="E69" s="21"/>
      <c r="F69" s="22"/>
      <c r="G69" s="62"/>
      <c r="H69" s="24"/>
      <c r="I69" s="75"/>
      <c r="J69" s="10" t="s">
        <v>28</v>
      </c>
      <c r="K69" s="11">
        <v>1</v>
      </c>
      <c r="L69" s="10" t="s">
        <v>172</v>
      </c>
      <c r="M69" s="12" t="s">
        <v>340</v>
      </c>
      <c r="N69" s="44"/>
      <c r="O69" s="44"/>
      <c r="P69" s="57"/>
      <c r="Q69" s="23"/>
      <c r="R69" s="75"/>
      <c r="S69" s="10" t="s">
        <v>28</v>
      </c>
      <c r="T69" s="11">
        <v>1</v>
      </c>
      <c r="U69" s="10" t="s">
        <v>172</v>
      </c>
      <c r="V69" s="12" t="s">
        <v>339</v>
      </c>
      <c r="W69" s="44"/>
      <c r="X69" s="44"/>
      <c r="Y69" s="58"/>
      <c r="Z69" s="44"/>
    </row>
    <row r="70" spans="1:26" x14ac:dyDescent="0.25">
      <c r="A70" s="10"/>
      <c r="B70" s="11"/>
      <c r="C70" s="10"/>
      <c r="D70" s="12"/>
      <c r="E70" s="21"/>
      <c r="F70" s="22"/>
      <c r="G70" s="62"/>
      <c r="H70" s="24"/>
      <c r="I70" s="75"/>
      <c r="J70" s="10" t="s">
        <v>28</v>
      </c>
      <c r="K70" s="11">
        <v>1</v>
      </c>
      <c r="L70" s="10" t="s">
        <v>174</v>
      </c>
      <c r="M70" s="12" t="s">
        <v>340</v>
      </c>
      <c r="N70" s="44"/>
      <c r="O70" s="44"/>
      <c r="P70" s="57"/>
      <c r="Q70" s="23"/>
      <c r="R70" s="75"/>
      <c r="S70" s="10" t="s">
        <v>28</v>
      </c>
      <c r="T70" s="11">
        <v>1</v>
      </c>
      <c r="U70" s="10" t="s">
        <v>174</v>
      </c>
      <c r="V70" s="12" t="s">
        <v>339</v>
      </c>
      <c r="W70" s="44"/>
      <c r="X70" s="44"/>
      <c r="Y70" s="58"/>
      <c r="Z70" s="44"/>
    </row>
    <row r="71" spans="1:26" ht="15.75" x14ac:dyDescent="0.25">
      <c r="A71" s="74"/>
      <c r="B71" s="74"/>
      <c r="C71" s="74"/>
      <c r="D71" s="74"/>
      <c r="E71" s="74"/>
      <c r="F71" s="74"/>
      <c r="G71" s="74"/>
      <c r="H71" s="74"/>
      <c r="I71" s="75"/>
      <c r="J71" s="10" t="s">
        <v>28</v>
      </c>
      <c r="K71" s="11">
        <v>1</v>
      </c>
      <c r="L71" s="10" t="s">
        <v>176</v>
      </c>
      <c r="M71" s="12" t="s">
        <v>340</v>
      </c>
      <c r="N71" s="44"/>
      <c r="O71" s="44"/>
      <c r="P71" s="57"/>
      <c r="Q71" s="23"/>
      <c r="R71" s="75"/>
      <c r="S71" s="10" t="s">
        <v>28</v>
      </c>
      <c r="T71" s="11">
        <v>1</v>
      </c>
      <c r="U71" s="10" t="s">
        <v>176</v>
      </c>
      <c r="V71" s="12" t="s">
        <v>339</v>
      </c>
      <c r="W71" s="44"/>
      <c r="X71" s="44"/>
      <c r="Y71" s="58"/>
      <c r="Z71" s="44"/>
    </row>
    <row r="72" spans="1:26" x14ac:dyDescent="0.25">
      <c r="A72" s="10"/>
      <c r="B72" s="11"/>
      <c r="C72" s="10"/>
      <c r="D72" s="12"/>
      <c r="E72" s="21"/>
      <c r="F72" s="22"/>
      <c r="G72" s="62"/>
      <c r="H72" s="24"/>
      <c r="I72" s="75"/>
      <c r="J72" s="10" t="s">
        <v>28</v>
      </c>
      <c r="K72" s="11">
        <v>1</v>
      </c>
      <c r="L72" s="10" t="s">
        <v>178</v>
      </c>
      <c r="M72" s="12" t="s">
        <v>340</v>
      </c>
      <c r="N72" s="44"/>
      <c r="O72" s="44"/>
      <c r="P72" s="57"/>
      <c r="Q72" s="23"/>
      <c r="R72" s="75"/>
      <c r="S72" s="10" t="s">
        <v>28</v>
      </c>
      <c r="T72" s="11">
        <v>1</v>
      </c>
      <c r="U72" s="10" t="s">
        <v>178</v>
      </c>
      <c r="V72" s="12" t="s">
        <v>339</v>
      </c>
      <c r="W72" s="44"/>
      <c r="X72" s="44"/>
      <c r="Y72" s="58"/>
      <c r="Z72" s="44"/>
    </row>
    <row r="73" spans="1:26" x14ac:dyDescent="0.25">
      <c r="A73" s="10"/>
      <c r="B73" s="11"/>
      <c r="C73" s="10"/>
      <c r="D73" s="12"/>
      <c r="E73" s="21"/>
      <c r="F73" s="22"/>
      <c r="G73" s="62"/>
      <c r="H73" s="24"/>
      <c r="I73" s="75"/>
      <c r="J73" s="10" t="s">
        <v>28</v>
      </c>
      <c r="K73" s="11">
        <v>1</v>
      </c>
      <c r="L73" s="10" t="s">
        <v>180</v>
      </c>
      <c r="M73" s="12" t="s">
        <v>340</v>
      </c>
      <c r="N73" s="44"/>
      <c r="O73" s="44"/>
      <c r="P73" s="57"/>
      <c r="Q73" s="23"/>
      <c r="R73" s="75"/>
      <c r="S73" s="10" t="s">
        <v>28</v>
      </c>
      <c r="T73" s="11">
        <v>1</v>
      </c>
      <c r="U73" s="10" t="s">
        <v>180</v>
      </c>
      <c r="V73" s="12" t="s">
        <v>339</v>
      </c>
      <c r="W73" s="44"/>
      <c r="X73" s="44"/>
      <c r="Y73" s="58"/>
      <c r="Z73" s="44"/>
    </row>
    <row r="74" spans="1:26" ht="19.899999999999999" customHeight="1" x14ac:dyDescent="0.25">
      <c r="A74" s="611"/>
      <c r="B74" s="612"/>
      <c r="C74" s="612"/>
      <c r="D74" s="612"/>
      <c r="E74" s="612"/>
      <c r="F74" s="612"/>
      <c r="G74" s="612"/>
      <c r="H74" s="613"/>
      <c r="I74" s="78"/>
      <c r="J74" s="611"/>
      <c r="K74" s="612"/>
      <c r="L74" s="612"/>
      <c r="M74" s="612"/>
      <c r="N74" s="612"/>
      <c r="O74" s="612"/>
      <c r="P74" s="612"/>
      <c r="Q74" s="613"/>
      <c r="R74" s="78"/>
      <c r="S74" s="611"/>
      <c r="T74" s="612"/>
      <c r="U74" s="612"/>
      <c r="V74" s="612"/>
      <c r="W74" s="612"/>
      <c r="X74" s="612"/>
      <c r="Y74" s="612"/>
      <c r="Z74" s="613"/>
    </row>
    <row r="75" spans="1:26" x14ac:dyDescent="0.25">
      <c r="A75" s="10" t="s">
        <v>115</v>
      </c>
      <c r="B75" s="11">
        <v>1</v>
      </c>
      <c r="C75" s="10" t="s">
        <v>121</v>
      </c>
      <c r="D75" s="11"/>
      <c r="E75" s="21"/>
      <c r="F75" s="22"/>
      <c r="G75" s="62"/>
      <c r="H75" s="24"/>
      <c r="I75" s="75"/>
      <c r="J75" s="10"/>
      <c r="K75" s="11"/>
      <c r="L75" s="10"/>
      <c r="M75" s="12"/>
      <c r="N75" s="22"/>
      <c r="O75" s="26"/>
      <c r="P75" s="58"/>
      <c r="Q75" s="44"/>
      <c r="R75" s="75"/>
      <c r="S75" s="23"/>
      <c r="T75" s="12"/>
      <c r="U75" s="23"/>
      <c r="V75" s="12"/>
      <c r="W75" s="21"/>
      <c r="X75" s="26"/>
      <c r="Y75" s="58"/>
      <c r="Z75" s="44"/>
    </row>
    <row r="76" spans="1:26" x14ac:dyDescent="0.25">
      <c r="A76" s="10" t="s">
        <v>116</v>
      </c>
      <c r="B76" s="11">
        <v>1</v>
      </c>
      <c r="C76" s="10" t="s">
        <v>97</v>
      </c>
      <c r="D76" s="12"/>
      <c r="E76" s="21"/>
      <c r="F76" s="22"/>
      <c r="G76" s="62"/>
      <c r="H76" s="24"/>
      <c r="I76" s="75"/>
      <c r="J76" s="10"/>
      <c r="K76" s="11"/>
      <c r="L76" s="10"/>
      <c r="M76" s="12"/>
      <c r="N76" s="22"/>
      <c r="O76" s="26"/>
      <c r="P76" s="58"/>
      <c r="Q76" s="44"/>
      <c r="R76" s="75"/>
      <c r="S76" s="10"/>
      <c r="T76" s="11"/>
      <c r="U76" s="10"/>
      <c r="V76" s="12"/>
      <c r="W76" s="15"/>
      <c r="X76" s="26"/>
      <c r="Y76" s="58"/>
      <c r="Z76" s="44"/>
    </row>
    <row r="77" spans="1:26" x14ac:dyDescent="0.25">
      <c r="A77" s="10" t="s">
        <v>117</v>
      </c>
      <c r="B77" s="11">
        <v>1</v>
      </c>
      <c r="C77" s="10" t="s">
        <v>97</v>
      </c>
      <c r="D77" s="12"/>
      <c r="E77" s="21"/>
      <c r="F77" s="22"/>
      <c r="G77" s="62"/>
      <c r="H77" s="24"/>
      <c r="I77" s="75"/>
      <c r="J77" s="10"/>
      <c r="K77" s="11"/>
      <c r="L77" s="10"/>
      <c r="M77" s="12"/>
      <c r="N77" s="21"/>
      <c r="O77" s="22"/>
      <c r="P77" s="58"/>
      <c r="Q77" s="44"/>
      <c r="R77" s="75"/>
      <c r="S77" s="10"/>
      <c r="T77" s="11"/>
      <c r="U77" s="10"/>
      <c r="V77" s="12"/>
      <c r="W77" s="15"/>
      <c r="X77" s="26"/>
      <c r="Y77" s="58"/>
      <c r="Z77" s="44"/>
    </row>
    <row r="78" spans="1:26" x14ac:dyDescent="0.25">
      <c r="A78" s="10" t="s">
        <v>99</v>
      </c>
      <c r="B78" s="11">
        <v>1</v>
      </c>
      <c r="C78" s="10" t="s">
        <v>242</v>
      </c>
      <c r="D78" s="12"/>
      <c r="E78" s="21"/>
      <c r="F78" s="22"/>
      <c r="G78" s="62"/>
      <c r="H78" s="24"/>
      <c r="I78" s="75"/>
      <c r="J78" s="10"/>
      <c r="K78" s="11"/>
      <c r="L78" s="10"/>
      <c r="M78" s="12"/>
      <c r="N78" s="21"/>
      <c r="O78" s="22"/>
      <c r="P78" s="58"/>
      <c r="Q78" s="44"/>
      <c r="R78" s="75"/>
      <c r="S78" s="23"/>
      <c r="T78" s="12"/>
      <c r="U78" s="23"/>
      <c r="V78" s="12"/>
      <c r="W78" s="15"/>
      <c r="X78" s="26"/>
      <c r="Y78" s="58"/>
      <c r="Z78" s="44"/>
    </row>
    <row r="79" spans="1:26" x14ac:dyDescent="0.25">
      <c r="A79" s="10"/>
      <c r="B79" s="11"/>
      <c r="C79" s="32"/>
      <c r="D79" s="12"/>
      <c r="E79" s="21"/>
      <c r="F79" s="22"/>
      <c r="G79" s="62"/>
      <c r="H79" s="24"/>
      <c r="I79" s="75"/>
      <c r="J79" s="10"/>
      <c r="K79" s="11"/>
      <c r="L79" s="10"/>
      <c r="M79" s="12"/>
      <c r="N79" s="21"/>
      <c r="O79" s="22"/>
      <c r="P79" s="58"/>
      <c r="Q79" s="44"/>
      <c r="R79" s="75"/>
      <c r="S79" s="10"/>
      <c r="T79" s="11"/>
      <c r="U79" s="10"/>
      <c r="V79" s="12"/>
      <c r="W79" s="15"/>
      <c r="X79" s="26"/>
      <c r="Y79" s="58"/>
      <c r="Z79" s="44"/>
    </row>
    <row r="80" spans="1:26" x14ac:dyDescent="0.25">
      <c r="A80" s="10" t="s">
        <v>95</v>
      </c>
      <c r="B80" s="11">
        <v>1</v>
      </c>
      <c r="C80" s="10" t="s">
        <v>100</v>
      </c>
      <c r="D80" s="12"/>
      <c r="E80" s="21"/>
      <c r="F80" s="26"/>
      <c r="G80" s="60"/>
      <c r="H80" s="13"/>
      <c r="I80" s="75"/>
      <c r="J80" s="10"/>
      <c r="K80" s="11"/>
      <c r="L80" s="10"/>
      <c r="M80" s="12"/>
      <c r="N80" s="22"/>
      <c r="O80" s="26"/>
      <c r="P80" s="58"/>
      <c r="Q80" s="44"/>
      <c r="R80" s="75"/>
      <c r="S80" s="10"/>
      <c r="T80" s="11"/>
      <c r="U80" s="10"/>
      <c r="V80" s="12"/>
      <c r="W80" s="22"/>
      <c r="X80" s="26"/>
      <c r="Y80" s="58"/>
      <c r="Z80" s="44"/>
    </row>
    <row r="81" spans="1:26" x14ac:dyDescent="0.25">
      <c r="A81" s="10" t="s">
        <v>96</v>
      </c>
      <c r="B81" s="11">
        <v>1</v>
      </c>
      <c r="C81" s="10" t="s">
        <v>97</v>
      </c>
      <c r="D81" s="12"/>
      <c r="E81" s="25"/>
      <c r="F81" s="26"/>
      <c r="G81" s="60"/>
      <c r="H81" s="13"/>
      <c r="I81" s="75"/>
      <c r="J81" s="10"/>
      <c r="K81" s="11"/>
      <c r="L81" s="10"/>
      <c r="M81" s="12"/>
      <c r="N81" s="15"/>
      <c r="O81" s="26"/>
      <c r="P81" s="58"/>
      <c r="Q81" s="44"/>
      <c r="R81" s="75"/>
      <c r="S81" s="23"/>
      <c r="T81" s="12"/>
      <c r="U81" s="23"/>
      <c r="V81" s="12"/>
      <c r="W81" s="21"/>
      <c r="X81" s="26"/>
      <c r="Y81" s="58"/>
      <c r="Z81" s="44"/>
    </row>
    <row r="82" spans="1:26" x14ac:dyDescent="0.25">
      <c r="A82" s="10" t="s">
        <v>98</v>
      </c>
      <c r="B82" s="11">
        <v>1</v>
      </c>
      <c r="C82" s="10" t="s">
        <v>97</v>
      </c>
      <c r="D82" s="12"/>
      <c r="E82" s="22"/>
      <c r="F82" s="26"/>
      <c r="G82" s="60"/>
      <c r="H82" s="13"/>
      <c r="I82" s="75"/>
      <c r="J82" s="10"/>
      <c r="K82" s="11"/>
      <c r="L82" s="10"/>
      <c r="M82" s="12"/>
      <c r="N82" s="22"/>
      <c r="O82" s="26"/>
      <c r="P82" s="58"/>
      <c r="Q82" s="44"/>
      <c r="R82" s="75"/>
      <c r="S82" s="10"/>
      <c r="T82" s="11"/>
      <c r="U82" s="10"/>
      <c r="V82" s="12"/>
      <c r="W82" s="15"/>
      <c r="X82" s="26"/>
      <c r="Y82" s="58"/>
      <c r="Z82" s="44"/>
    </row>
    <row r="83" spans="1:26" x14ac:dyDescent="0.25">
      <c r="A83" s="10" t="s">
        <v>99</v>
      </c>
      <c r="B83" s="11">
        <v>1</v>
      </c>
      <c r="C83" s="10" t="s">
        <v>242</v>
      </c>
      <c r="D83" s="12"/>
      <c r="E83" s="22"/>
      <c r="F83" s="26"/>
      <c r="G83" s="60"/>
      <c r="H83" s="13"/>
      <c r="I83" s="75"/>
      <c r="J83" s="10"/>
      <c r="K83" s="11"/>
      <c r="L83" s="10"/>
      <c r="M83" s="12"/>
      <c r="N83" s="15"/>
      <c r="O83" s="26"/>
      <c r="P83" s="58"/>
      <c r="Q83" s="44"/>
      <c r="R83" s="75"/>
      <c r="S83" s="10"/>
      <c r="T83" s="11"/>
      <c r="U83" s="10"/>
      <c r="V83" s="12"/>
      <c r="W83" s="15"/>
      <c r="X83" s="26"/>
      <c r="Y83" s="58"/>
      <c r="Z83" s="44"/>
    </row>
    <row r="84" spans="1:26" x14ac:dyDescent="0.25">
      <c r="A84" s="10"/>
      <c r="B84" s="11"/>
      <c r="C84" s="10"/>
      <c r="D84" s="12"/>
      <c r="E84" s="21"/>
      <c r="F84" s="26"/>
      <c r="G84" s="60"/>
      <c r="H84" s="13"/>
      <c r="I84" s="75"/>
      <c r="J84" s="10"/>
      <c r="K84" s="11"/>
      <c r="L84" s="10"/>
      <c r="M84" s="12"/>
      <c r="N84" s="15"/>
      <c r="O84" s="26"/>
      <c r="P84" s="58"/>
      <c r="Q84" s="44"/>
      <c r="R84" s="75"/>
      <c r="S84" s="23"/>
      <c r="T84" s="12"/>
      <c r="U84" s="23"/>
      <c r="V84" s="12"/>
      <c r="W84" s="15"/>
      <c r="X84" s="26"/>
      <c r="Y84" s="58"/>
      <c r="Z84" s="44"/>
    </row>
    <row r="85" spans="1:26" x14ac:dyDescent="0.25">
      <c r="A85" s="10" t="s">
        <v>118</v>
      </c>
      <c r="B85" s="11">
        <v>1</v>
      </c>
      <c r="C85" s="10" t="s">
        <v>122</v>
      </c>
      <c r="D85" s="12"/>
      <c r="E85" s="15"/>
      <c r="F85" s="26"/>
      <c r="G85" s="60"/>
      <c r="H85" s="13"/>
      <c r="I85" s="75"/>
      <c r="J85" s="10"/>
      <c r="K85" s="11"/>
      <c r="L85" s="10"/>
      <c r="M85" s="12"/>
      <c r="N85" s="15"/>
      <c r="O85" s="26"/>
      <c r="P85" s="58"/>
      <c r="Q85" s="44"/>
      <c r="R85" s="75"/>
      <c r="S85" s="10"/>
      <c r="T85" s="11"/>
      <c r="U85" s="10"/>
      <c r="V85" s="12"/>
      <c r="W85" s="15"/>
      <c r="X85" s="26"/>
      <c r="Y85" s="58"/>
      <c r="Z85" s="44"/>
    </row>
    <row r="86" spans="1:26" x14ac:dyDescent="0.25">
      <c r="A86" s="10" t="s">
        <v>119</v>
      </c>
      <c r="B86" s="11">
        <v>1</v>
      </c>
      <c r="C86" s="10" t="s">
        <v>97</v>
      </c>
      <c r="D86" s="12"/>
      <c r="E86" s="15"/>
      <c r="F86" s="26"/>
      <c r="G86" s="60"/>
      <c r="H86" s="13"/>
      <c r="I86" s="75"/>
      <c r="J86" s="10"/>
      <c r="K86" s="11"/>
      <c r="L86" s="10"/>
      <c r="M86" s="12"/>
      <c r="N86" s="44"/>
      <c r="O86" s="44"/>
      <c r="P86" s="58"/>
      <c r="Q86" s="44"/>
      <c r="R86" s="75"/>
      <c r="S86" s="10"/>
      <c r="T86" s="11"/>
      <c r="U86" s="10"/>
      <c r="V86" s="12"/>
      <c r="W86" s="15"/>
      <c r="X86" s="26"/>
      <c r="Y86" s="58"/>
      <c r="Z86" s="44"/>
    </row>
    <row r="87" spans="1:26" x14ac:dyDescent="0.25">
      <c r="A87" s="10" t="s">
        <v>120</v>
      </c>
      <c r="B87" s="11">
        <v>1</v>
      </c>
      <c r="C87" s="10" t="s">
        <v>97</v>
      </c>
      <c r="D87" s="12"/>
      <c r="E87" s="15"/>
      <c r="F87" s="26"/>
      <c r="G87" s="60"/>
      <c r="H87" s="13"/>
      <c r="I87" s="75"/>
      <c r="J87" s="10"/>
      <c r="K87" s="11"/>
      <c r="L87" s="10"/>
      <c r="M87" s="12"/>
      <c r="N87" s="44"/>
      <c r="O87" s="44"/>
      <c r="P87" s="58"/>
      <c r="Q87" s="44"/>
      <c r="R87" s="75"/>
      <c r="S87" s="23"/>
      <c r="T87" s="12"/>
      <c r="U87" s="23"/>
      <c r="V87" s="12"/>
      <c r="W87" s="15"/>
      <c r="X87" s="26"/>
      <c r="Y87" s="58"/>
      <c r="Z87" s="44"/>
    </row>
    <row r="88" spans="1:26" x14ac:dyDescent="0.25">
      <c r="A88" s="10" t="s">
        <v>99</v>
      </c>
      <c r="B88" s="11">
        <v>1</v>
      </c>
      <c r="C88" s="10" t="s">
        <v>242</v>
      </c>
      <c r="D88" s="12"/>
      <c r="E88" s="15"/>
      <c r="F88" s="26"/>
      <c r="G88" s="60"/>
      <c r="H88" s="13"/>
      <c r="I88" s="75"/>
      <c r="J88" s="10"/>
      <c r="K88" s="11"/>
      <c r="L88" s="10"/>
      <c r="M88" s="12"/>
      <c r="N88" s="44"/>
      <c r="O88" s="44"/>
      <c r="P88" s="58"/>
      <c r="Q88" s="44"/>
      <c r="R88" s="75"/>
      <c r="S88" s="10"/>
      <c r="T88" s="11"/>
      <c r="U88" s="10"/>
      <c r="V88" s="12"/>
      <c r="W88" s="15"/>
      <c r="X88" s="26"/>
      <c r="Y88" s="58"/>
      <c r="Z88" s="44"/>
    </row>
    <row r="89" spans="1:26" ht="15.75" x14ac:dyDescent="0.25">
      <c r="A89" s="10"/>
      <c r="B89" s="11"/>
      <c r="C89" s="47"/>
      <c r="D89" s="48"/>
      <c r="E89" s="49"/>
      <c r="F89" s="50"/>
      <c r="G89" s="61"/>
      <c r="H89" s="51"/>
      <c r="I89" s="75"/>
      <c r="J89" s="10"/>
      <c r="K89" s="11"/>
      <c r="L89" s="10"/>
      <c r="M89" s="12"/>
      <c r="N89" s="44"/>
      <c r="O89" s="44"/>
      <c r="P89" s="58"/>
      <c r="Q89" s="44"/>
      <c r="R89" s="75"/>
      <c r="S89" s="10"/>
      <c r="T89" s="11"/>
      <c r="U89" s="10"/>
      <c r="V89" s="12"/>
      <c r="W89" s="15"/>
      <c r="X89" s="26"/>
      <c r="Y89" s="58"/>
      <c r="Z89" s="44"/>
    </row>
    <row r="90" spans="1:26" x14ac:dyDescent="0.25">
      <c r="A90" s="10"/>
      <c r="B90" s="11"/>
      <c r="C90" s="52"/>
      <c r="D90" s="48"/>
      <c r="E90" s="49"/>
      <c r="F90" s="50"/>
      <c r="G90" s="61"/>
      <c r="H90" s="51"/>
      <c r="I90" s="75"/>
      <c r="J90" s="10"/>
      <c r="K90" s="11"/>
      <c r="L90" s="10"/>
      <c r="M90" s="12"/>
      <c r="N90" s="44"/>
      <c r="O90" s="44"/>
      <c r="P90" s="58"/>
      <c r="Q90" s="44"/>
      <c r="R90" s="75"/>
      <c r="S90" s="23"/>
      <c r="T90" s="12"/>
      <c r="U90" s="23"/>
      <c r="V90" s="12"/>
      <c r="W90" s="13"/>
      <c r="X90" s="13"/>
      <c r="Y90" s="58"/>
      <c r="Z90" s="44"/>
    </row>
    <row r="91" spans="1:26" ht="19.899999999999999" customHeight="1" x14ac:dyDescent="0.25">
      <c r="A91" s="611"/>
      <c r="B91" s="612"/>
      <c r="C91" s="612"/>
      <c r="D91" s="612"/>
      <c r="E91" s="612"/>
      <c r="F91" s="612"/>
      <c r="G91" s="612"/>
      <c r="H91" s="613"/>
      <c r="I91" s="75"/>
      <c r="J91" s="611"/>
      <c r="K91" s="612"/>
      <c r="L91" s="612"/>
      <c r="M91" s="612"/>
      <c r="N91" s="612"/>
      <c r="O91" s="612"/>
      <c r="P91" s="612"/>
      <c r="Q91" s="613"/>
      <c r="R91" s="75"/>
      <c r="S91" s="611"/>
      <c r="T91" s="612"/>
      <c r="U91" s="612"/>
      <c r="V91" s="612"/>
      <c r="W91" s="612"/>
      <c r="X91" s="612"/>
      <c r="Y91" s="612"/>
      <c r="Z91" s="613"/>
    </row>
  </sheetData>
  <mergeCells count="28">
    <mergeCell ref="A91:H91"/>
    <mergeCell ref="J91:Q91"/>
    <mergeCell ref="S91:Z91"/>
    <mergeCell ref="A56:H56"/>
    <mergeCell ref="A19:H19"/>
    <mergeCell ref="A22:H22"/>
    <mergeCell ref="J22:Q22"/>
    <mergeCell ref="S22:Z22"/>
    <mergeCell ref="A39:H39"/>
    <mergeCell ref="J39:Q39"/>
    <mergeCell ref="S39:Z39"/>
    <mergeCell ref="J56:Q56"/>
    <mergeCell ref="S56:Z56"/>
    <mergeCell ref="A74:H74"/>
    <mergeCell ref="J74:Q74"/>
    <mergeCell ref="S74:Z74"/>
    <mergeCell ref="A3:H3"/>
    <mergeCell ref="J3:Q3"/>
    <mergeCell ref="S3:Z3"/>
    <mergeCell ref="A4:H4"/>
    <mergeCell ref="J4:Q4"/>
    <mergeCell ref="S4:Z4"/>
    <mergeCell ref="A1:H1"/>
    <mergeCell ref="J1:Q1"/>
    <mergeCell ref="S1:Z1"/>
    <mergeCell ref="A2:H2"/>
    <mergeCell ref="J2:Q2"/>
    <mergeCell ref="S2:Z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7</vt:i4>
      </vt:variant>
    </vt:vector>
  </HeadingPairs>
  <TitlesOfParts>
    <vt:vector size="23" baseType="lpstr">
      <vt:lpstr>ESTIMATE</vt:lpstr>
      <vt:lpstr>MASTER</vt:lpstr>
      <vt:lpstr>FINISHING</vt:lpstr>
      <vt:lpstr>Tank Types</vt:lpstr>
      <vt:lpstr>CST</vt:lpstr>
      <vt:lpstr>304LSS</vt:lpstr>
      <vt:lpstr>316L SS</vt:lpstr>
      <vt:lpstr>ADD-ONS</vt:lpstr>
      <vt:lpstr>Plate Price</vt:lpstr>
      <vt:lpstr>Notes</vt:lpstr>
      <vt:lpstr>Change Order</vt:lpstr>
      <vt:lpstr>Sheet Calculator</vt:lpstr>
      <vt:lpstr>Plate Weight</vt:lpstr>
      <vt:lpstr>Tank Pricing</vt:lpstr>
      <vt:lpstr>2205 Duplex SS</vt:lpstr>
      <vt:lpstr>C276</vt:lpstr>
      <vt:lpstr>'2205 Duplex SS'!Print_Area</vt:lpstr>
      <vt:lpstr>'ADD-ONS'!Print_Area</vt:lpstr>
      <vt:lpstr>'Change Order'!Print_Area</vt:lpstr>
      <vt:lpstr>ESTIMATE!Print_Area</vt:lpstr>
      <vt:lpstr>Notes!Print_Area</vt:lpstr>
      <vt:lpstr>'Plate Price'!Print_Area</vt:lpstr>
      <vt:lpstr>'Tank Types'!Print_Area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Patel</dc:creator>
  <cp:lastModifiedBy>Shannon Brown</cp:lastModifiedBy>
  <cp:lastPrinted>2025-06-09T19:14:29Z</cp:lastPrinted>
  <dcterms:created xsi:type="dcterms:W3CDTF">2007-04-17T19:22:44Z</dcterms:created>
  <dcterms:modified xsi:type="dcterms:W3CDTF">2025-06-18T14:03:03Z</dcterms:modified>
</cp:coreProperties>
</file>