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Chris\"/>
    </mc:Choice>
  </mc:AlternateContent>
  <xr:revisionPtr revIDLastSave="0" documentId="13_ncr:1_{5A327D37-1133-4B79-B8D4-A54F264A57CC}" xr6:coauthVersionLast="47" xr6:coauthVersionMax="47" xr10:uidLastSave="{00000000-0000-0000-0000-000000000000}"/>
  <bookViews>
    <workbookView xWindow="28680" yWindow="-90" windowWidth="29040" windowHeight="15840" activeTab="1" xr2:uid="{672000B0-1FF8-4A6A-A764-9C16B4B68B47}"/>
  </bookViews>
  <sheets>
    <sheet name="master" sheetId="1" r:id="rId1"/>
    <sheet name="Plat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7" i="1" l="1"/>
  <c r="D346" i="1"/>
  <c r="D345" i="1"/>
  <c r="D344" i="1"/>
  <c r="D343" i="1"/>
  <c r="AT311" i="1" s="1"/>
  <c r="D342" i="1"/>
  <c r="AT310" i="1" s="1"/>
  <c r="D341" i="1"/>
  <c r="AT309" i="1" s="1"/>
  <c r="D340" i="1"/>
  <c r="AT308" i="1" s="1"/>
  <c r="D339" i="1"/>
  <c r="AT307" i="1" s="1"/>
  <c r="D338" i="1"/>
  <c r="AR311" i="1" s="1"/>
  <c r="D337" i="1"/>
  <c r="AR310" i="1" s="1"/>
  <c r="D336" i="1"/>
  <c r="AR309" i="1" s="1"/>
  <c r="D335" i="1"/>
  <c r="AR308" i="1" s="1"/>
  <c r="D334" i="1"/>
  <c r="D333" i="1"/>
  <c r="AN311" i="1" s="1"/>
  <c r="D332" i="1"/>
  <c r="AN310" i="1" s="1"/>
  <c r="D331" i="1"/>
  <c r="AN309" i="1" s="1"/>
  <c r="D330" i="1"/>
  <c r="AN308" i="1" s="1"/>
  <c r="D329" i="1"/>
  <c r="D328" i="1"/>
  <c r="AL314" i="1" s="1"/>
  <c r="D327" i="1"/>
  <c r="AL313" i="1" s="1"/>
  <c r="D326" i="1"/>
  <c r="AL312" i="1" s="1"/>
  <c r="D325" i="1"/>
  <c r="AL311" i="1" s="1"/>
  <c r="D324" i="1"/>
  <c r="AL310" i="1" s="1"/>
  <c r="D323" i="1"/>
  <c r="AL309" i="1" s="1"/>
  <c r="D322" i="1"/>
  <c r="AL308" i="1" s="1"/>
  <c r="D321" i="1"/>
  <c r="AL307" i="1" s="1"/>
  <c r="D320" i="1"/>
  <c r="D319" i="1"/>
  <c r="AF314" i="1" s="1"/>
  <c r="AH314" i="1" s="1"/>
  <c r="D318" i="1"/>
  <c r="AF313" i="1" s="1"/>
  <c r="AH313" i="1" s="1"/>
  <c r="D317" i="1"/>
  <c r="AF312" i="1" s="1"/>
  <c r="AH312" i="1" s="1"/>
  <c r="D316" i="1"/>
  <c r="AF315" i="1"/>
  <c r="AH315" i="1" s="1"/>
  <c r="D315" i="1"/>
  <c r="AF310" i="1" s="1"/>
  <c r="AH310" i="1" s="1"/>
  <c r="D314" i="1"/>
  <c r="D313" i="1"/>
  <c r="AF308" i="1" s="1"/>
  <c r="AH308" i="1" s="1"/>
  <c r="D312" i="1"/>
  <c r="AF307" i="1" s="1"/>
  <c r="AH307" i="1" s="1"/>
  <c r="AF311" i="1"/>
  <c r="AH311" i="1" s="1"/>
  <c r="D311" i="1"/>
  <c r="Z314" i="1" s="1"/>
  <c r="AB314" i="1" s="1"/>
  <c r="D310" i="1"/>
  <c r="Z313" i="1" s="1"/>
  <c r="AB313" i="1" s="1"/>
  <c r="AF309" i="1"/>
  <c r="AH309" i="1" s="1"/>
  <c r="Z309" i="1"/>
  <c r="AB309" i="1" s="1"/>
  <c r="D309" i="1"/>
  <c r="Z312" i="1" s="1"/>
  <c r="AB312" i="1" s="1"/>
  <c r="Z308" i="1"/>
  <c r="AB308" i="1" s="1"/>
  <c r="O308" i="1"/>
  <c r="N308" i="1"/>
  <c r="M308" i="1"/>
  <c r="L308" i="1"/>
  <c r="D308" i="1"/>
  <c r="Z311" i="1" s="1"/>
  <c r="AB311" i="1" s="1"/>
  <c r="AR307" i="1"/>
  <c r="AN307" i="1"/>
  <c r="Z307" i="1"/>
  <c r="AB307" i="1" s="1"/>
  <c r="D307" i="1"/>
  <c r="Z310" i="1" s="1"/>
  <c r="AB310" i="1" s="1"/>
  <c r="E251" i="1"/>
  <c r="AD216" i="1"/>
  <c r="AC216" i="1"/>
  <c r="CC215" i="1"/>
  <c r="CB215" i="1"/>
  <c r="BC215" i="1"/>
  <c r="BB215" i="1"/>
  <c r="AD215" i="1"/>
  <c r="AC215" i="1"/>
  <c r="CC214" i="1"/>
  <c r="CB214" i="1"/>
  <c r="BC214" i="1"/>
  <c r="BB214" i="1"/>
  <c r="BB213" i="1"/>
  <c r="BB212" i="1"/>
  <c r="BB211" i="1"/>
  <c r="AD210" i="1"/>
  <c r="AC210" i="1"/>
  <c r="CC209" i="1"/>
  <c r="CB209" i="1"/>
  <c r="BC209" i="1"/>
  <c r="BB209" i="1"/>
  <c r="AD209" i="1"/>
  <c r="AC209" i="1"/>
  <c r="CC208" i="1"/>
  <c r="CB208" i="1"/>
  <c r="BC208" i="1"/>
  <c r="BB208" i="1"/>
  <c r="AC208" i="1"/>
  <c r="CB207" i="1"/>
  <c r="BB207" i="1"/>
  <c r="AC207" i="1"/>
  <c r="CB206" i="1"/>
  <c r="BB206" i="1"/>
  <c r="BB205" i="1"/>
  <c r="CK204" i="1"/>
  <c r="AD204" i="1"/>
  <c r="AC204" i="1"/>
  <c r="CK203" i="1"/>
  <c r="CC203" i="1"/>
  <c r="CB203" i="1"/>
  <c r="BC203" i="1"/>
  <c r="BB203" i="1"/>
  <c r="AD203" i="1"/>
  <c r="AC203" i="1"/>
  <c r="CK202" i="1"/>
  <c r="CC202" i="1"/>
  <c r="CB202" i="1"/>
  <c r="BC202" i="1"/>
  <c r="BB202" i="1"/>
  <c r="CK201" i="1"/>
  <c r="CK200" i="1"/>
  <c r="T198" i="1"/>
  <c r="M198" i="1"/>
  <c r="F198" i="1"/>
  <c r="BB190" i="1"/>
  <c r="BB189" i="1"/>
  <c r="BB188" i="1"/>
  <c r="BB186" i="1"/>
  <c r="DP185" i="1"/>
  <c r="DM185" i="1" s="1"/>
  <c r="CB185" i="1"/>
  <c r="DP184" i="1"/>
  <c r="DM184" i="1"/>
  <c r="DP183" i="1"/>
  <c r="DM183" i="1" s="1"/>
  <c r="DP182" i="1"/>
  <c r="DM182" i="1" s="1"/>
  <c r="DF182" i="1"/>
  <c r="DE182" i="1"/>
  <c r="DP181" i="1"/>
  <c r="DM181" i="1" s="1"/>
  <c r="DF181" i="1"/>
  <c r="DE181" i="1"/>
  <c r="DP180" i="1"/>
  <c r="DM180" i="1" s="1"/>
  <c r="DF180" i="1"/>
  <c r="DE180" i="1"/>
  <c r="DC180" i="1" s="1"/>
  <c r="DP179" i="1"/>
  <c r="DM179" i="1" s="1"/>
  <c r="DF179" i="1"/>
  <c r="DE179" i="1"/>
  <c r="DP178" i="1"/>
  <c r="DM178" i="1"/>
  <c r="DF178" i="1"/>
  <c r="DE178" i="1"/>
  <c r="DI173" i="1"/>
  <c r="DH173" i="1"/>
  <c r="DG173" i="1"/>
  <c r="DI172" i="1"/>
  <c r="DH172" i="1"/>
  <c r="DG172" i="1"/>
  <c r="DI171" i="1"/>
  <c r="DH171" i="1"/>
  <c r="DG171" i="1"/>
  <c r="DI170" i="1"/>
  <c r="DH170" i="1"/>
  <c r="DG170" i="1"/>
  <c r="M159" i="1"/>
  <c r="DR156" i="1"/>
  <c r="DW156" i="1" s="1"/>
  <c r="DY156" i="1" s="1"/>
  <c r="DO156" i="1"/>
  <c r="DJ156" i="1"/>
  <c r="DE156" i="1"/>
  <c r="DW155" i="1"/>
  <c r="DY155" i="1" s="1"/>
  <c r="DT155" i="1"/>
  <c r="DR155" i="1"/>
  <c r="DO155" i="1"/>
  <c r="DJ155" i="1"/>
  <c r="DE155" i="1"/>
  <c r="DR154" i="1"/>
  <c r="DT154" i="1" s="1"/>
  <c r="DO154" i="1"/>
  <c r="DJ154" i="1"/>
  <c r="DE154" i="1"/>
  <c r="DR153" i="1"/>
  <c r="DW153" i="1" s="1"/>
  <c r="DY153" i="1" s="1"/>
  <c r="DO153" i="1"/>
  <c r="DJ153" i="1"/>
  <c r="DE153" i="1"/>
  <c r="DR152" i="1"/>
  <c r="DT152" i="1" s="1"/>
  <c r="DO152" i="1"/>
  <c r="DJ152" i="1"/>
  <c r="DE152" i="1"/>
  <c r="DR151" i="1"/>
  <c r="DO151" i="1"/>
  <c r="DJ151" i="1"/>
  <c r="DE151" i="1"/>
  <c r="DR150" i="1"/>
  <c r="DW150" i="1" s="1"/>
  <c r="DY150" i="1" s="1"/>
  <c r="DO150" i="1"/>
  <c r="DJ150" i="1"/>
  <c r="DE150" i="1"/>
  <c r="DR149" i="1"/>
  <c r="DW149" i="1" s="1"/>
  <c r="DY149" i="1" s="1"/>
  <c r="DO149" i="1"/>
  <c r="DJ149" i="1"/>
  <c r="DE149" i="1"/>
  <c r="DR148" i="1"/>
  <c r="DW148" i="1" s="1"/>
  <c r="DY148" i="1" s="1"/>
  <c r="DO148" i="1"/>
  <c r="DJ148" i="1"/>
  <c r="DE148" i="1"/>
  <c r="DR147" i="1"/>
  <c r="DW147" i="1" s="1"/>
  <c r="DY147" i="1" s="1"/>
  <c r="DO147" i="1"/>
  <c r="DJ147" i="1"/>
  <c r="DE147" i="1"/>
  <c r="DR146" i="1"/>
  <c r="DO146" i="1"/>
  <c r="DJ146" i="1"/>
  <c r="DE146" i="1"/>
  <c r="DR145" i="1"/>
  <c r="DW145" i="1" s="1"/>
  <c r="DY145" i="1" s="1"/>
  <c r="DO145" i="1"/>
  <c r="DJ145" i="1"/>
  <c r="DE145" i="1"/>
  <c r="BK145" i="1"/>
  <c r="DR144" i="1"/>
  <c r="DT144" i="1" s="1"/>
  <c r="DO144" i="1"/>
  <c r="DJ144" i="1"/>
  <c r="DE144" i="1"/>
  <c r="CK144" i="1"/>
  <c r="BK144" i="1"/>
  <c r="DR143" i="1"/>
  <c r="DO143" i="1"/>
  <c r="DJ143" i="1"/>
  <c r="DE143" i="1"/>
  <c r="CK143" i="1"/>
  <c r="BK143" i="1"/>
  <c r="DR142" i="1"/>
  <c r="DW142" i="1" s="1"/>
  <c r="DY142" i="1" s="1"/>
  <c r="DO142" i="1"/>
  <c r="DJ142" i="1"/>
  <c r="DE142" i="1"/>
  <c r="DR141" i="1"/>
  <c r="DT141" i="1" s="1"/>
  <c r="DO141" i="1"/>
  <c r="DJ141" i="1"/>
  <c r="DE141" i="1"/>
  <c r="CK141" i="1"/>
  <c r="DR140" i="1"/>
  <c r="DO140" i="1"/>
  <c r="DJ140" i="1"/>
  <c r="DE140" i="1"/>
  <c r="CK140" i="1"/>
  <c r="AL140" i="1"/>
  <c r="DR139" i="1"/>
  <c r="DT139" i="1" s="1"/>
  <c r="DO139" i="1"/>
  <c r="DJ139" i="1"/>
  <c r="DE139" i="1"/>
  <c r="CK139" i="1"/>
  <c r="AL139" i="1"/>
  <c r="DR138" i="1"/>
  <c r="DO138" i="1"/>
  <c r="DJ138" i="1"/>
  <c r="DE138" i="1"/>
  <c r="CK138" i="1"/>
  <c r="DR137" i="1"/>
  <c r="DT137" i="1" s="1"/>
  <c r="DO137" i="1"/>
  <c r="DJ137" i="1"/>
  <c r="DE137" i="1"/>
  <c r="CK137" i="1"/>
  <c r="AL137" i="1"/>
  <c r="DR136" i="1"/>
  <c r="DT136" i="1" s="1"/>
  <c r="DO136" i="1"/>
  <c r="DJ136" i="1"/>
  <c r="DE136" i="1"/>
  <c r="DR135" i="1"/>
  <c r="DO135" i="1"/>
  <c r="DJ135" i="1"/>
  <c r="DE135" i="1"/>
  <c r="DR134" i="1"/>
  <c r="DW134" i="1" s="1"/>
  <c r="DY134" i="1" s="1"/>
  <c r="DO134" i="1"/>
  <c r="DJ134" i="1"/>
  <c r="DE134" i="1"/>
  <c r="DT115" i="1"/>
  <c r="DS115" i="1"/>
  <c r="DK115" i="1"/>
  <c r="DE115" i="1"/>
  <c r="DT114" i="1"/>
  <c r="DS114" i="1"/>
  <c r="DK114" i="1"/>
  <c r="DE114" i="1"/>
  <c r="DT113" i="1"/>
  <c r="DS113" i="1"/>
  <c r="DK113" i="1"/>
  <c r="DE113" i="1"/>
  <c r="DT112" i="1"/>
  <c r="DS112" i="1"/>
  <c r="DK112" i="1"/>
  <c r="DE112" i="1"/>
  <c r="DT111" i="1"/>
  <c r="DS111" i="1"/>
  <c r="DK111" i="1"/>
  <c r="DE111" i="1"/>
  <c r="DT110" i="1"/>
  <c r="DS110" i="1"/>
  <c r="DK110" i="1"/>
  <c r="DE110" i="1"/>
  <c r="DT109" i="1"/>
  <c r="DS109" i="1"/>
  <c r="DK109" i="1"/>
  <c r="DE109" i="1"/>
  <c r="DT108" i="1"/>
  <c r="DS108" i="1"/>
  <c r="DK108" i="1"/>
  <c r="DE108" i="1"/>
  <c r="DT107" i="1"/>
  <c r="DS107" i="1"/>
  <c r="DK107" i="1"/>
  <c r="DE107" i="1"/>
  <c r="DT106" i="1"/>
  <c r="DS106" i="1"/>
  <c r="DK106" i="1"/>
  <c r="DE106" i="1"/>
  <c r="DT105" i="1"/>
  <c r="DS105" i="1"/>
  <c r="DK105" i="1"/>
  <c r="DE105" i="1"/>
  <c r="FU104" i="1"/>
  <c r="FT104" i="1"/>
  <c r="FS104" i="1"/>
  <c r="FR104" i="1"/>
  <c r="FQ104" i="1"/>
  <c r="FV104" i="1" s="1"/>
  <c r="DT104" i="1"/>
  <c r="DS104" i="1"/>
  <c r="DK104" i="1"/>
  <c r="DE104" i="1"/>
  <c r="FU103" i="1"/>
  <c r="FT103" i="1"/>
  <c r="FS103" i="1"/>
  <c r="FR103" i="1"/>
  <c r="FQ103" i="1"/>
  <c r="FV103" i="1" s="1"/>
  <c r="DT103" i="1"/>
  <c r="DS103" i="1"/>
  <c r="DK103" i="1"/>
  <c r="DE103" i="1"/>
  <c r="T103" i="1"/>
  <c r="M103" i="1"/>
  <c r="F103" i="1"/>
  <c r="FU102" i="1"/>
  <c r="FT102" i="1"/>
  <c r="FS102" i="1"/>
  <c r="FR102" i="1"/>
  <c r="FQ102" i="1"/>
  <c r="FV102" i="1" s="1"/>
  <c r="DT102" i="1"/>
  <c r="DS102" i="1"/>
  <c r="DK102" i="1"/>
  <c r="DE102" i="1"/>
  <c r="FV101" i="1"/>
  <c r="FU101" i="1"/>
  <c r="FT101" i="1"/>
  <c r="FS101" i="1"/>
  <c r="FR101" i="1"/>
  <c r="FQ101" i="1"/>
  <c r="DT101" i="1"/>
  <c r="DS101" i="1"/>
  <c r="DK101" i="1"/>
  <c r="DE101" i="1"/>
  <c r="BB101" i="1"/>
  <c r="FU100" i="1"/>
  <c r="FT100" i="1"/>
  <c r="FS100" i="1"/>
  <c r="FR100" i="1"/>
  <c r="FQ100" i="1"/>
  <c r="FV100" i="1" s="1"/>
  <c r="DS100" i="1"/>
  <c r="DP100" i="1"/>
  <c r="DT100" i="1" s="1"/>
  <c r="DK100" i="1"/>
  <c r="DE100" i="1"/>
  <c r="BB100" i="1"/>
  <c r="FU99" i="1"/>
  <c r="FT99" i="1"/>
  <c r="FS99" i="1"/>
  <c r="FR99" i="1"/>
  <c r="FQ99" i="1"/>
  <c r="FV99" i="1" s="1"/>
  <c r="DS99" i="1"/>
  <c r="DP99" i="1"/>
  <c r="DT99" i="1" s="1"/>
  <c r="DK99" i="1"/>
  <c r="DE99" i="1"/>
  <c r="CB99" i="1"/>
  <c r="BB99" i="1"/>
  <c r="FU98" i="1"/>
  <c r="FT98" i="1"/>
  <c r="FS98" i="1"/>
  <c r="FR98" i="1"/>
  <c r="FQ98" i="1"/>
  <c r="FV98" i="1" s="1"/>
  <c r="DS98" i="1"/>
  <c r="DP98" i="1"/>
  <c r="DT98" i="1" s="1"/>
  <c r="DK98" i="1"/>
  <c r="DE98" i="1"/>
  <c r="BB98" i="1"/>
  <c r="FV97" i="1"/>
  <c r="FU97" i="1"/>
  <c r="FT97" i="1"/>
  <c r="FS97" i="1"/>
  <c r="FR97" i="1"/>
  <c r="FQ97" i="1"/>
  <c r="DT97" i="1"/>
  <c r="DS97" i="1"/>
  <c r="DP97" i="1"/>
  <c r="DK97" i="1"/>
  <c r="DE97" i="1"/>
  <c r="FU96" i="1"/>
  <c r="FT96" i="1"/>
  <c r="FS96" i="1"/>
  <c r="FR96" i="1"/>
  <c r="FQ96" i="1"/>
  <c r="FV96" i="1" s="1"/>
  <c r="DS96" i="1"/>
  <c r="DP96" i="1"/>
  <c r="DT96" i="1" s="1"/>
  <c r="DK96" i="1"/>
  <c r="DE96" i="1"/>
  <c r="CB96" i="1"/>
  <c r="BB96" i="1"/>
  <c r="FV95" i="1"/>
  <c r="FU95" i="1"/>
  <c r="FT95" i="1"/>
  <c r="FS95" i="1"/>
  <c r="FR95" i="1"/>
  <c r="FQ95" i="1"/>
  <c r="DT95" i="1"/>
  <c r="DS95" i="1"/>
  <c r="DP95" i="1"/>
  <c r="DK95" i="1"/>
  <c r="DE95" i="1"/>
  <c r="CB95" i="1"/>
  <c r="BB95" i="1"/>
  <c r="FU94" i="1"/>
  <c r="FT94" i="1"/>
  <c r="FS94" i="1"/>
  <c r="FR94" i="1"/>
  <c r="FQ94" i="1"/>
  <c r="FV94" i="1" s="1"/>
  <c r="DS94" i="1"/>
  <c r="DP94" i="1"/>
  <c r="DT94" i="1" s="1"/>
  <c r="DK94" i="1"/>
  <c r="DE94" i="1"/>
  <c r="CB94" i="1"/>
  <c r="BB94" i="1"/>
  <c r="FV93" i="1"/>
  <c r="FU93" i="1"/>
  <c r="FT93" i="1"/>
  <c r="FS93" i="1"/>
  <c r="FR93" i="1"/>
  <c r="FQ93" i="1"/>
  <c r="DT93" i="1"/>
  <c r="DS93" i="1"/>
  <c r="DP93" i="1"/>
  <c r="DK93" i="1"/>
  <c r="DE93" i="1"/>
  <c r="CB93" i="1"/>
  <c r="FV92" i="1"/>
  <c r="FU92" i="1"/>
  <c r="FT92" i="1"/>
  <c r="FS92" i="1"/>
  <c r="FR92" i="1"/>
  <c r="FQ92" i="1"/>
  <c r="CB92" i="1"/>
  <c r="BB92" i="1"/>
  <c r="FU91" i="1"/>
  <c r="FT91" i="1"/>
  <c r="FS91" i="1"/>
  <c r="FR91" i="1"/>
  <c r="FQ91" i="1"/>
  <c r="FV91" i="1" s="1"/>
  <c r="FV80" i="1"/>
  <c r="FU80" i="1"/>
  <c r="FT80" i="1"/>
  <c r="FS80" i="1"/>
  <c r="FR80" i="1"/>
  <c r="FQ80" i="1"/>
  <c r="FV79" i="1"/>
  <c r="FU79" i="1"/>
  <c r="FT79" i="1"/>
  <c r="FS79" i="1"/>
  <c r="FR79" i="1"/>
  <c r="FQ79" i="1"/>
  <c r="FV78" i="1"/>
  <c r="FU78" i="1"/>
  <c r="FT78" i="1"/>
  <c r="FS78" i="1"/>
  <c r="FR78" i="1"/>
  <c r="FQ78" i="1"/>
  <c r="FU77" i="1"/>
  <c r="FT77" i="1"/>
  <c r="FS77" i="1"/>
  <c r="FR77" i="1"/>
  <c r="FQ77" i="1"/>
  <c r="FV77" i="1" s="1"/>
  <c r="FU76" i="1"/>
  <c r="FT76" i="1"/>
  <c r="FS76" i="1"/>
  <c r="FR76" i="1"/>
  <c r="FQ76" i="1"/>
  <c r="FV76" i="1" s="1"/>
  <c r="FU75" i="1"/>
  <c r="FT75" i="1"/>
  <c r="FS75" i="1"/>
  <c r="FR75" i="1"/>
  <c r="FQ75" i="1"/>
  <c r="FV75" i="1" s="1"/>
  <c r="FV74" i="1"/>
  <c r="FU74" i="1"/>
  <c r="FT74" i="1"/>
  <c r="FS74" i="1"/>
  <c r="FR74" i="1"/>
  <c r="FQ74" i="1"/>
  <c r="FV73" i="1"/>
  <c r="FU73" i="1"/>
  <c r="FT73" i="1"/>
  <c r="FS73" i="1"/>
  <c r="FR73" i="1"/>
  <c r="FQ73" i="1"/>
  <c r="FV72" i="1"/>
  <c r="FU72" i="1"/>
  <c r="FT72" i="1"/>
  <c r="FS72" i="1"/>
  <c r="FR72" i="1"/>
  <c r="FQ72" i="1"/>
  <c r="FU71" i="1"/>
  <c r="FT71" i="1"/>
  <c r="FS71" i="1"/>
  <c r="FR71" i="1"/>
  <c r="FQ71" i="1"/>
  <c r="FV71" i="1" s="1"/>
  <c r="AC71" i="1"/>
  <c r="FU70" i="1"/>
  <c r="FT70" i="1"/>
  <c r="FS70" i="1"/>
  <c r="FR70" i="1"/>
  <c r="FQ70" i="1"/>
  <c r="FV70" i="1" s="1"/>
  <c r="AC70" i="1"/>
  <c r="FU69" i="1"/>
  <c r="FT69" i="1"/>
  <c r="FS69" i="1"/>
  <c r="FR69" i="1"/>
  <c r="FQ69" i="1"/>
  <c r="FV69" i="1" s="1"/>
  <c r="FU68" i="1"/>
  <c r="FT68" i="1"/>
  <c r="FS68" i="1"/>
  <c r="FR68" i="1"/>
  <c r="FQ68" i="1"/>
  <c r="FV68" i="1" s="1"/>
  <c r="DS68" i="1"/>
  <c r="DW68" i="1" s="1"/>
  <c r="DN68" i="1"/>
  <c r="DR68" i="1" s="1"/>
  <c r="DH68" i="1"/>
  <c r="DL68" i="1" s="1"/>
  <c r="DF68" i="1"/>
  <c r="FU67" i="1"/>
  <c r="FT67" i="1"/>
  <c r="FS67" i="1"/>
  <c r="FR67" i="1"/>
  <c r="FQ67" i="1"/>
  <c r="FV67" i="1" s="1"/>
  <c r="DS67" i="1"/>
  <c r="DW67" i="1" s="1"/>
  <c r="DN67" i="1"/>
  <c r="DR67" i="1" s="1"/>
  <c r="DH67" i="1"/>
  <c r="DL67" i="1" s="1"/>
  <c r="DF67" i="1"/>
  <c r="DS66" i="1"/>
  <c r="DW66" i="1" s="1"/>
  <c r="DN66" i="1"/>
  <c r="DR66" i="1" s="1"/>
  <c r="DH66" i="1"/>
  <c r="DL66" i="1" s="1"/>
  <c r="DF66" i="1"/>
  <c r="DS65" i="1"/>
  <c r="DW65" i="1" s="1"/>
  <c r="DN65" i="1"/>
  <c r="DR65" i="1" s="1"/>
  <c r="DH65" i="1"/>
  <c r="DL65" i="1" s="1"/>
  <c r="DF65" i="1"/>
  <c r="GW64" i="1"/>
  <c r="GU64" i="1" s="1"/>
  <c r="DS64" i="1"/>
  <c r="DW64" i="1" s="1"/>
  <c r="DR64" i="1"/>
  <c r="DN64" i="1"/>
  <c r="DH64" i="1"/>
  <c r="DL64" i="1" s="1"/>
  <c r="DF64" i="1"/>
  <c r="GW63" i="1"/>
  <c r="GU63" i="1"/>
  <c r="GQ63" i="1"/>
  <c r="GO63" i="1" s="1"/>
  <c r="GK63" i="1"/>
  <c r="DS63" i="1"/>
  <c r="DW63" i="1" s="1"/>
  <c r="DN63" i="1"/>
  <c r="DR63" i="1" s="1"/>
  <c r="DH63" i="1"/>
  <c r="DL63" i="1" s="1"/>
  <c r="DF63" i="1"/>
  <c r="GW62" i="1"/>
  <c r="GU62" i="1" s="1"/>
  <c r="GQ62" i="1"/>
  <c r="GO62" i="1" s="1"/>
  <c r="GK62" i="1"/>
  <c r="DS62" i="1"/>
  <c r="DW62" i="1" s="1"/>
  <c r="DN62" i="1"/>
  <c r="DR62" i="1" s="1"/>
  <c r="DL62" i="1"/>
  <c r="DH62" i="1"/>
  <c r="DF62" i="1"/>
  <c r="GW61" i="1"/>
  <c r="GU61" i="1" s="1"/>
  <c r="GQ61" i="1"/>
  <c r="GO61" i="1"/>
  <c r="GK61" i="1"/>
  <c r="DS61" i="1"/>
  <c r="DW61" i="1" s="1"/>
  <c r="DN61" i="1"/>
  <c r="DR61" i="1" s="1"/>
  <c r="DH61" i="1"/>
  <c r="DL61" i="1" s="1"/>
  <c r="DF61" i="1"/>
  <c r="GW60" i="1"/>
  <c r="GU60" i="1"/>
  <c r="GQ60" i="1"/>
  <c r="GO60" i="1" s="1"/>
  <c r="GK60" i="1"/>
  <c r="DS60" i="1"/>
  <c r="DW60" i="1" s="1"/>
  <c r="DN60" i="1"/>
  <c r="DR60" i="1" s="1"/>
  <c r="DH60" i="1"/>
  <c r="DL60" i="1" s="1"/>
  <c r="DF60" i="1"/>
  <c r="GW59" i="1"/>
  <c r="GU59" i="1" s="1"/>
  <c r="GQ59" i="1"/>
  <c r="GO59" i="1" s="1"/>
  <c r="GK59" i="1"/>
  <c r="FU59" i="1"/>
  <c r="FT59" i="1"/>
  <c r="FS59" i="1"/>
  <c r="FR59" i="1"/>
  <c r="FQ59" i="1"/>
  <c r="FV59" i="1" s="1"/>
  <c r="DS59" i="1"/>
  <c r="DW59" i="1" s="1"/>
  <c r="DN59" i="1"/>
  <c r="DR59" i="1" s="1"/>
  <c r="DH59" i="1"/>
  <c r="DL59" i="1" s="1"/>
  <c r="DF59" i="1"/>
  <c r="GW58" i="1"/>
  <c r="GU58" i="1" s="1"/>
  <c r="GQ58" i="1"/>
  <c r="GO58" i="1" s="1"/>
  <c r="GK58" i="1"/>
  <c r="FU58" i="1"/>
  <c r="FT58" i="1"/>
  <c r="FS58" i="1"/>
  <c r="FR58" i="1"/>
  <c r="FQ58" i="1"/>
  <c r="FV58" i="1" s="1"/>
  <c r="DS58" i="1"/>
  <c r="DW58" i="1" s="1"/>
  <c r="DN58" i="1"/>
  <c r="DR58" i="1" s="1"/>
  <c r="DH58" i="1"/>
  <c r="DL58" i="1" s="1"/>
  <c r="DF58" i="1"/>
  <c r="GW57" i="1"/>
  <c r="GU57" i="1" s="1"/>
  <c r="GQ57" i="1"/>
  <c r="GO57" i="1" s="1"/>
  <c r="GK57" i="1"/>
  <c r="FU57" i="1"/>
  <c r="FT57" i="1"/>
  <c r="FS57" i="1"/>
  <c r="FR57" i="1"/>
  <c r="FQ57" i="1"/>
  <c r="FV57" i="1" s="1"/>
  <c r="FO57" i="1" s="1"/>
  <c r="DS57" i="1"/>
  <c r="DW57" i="1" s="1"/>
  <c r="DN57" i="1"/>
  <c r="DR57" i="1" s="1"/>
  <c r="DH57" i="1"/>
  <c r="DL57" i="1" s="1"/>
  <c r="DF57" i="1"/>
  <c r="GW56" i="1"/>
  <c r="GU56" i="1" s="1"/>
  <c r="GQ56" i="1"/>
  <c r="GO56" i="1" s="1"/>
  <c r="GK56" i="1"/>
  <c r="FU56" i="1"/>
  <c r="FT56" i="1"/>
  <c r="FS56" i="1"/>
  <c r="FR56" i="1"/>
  <c r="FQ56" i="1"/>
  <c r="FV56" i="1" s="1"/>
  <c r="DS56" i="1"/>
  <c r="DW56" i="1" s="1"/>
  <c r="DN56" i="1"/>
  <c r="DR56" i="1" s="1"/>
  <c r="DL56" i="1"/>
  <c r="DH56" i="1"/>
  <c r="DF56" i="1"/>
  <c r="T56" i="1"/>
  <c r="M56" i="1"/>
  <c r="F56" i="1"/>
  <c r="GW55" i="1"/>
  <c r="GU55" i="1" s="1"/>
  <c r="GQ55" i="1"/>
  <c r="GO55" i="1" s="1"/>
  <c r="GK55" i="1"/>
  <c r="FU55" i="1"/>
  <c r="FT55" i="1"/>
  <c r="FS55" i="1"/>
  <c r="FR55" i="1"/>
  <c r="FQ55" i="1"/>
  <c r="FV55" i="1" s="1"/>
  <c r="DS55" i="1"/>
  <c r="DW55" i="1" s="1"/>
  <c r="DN55" i="1"/>
  <c r="DR55" i="1" s="1"/>
  <c r="DH55" i="1"/>
  <c r="DL55" i="1" s="1"/>
  <c r="DF55" i="1"/>
  <c r="GW54" i="1"/>
  <c r="GU54" i="1" s="1"/>
  <c r="GQ54" i="1"/>
  <c r="GO54" i="1" s="1"/>
  <c r="GK54" i="1"/>
  <c r="FV54" i="1"/>
  <c r="FO54" i="1" s="1"/>
  <c r="FU54" i="1"/>
  <c r="FT54" i="1"/>
  <c r="FS54" i="1"/>
  <c r="FR54" i="1"/>
  <c r="FQ54" i="1"/>
  <c r="DW54" i="1"/>
  <c r="DS54" i="1"/>
  <c r="DN54" i="1"/>
  <c r="DR54" i="1" s="1"/>
  <c r="DH54" i="1"/>
  <c r="DL54" i="1" s="1"/>
  <c r="DF54" i="1"/>
  <c r="GW53" i="1"/>
  <c r="GU53" i="1" s="1"/>
  <c r="GQ53" i="1"/>
  <c r="GO53" i="1" s="1"/>
  <c r="GK53" i="1"/>
  <c r="FU53" i="1"/>
  <c r="FT53" i="1"/>
  <c r="FS53" i="1"/>
  <c r="FR53" i="1"/>
  <c r="FQ53" i="1"/>
  <c r="FV53" i="1" s="1"/>
  <c r="DS53" i="1"/>
  <c r="DW53" i="1" s="1"/>
  <c r="DN53" i="1"/>
  <c r="DR53" i="1" s="1"/>
  <c r="DH53" i="1"/>
  <c r="DL53" i="1" s="1"/>
  <c r="DF53" i="1"/>
  <c r="GW52" i="1"/>
  <c r="GU52" i="1" s="1"/>
  <c r="GQ52" i="1"/>
  <c r="GO52" i="1" s="1"/>
  <c r="GK52" i="1"/>
  <c r="FU52" i="1"/>
  <c r="FT52" i="1"/>
  <c r="FS52" i="1"/>
  <c r="FR52" i="1"/>
  <c r="FQ52" i="1"/>
  <c r="FV52" i="1" s="1"/>
  <c r="DS52" i="1"/>
  <c r="DW52" i="1" s="1"/>
  <c r="DN52" i="1"/>
  <c r="DR52" i="1" s="1"/>
  <c r="DH52" i="1"/>
  <c r="DL52" i="1" s="1"/>
  <c r="DF52" i="1"/>
  <c r="GW51" i="1"/>
  <c r="GU51" i="1" s="1"/>
  <c r="GQ51" i="1"/>
  <c r="GO51" i="1" s="1"/>
  <c r="GK51" i="1"/>
  <c r="FU51" i="1"/>
  <c r="FT51" i="1"/>
  <c r="FS51" i="1"/>
  <c r="FR51" i="1"/>
  <c r="FQ51" i="1"/>
  <c r="FV51" i="1" s="1"/>
  <c r="DS51" i="1"/>
  <c r="DW51" i="1" s="1"/>
  <c r="DN51" i="1"/>
  <c r="DR51" i="1" s="1"/>
  <c r="DL51" i="1"/>
  <c r="DH51" i="1"/>
  <c r="DF51" i="1"/>
  <c r="GQ50" i="1"/>
  <c r="GO50" i="1" s="1"/>
  <c r="GK50" i="1"/>
  <c r="FU50" i="1"/>
  <c r="FT50" i="1"/>
  <c r="FS50" i="1"/>
  <c r="FR50" i="1"/>
  <c r="FQ50" i="1"/>
  <c r="FV50" i="1" s="1"/>
  <c r="DS50" i="1"/>
  <c r="DW50" i="1" s="1"/>
  <c r="DN50" i="1"/>
  <c r="DR50" i="1" s="1"/>
  <c r="DH50" i="1"/>
  <c r="DL50" i="1" s="1"/>
  <c r="DF50" i="1"/>
  <c r="AC50" i="1"/>
  <c r="FV49" i="1"/>
  <c r="FU49" i="1"/>
  <c r="FT49" i="1"/>
  <c r="FS49" i="1"/>
  <c r="FR49" i="1"/>
  <c r="FQ49" i="1"/>
  <c r="DS49" i="1"/>
  <c r="DW49" i="1" s="1"/>
  <c r="DN49" i="1"/>
  <c r="DR49" i="1" s="1"/>
  <c r="DH49" i="1"/>
  <c r="DL49" i="1" s="1"/>
  <c r="DF49" i="1"/>
  <c r="FU48" i="1"/>
  <c r="FT48" i="1"/>
  <c r="FS48" i="1"/>
  <c r="FR48" i="1"/>
  <c r="FQ48" i="1"/>
  <c r="FV48" i="1" s="1"/>
  <c r="DS48" i="1"/>
  <c r="DW48" i="1" s="1"/>
  <c r="DN48" i="1"/>
  <c r="DR48" i="1" s="1"/>
  <c r="DH48" i="1"/>
  <c r="DL48" i="1" s="1"/>
  <c r="DF48" i="1"/>
  <c r="AC48" i="1"/>
  <c r="FU47" i="1"/>
  <c r="FT47" i="1"/>
  <c r="FS47" i="1"/>
  <c r="FR47" i="1"/>
  <c r="FQ47" i="1"/>
  <c r="FV47" i="1" s="1"/>
  <c r="DS47" i="1"/>
  <c r="DW47" i="1" s="1"/>
  <c r="DN47" i="1"/>
  <c r="DR47" i="1" s="1"/>
  <c r="DH47" i="1"/>
  <c r="DL47" i="1" s="1"/>
  <c r="DF47" i="1"/>
  <c r="FV46" i="1"/>
  <c r="FU46" i="1"/>
  <c r="FT46" i="1"/>
  <c r="FS46" i="1"/>
  <c r="FR46" i="1"/>
  <c r="FQ46" i="1"/>
  <c r="DW46" i="1"/>
  <c r="DS46" i="1"/>
  <c r="DN46" i="1"/>
  <c r="DR46" i="1" s="1"/>
  <c r="DH46" i="1"/>
  <c r="DL46" i="1" s="1"/>
  <c r="DF46" i="1"/>
  <c r="FU36" i="1"/>
  <c r="FT36" i="1"/>
  <c r="FS36" i="1"/>
  <c r="FR36" i="1"/>
  <c r="FQ36" i="1"/>
  <c r="FV36" i="1" s="1"/>
  <c r="FU35" i="1"/>
  <c r="FT35" i="1"/>
  <c r="FS35" i="1"/>
  <c r="FR35" i="1"/>
  <c r="FQ35" i="1"/>
  <c r="FV35" i="1" s="1"/>
  <c r="EY35" i="1"/>
  <c r="EX35" i="1"/>
  <c r="FU34" i="1"/>
  <c r="FT34" i="1"/>
  <c r="FS34" i="1"/>
  <c r="FR34" i="1"/>
  <c r="FQ34" i="1"/>
  <c r="FV34" i="1" s="1"/>
  <c r="EY34" i="1"/>
  <c r="EX34" i="1"/>
  <c r="EV34" i="1" s="1"/>
  <c r="BB34" i="1"/>
  <c r="FU33" i="1"/>
  <c r="FT33" i="1"/>
  <c r="FS33" i="1"/>
  <c r="FR33" i="1"/>
  <c r="FQ33" i="1"/>
  <c r="FV33" i="1" s="1"/>
  <c r="FO33" i="1" s="1"/>
  <c r="EY33" i="1"/>
  <c r="EX33" i="1"/>
  <c r="FU32" i="1"/>
  <c r="FT32" i="1"/>
  <c r="FS32" i="1"/>
  <c r="FR32" i="1"/>
  <c r="FQ32" i="1"/>
  <c r="FV32" i="1" s="1"/>
  <c r="EY32" i="1"/>
  <c r="EX32" i="1"/>
  <c r="BB32" i="1"/>
  <c r="FU31" i="1"/>
  <c r="FT31" i="1"/>
  <c r="FS31" i="1"/>
  <c r="FR31" i="1"/>
  <c r="FQ31" i="1"/>
  <c r="FV31" i="1" s="1"/>
  <c r="EY31" i="1"/>
  <c r="EX31" i="1"/>
  <c r="BK31" i="1"/>
  <c r="BB31" i="1"/>
  <c r="FU30" i="1"/>
  <c r="FT30" i="1"/>
  <c r="FS30" i="1"/>
  <c r="FR30" i="1"/>
  <c r="FQ30" i="1"/>
  <c r="FV30" i="1" s="1"/>
  <c r="EY30" i="1"/>
  <c r="EX30" i="1"/>
  <c r="EV30" i="1" s="1"/>
  <c r="CK30" i="1"/>
  <c r="BK30" i="1"/>
  <c r="BB30" i="1"/>
  <c r="F30" i="1"/>
  <c r="E30" i="1"/>
  <c r="FU29" i="1"/>
  <c r="FT29" i="1"/>
  <c r="FS29" i="1"/>
  <c r="FR29" i="1"/>
  <c r="FQ29" i="1"/>
  <c r="FV29" i="1" s="1"/>
  <c r="EY29" i="1"/>
  <c r="EX29" i="1"/>
  <c r="CK29" i="1"/>
  <c r="BK29" i="1"/>
  <c r="BB29" i="1"/>
  <c r="F29" i="1"/>
  <c r="E29" i="1"/>
  <c r="FU28" i="1"/>
  <c r="FT28" i="1"/>
  <c r="FS28" i="1"/>
  <c r="FR28" i="1"/>
  <c r="FQ28" i="1"/>
  <c r="FV28" i="1" s="1"/>
  <c r="EY28" i="1"/>
  <c r="EX28" i="1"/>
  <c r="DH28" i="1"/>
  <c r="FU27" i="1"/>
  <c r="FT27" i="1"/>
  <c r="FS27" i="1"/>
  <c r="FR27" i="1"/>
  <c r="FQ27" i="1"/>
  <c r="FV27" i="1" s="1"/>
  <c r="EY27" i="1"/>
  <c r="EX27" i="1"/>
  <c r="CK27" i="1"/>
  <c r="BB27" i="1"/>
  <c r="FU26" i="1"/>
  <c r="FT26" i="1"/>
  <c r="FS26" i="1"/>
  <c r="FR26" i="1"/>
  <c r="FQ26" i="1"/>
  <c r="FV26" i="1" s="1"/>
  <c r="EY26" i="1"/>
  <c r="EX26" i="1"/>
  <c r="CK26" i="1"/>
  <c r="BK26" i="1"/>
  <c r="BB26" i="1"/>
  <c r="E26" i="1"/>
  <c r="FU25" i="1"/>
  <c r="FT25" i="1"/>
  <c r="FS25" i="1"/>
  <c r="FR25" i="1"/>
  <c r="FQ25" i="1"/>
  <c r="FV25" i="1" s="1"/>
  <c r="EY25" i="1"/>
  <c r="EX25" i="1"/>
  <c r="EV25" i="1" s="1"/>
  <c r="CK25" i="1"/>
  <c r="BK25" i="1"/>
  <c r="BB25" i="1"/>
  <c r="E25" i="1"/>
  <c r="IL24" i="1"/>
  <c r="IK24" i="1"/>
  <c r="IJ24" i="1"/>
  <c r="II24" i="1"/>
  <c r="IH24" i="1"/>
  <c r="FU24" i="1"/>
  <c r="FT24" i="1"/>
  <c r="FS24" i="1"/>
  <c r="FR24" i="1"/>
  <c r="FQ24" i="1"/>
  <c r="FV24" i="1" s="1"/>
  <c r="EY24" i="1"/>
  <c r="EX24" i="1"/>
  <c r="CK24" i="1"/>
  <c r="E24" i="1"/>
  <c r="FU23" i="1"/>
  <c r="FT23" i="1"/>
  <c r="FS23" i="1"/>
  <c r="FR23" i="1"/>
  <c r="FQ23" i="1"/>
  <c r="FV23" i="1" s="1"/>
  <c r="EY23" i="1"/>
  <c r="EX23" i="1"/>
  <c r="EV23" i="1"/>
  <c r="CK23" i="1"/>
  <c r="BK23" i="1"/>
  <c r="BB23" i="1"/>
  <c r="JE22" i="1"/>
  <c r="JF22" i="1" s="1"/>
  <c r="JF27" i="1" s="1"/>
  <c r="EY22" i="1"/>
  <c r="EX22" i="1"/>
  <c r="LK20" i="1"/>
  <c r="LG20" i="1"/>
  <c r="DS20" i="1"/>
  <c r="DW20" i="1" s="1"/>
  <c r="DN20" i="1"/>
  <c r="DR20" i="1" s="1"/>
  <c r="DH20" i="1"/>
  <c r="DL20" i="1" s="1"/>
  <c r="DF20" i="1"/>
  <c r="LK19" i="1"/>
  <c r="LG19" i="1"/>
  <c r="LD19" i="1" s="1"/>
  <c r="DS19" i="1"/>
  <c r="DW19" i="1" s="1"/>
  <c r="DN19" i="1"/>
  <c r="DR19" i="1" s="1"/>
  <c r="DH19" i="1"/>
  <c r="DL19" i="1" s="1"/>
  <c r="DF19" i="1"/>
  <c r="LK18" i="1"/>
  <c r="LG18" i="1"/>
  <c r="IK18" i="1"/>
  <c r="IL18" i="1" s="1"/>
  <c r="IJ18" i="1"/>
  <c r="II18" i="1"/>
  <c r="IH18" i="1"/>
  <c r="DS18" i="1"/>
  <c r="DW18" i="1" s="1"/>
  <c r="DN18" i="1"/>
  <c r="DR18" i="1" s="1"/>
  <c r="DH18" i="1"/>
  <c r="DL18" i="1" s="1"/>
  <c r="DF18" i="1"/>
  <c r="CK18" i="1"/>
  <c r="BB18" i="1"/>
  <c r="LK17" i="1"/>
  <c r="LG17" i="1"/>
  <c r="JE17" i="1"/>
  <c r="JF17" i="1" s="1"/>
  <c r="HI17" i="1"/>
  <c r="HD17" i="1" s="1"/>
  <c r="DS17" i="1"/>
  <c r="DW17" i="1" s="1"/>
  <c r="DN17" i="1"/>
  <c r="DR17" i="1" s="1"/>
  <c r="DH17" i="1"/>
  <c r="DL17" i="1" s="1"/>
  <c r="DF17" i="1"/>
  <c r="BK17" i="1"/>
  <c r="LK16" i="1"/>
  <c r="LG16" i="1"/>
  <c r="HI16" i="1"/>
  <c r="HD16" i="1" s="1"/>
  <c r="FU16" i="1"/>
  <c r="FT16" i="1"/>
  <c r="FS16" i="1"/>
  <c r="FR16" i="1"/>
  <c r="FQ16" i="1"/>
  <c r="FV16" i="1" s="1"/>
  <c r="DS16" i="1"/>
  <c r="DW16" i="1" s="1"/>
  <c r="DN16" i="1"/>
  <c r="DR16" i="1" s="1"/>
  <c r="DH16" i="1"/>
  <c r="DL16" i="1" s="1"/>
  <c r="DF16" i="1"/>
  <c r="CB16" i="1"/>
  <c r="LK15" i="1"/>
  <c r="LG15" i="1"/>
  <c r="HI15" i="1"/>
  <c r="HD15" i="1" s="1"/>
  <c r="FU15" i="1"/>
  <c r="FT15" i="1"/>
  <c r="FS15" i="1"/>
  <c r="FR15" i="1"/>
  <c r="FQ15" i="1"/>
  <c r="FV15" i="1" s="1"/>
  <c r="EZ15" i="1"/>
  <c r="EU15" i="1" s="1"/>
  <c r="DS15" i="1"/>
  <c r="DW15" i="1" s="1"/>
  <c r="DN15" i="1"/>
  <c r="DR15" i="1" s="1"/>
  <c r="DH15" i="1"/>
  <c r="DL15" i="1" s="1"/>
  <c r="DF15" i="1"/>
  <c r="CB15" i="1"/>
  <c r="LK14" i="1"/>
  <c r="LG14" i="1"/>
  <c r="KB14" i="1"/>
  <c r="KC14" i="1" s="1"/>
  <c r="KE14" i="1" s="1"/>
  <c r="HI14" i="1"/>
  <c r="HD14" i="1" s="1"/>
  <c r="FU14" i="1"/>
  <c r="FT14" i="1"/>
  <c r="FS14" i="1"/>
  <c r="FR14" i="1"/>
  <c r="FQ14" i="1"/>
  <c r="FV14" i="1" s="1"/>
  <c r="EZ14" i="1"/>
  <c r="EU14" i="1" s="1"/>
  <c r="DB14" i="1"/>
  <c r="DS14" i="1" s="1"/>
  <c r="DW14" i="1" s="1"/>
  <c r="BB14" i="1"/>
  <c r="LK13" i="1"/>
  <c r="LG13" i="1"/>
  <c r="KB13" i="1"/>
  <c r="KC13" i="1" s="1"/>
  <c r="KE13" i="1" s="1"/>
  <c r="HI13" i="1"/>
  <c r="HD13" i="1" s="1"/>
  <c r="FU13" i="1"/>
  <c r="FT13" i="1"/>
  <c r="FS13" i="1"/>
  <c r="FR13" i="1"/>
  <c r="FQ13" i="1"/>
  <c r="FV13" i="1" s="1"/>
  <c r="EZ13" i="1"/>
  <c r="EU13" i="1" s="1"/>
  <c r="DB13" i="1"/>
  <c r="DN13" i="1" s="1"/>
  <c r="DR13" i="1" s="1"/>
  <c r="BK13" i="1"/>
  <c r="LK12" i="1"/>
  <c r="LG12" i="1"/>
  <c r="LD12" i="1" s="1"/>
  <c r="KB12" i="1"/>
  <c r="KC12" i="1" s="1"/>
  <c r="KE12" i="1" s="1"/>
  <c r="HI12" i="1"/>
  <c r="HD12" i="1" s="1"/>
  <c r="FU12" i="1"/>
  <c r="FT12" i="1"/>
  <c r="FS12" i="1"/>
  <c r="FR12" i="1"/>
  <c r="FQ12" i="1"/>
  <c r="FV12" i="1" s="1"/>
  <c r="EZ12" i="1"/>
  <c r="EU12" i="1" s="1"/>
  <c r="DB12" i="1"/>
  <c r="DN12" i="1" s="1"/>
  <c r="DR12" i="1" s="1"/>
  <c r="BK12" i="1"/>
  <c r="T12" i="1"/>
  <c r="M12" i="1"/>
  <c r="F12" i="1"/>
  <c r="LK11" i="1"/>
  <c r="LG11" i="1"/>
  <c r="LD11" i="1" s="1"/>
  <c r="KB11" i="1"/>
  <c r="KC11" i="1" s="1"/>
  <c r="KE11" i="1" s="1"/>
  <c r="HI11" i="1"/>
  <c r="HD11" i="1" s="1"/>
  <c r="FU11" i="1"/>
  <c r="FT11" i="1"/>
  <c r="FS11" i="1"/>
  <c r="FR11" i="1"/>
  <c r="FQ11" i="1"/>
  <c r="FV11" i="1" s="1"/>
  <c r="EZ11" i="1"/>
  <c r="EU11" i="1" s="1"/>
  <c r="DB11" i="1"/>
  <c r="DN11" i="1" s="1"/>
  <c r="DR11" i="1" s="1"/>
  <c r="CB11" i="1"/>
  <c r="T11" i="1"/>
  <c r="M11" i="1"/>
  <c r="F11" i="1"/>
  <c r="LK10" i="1"/>
  <c r="LG10" i="1"/>
  <c r="LD10" i="1" s="1"/>
  <c r="KB10" i="1"/>
  <c r="KC10" i="1" s="1"/>
  <c r="KE10" i="1" s="1"/>
  <c r="IK10" i="1"/>
  <c r="IJ10" i="1"/>
  <c r="II10" i="1"/>
  <c r="IH10" i="1"/>
  <c r="HI10" i="1"/>
  <c r="HD10" i="1" s="1"/>
  <c r="FU10" i="1"/>
  <c r="FT10" i="1"/>
  <c r="FS10" i="1"/>
  <c r="FR10" i="1"/>
  <c r="FQ10" i="1"/>
  <c r="FV10" i="1" s="1"/>
  <c r="EZ10" i="1"/>
  <c r="EU10" i="1" s="1"/>
  <c r="DB10" i="1"/>
  <c r="DH10" i="1" s="1"/>
  <c r="DL10" i="1" s="1"/>
  <c r="CK10" i="1"/>
  <c r="BK10" i="1"/>
  <c r="BB10" i="1"/>
  <c r="KB9" i="1"/>
  <c r="KC9" i="1" s="1"/>
  <c r="KE9" i="1" s="1"/>
  <c r="JI9" i="1"/>
  <c r="JH9" i="1"/>
  <c r="JG9" i="1"/>
  <c r="JF9" i="1"/>
  <c r="HI9" i="1"/>
  <c r="HD9" i="1" s="1"/>
  <c r="GU9" i="1"/>
  <c r="GT9" i="1"/>
  <c r="GS9" i="1"/>
  <c r="GR9" i="1"/>
  <c r="GQ9" i="1"/>
  <c r="FU9" i="1"/>
  <c r="FT9" i="1"/>
  <c r="FS9" i="1"/>
  <c r="FR9" i="1"/>
  <c r="FQ9" i="1"/>
  <c r="FV9" i="1" s="1"/>
  <c r="FO9" i="1" s="1"/>
  <c r="EZ9" i="1"/>
  <c r="EU9" i="1" s="1"/>
  <c r="DB9" i="1"/>
  <c r="DB27" i="1" s="1"/>
  <c r="KB8" i="1"/>
  <c r="KC8" i="1" s="1"/>
  <c r="KE8" i="1" s="1"/>
  <c r="HI8" i="1"/>
  <c r="HD8" i="1"/>
  <c r="FU8" i="1"/>
  <c r="FT8" i="1"/>
  <c r="FS8" i="1"/>
  <c r="FR8" i="1"/>
  <c r="FQ8" i="1"/>
  <c r="FV8" i="1" s="1"/>
  <c r="EZ8" i="1"/>
  <c r="EU8" i="1" s="1"/>
  <c r="DB8" i="1"/>
  <c r="DN8" i="1" s="1"/>
  <c r="DR8" i="1" s="1"/>
  <c r="CK8" i="1"/>
  <c r="CB8" i="1"/>
  <c r="KB7" i="1"/>
  <c r="KC7" i="1" s="1"/>
  <c r="KE7" i="1" s="1"/>
  <c r="HI7" i="1"/>
  <c r="HD7" i="1"/>
  <c r="FU7" i="1"/>
  <c r="FT7" i="1"/>
  <c r="FS7" i="1"/>
  <c r="FR7" i="1"/>
  <c r="FQ7" i="1"/>
  <c r="FV7" i="1" s="1"/>
  <c r="EZ7" i="1"/>
  <c r="EU7" i="1" s="1"/>
  <c r="DB7" i="1"/>
  <c r="DS7" i="1" s="1"/>
  <c r="DW7" i="1" s="1"/>
  <c r="CK7" i="1"/>
  <c r="CB7" i="1"/>
  <c r="BK7" i="1"/>
  <c r="BB7" i="1"/>
  <c r="AL7" i="1"/>
  <c r="KB6" i="1"/>
  <c r="KC6" i="1" s="1"/>
  <c r="KE6" i="1" s="1"/>
  <c r="HI6" i="1"/>
  <c r="HD6" i="1"/>
  <c r="FU6" i="1"/>
  <c r="FT6" i="1"/>
  <c r="FS6" i="1"/>
  <c r="FR6" i="1"/>
  <c r="FQ6" i="1"/>
  <c r="FV6" i="1" s="1"/>
  <c r="EZ6" i="1"/>
  <c r="EU6" i="1" s="1"/>
  <c r="DB6" i="1"/>
  <c r="DS6" i="1" s="1"/>
  <c r="DW6" i="1" s="1"/>
  <c r="CB6" i="1"/>
  <c r="KB5" i="1"/>
  <c r="KC5" i="1" s="1"/>
  <c r="KE5" i="1" s="1"/>
  <c r="HI5" i="1"/>
  <c r="HD5" i="1" s="1"/>
  <c r="FU5" i="1"/>
  <c r="FT5" i="1"/>
  <c r="FS5" i="1"/>
  <c r="FR5" i="1"/>
  <c r="FQ5" i="1"/>
  <c r="FV5" i="1" s="1"/>
  <c r="FO5" i="1" s="1"/>
  <c r="EZ5" i="1"/>
  <c r="EU5" i="1" s="1"/>
  <c r="DB5" i="1"/>
  <c r="DH5" i="1" s="1"/>
  <c r="DL5" i="1" s="1"/>
  <c r="CB5" i="1"/>
  <c r="KB4" i="1"/>
  <c r="KC4" i="1" s="1"/>
  <c r="KE4" i="1" s="1"/>
  <c r="IJ4" i="1"/>
  <c r="IK4" i="1" s="1"/>
  <c r="II4" i="1"/>
  <c r="IF4" i="1" s="1"/>
  <c r="IH4" i="1"/>
  <c r="HI4" i="1"/>
  <c r="HD4" i="1" s="1"/>
  <c r="GU4" i="1"/>
  <c r="GT4" i="1"/>
  <c r="GS4" i="1"/>
  <c r="GR4" i="1"/>
  <c r="GQ4" i="1"/>
  <c r="FU4" i="1"/>
  <c r="FT4" i="1"/>
  <c r="FS4" i="1"/>
  <c r="FR4" i="1"/>
  <c r="FQ4" i="1"/>
  <c r="FV4" i="1" s="1"/>
  <c r="EZ4" i="1"/>
  <c r="EU4" i="1" s="1"/>
  <c r="CK4" i="1"/>
  <c r="CB4" i="1"/>
  <c r="LL3" i="1"/>
  <c r="LJ3" i="1" s="1"/>
  <c r="LE3" i="1"/>
  <c r="LB3" i="1"/>
  <c r="LC3" i="1" s="1"/>
  <c r="KB3" i="1"/>
  <c r="KC3" i="1" s="1"/>
  <c r="KE3" i="1" s="1"/>
  <c r="JI3" i="1"/>
  <c r="JH3" i="1"/>
  <c r="JG3" i="1"/>
  <c r="JF3" i="1"/>
  <c r="HI3" i="1"/>
  <c r="HD3" i="1" s="1"/>
  <c r="FU3" i="1"/>
  <c r="FT3" i="1"/>
  <c r="FS3" i="1"/>
  <c r="FR3" i="1"/>
  <c r="FQ3" i="1"/>
  <c r="FV3" i="1" s="1"/>
  <c r="EZ3" i="1"/>
  <c r="EU3" i="1" s="1"/>
  <c r="KB2" i="1"/>
  <c r="KC2" i="1" s="1"/>
  <c r="KE2" i="1" s="1"/>
  <c r="HI2" i="1"/>
  <c r="HD2" i="1" s="1"/>
  <c r="EZ2" i="1"/>
  <c r="EU2" i="1"/>
  <c r="FO11" i="1" l="1"/>
  <c r="LD14" i="1"/>
  <c r="EV32" i="1"/>
  <c r="FO102" i="1"/>
  <c r="FO103" i="1"/>
  <c r="DW141" i="1"/>
  <c r="DY141" i="1" s="1"/>
  <c r="DW144" i="1"/>
  <c r="DY144" i="1" s="1"/>
  <c r="DC179" i="1"/>
  <c r="FO100" i="1"/>
  <c r="DH7" i="1"/>
  <c r="DL7" i="1" s="1"/>
  <c r="DN10" i="1"/>
  <c r="DR10" i="1" s="1"/>
  <c r="LD16" i="1"/>
  <c r="Q308" i="1"/>
  <c r="I311" i="1" s="1"/>
  <c r="DH6" i="1"/>
  <c r="DL6" i="1" s="1"/>
  <c r="DN7" i="1"/>
  <c r="DR7" i="1" s="1"/>
  <c r="DH14" i="1"/>
  <c r="DL14" i="1" s="1"/>
  <c r="FO26" i="1"/>
  <c r="FO35" i="1"/>
  <c r="FO92" i="1"/>
  <c r="DT134" i="1"/>
  <c r="DT147" i="1"/>
  <c r="DW154" i="1"/>
  <c r="DY154" i="1" s="1"/>
  <c r="DC181" i="1"/>
  <c r="EV22" i="1"/>
  <c r="DW136" i="1"/>
  <c r="DY136" i="1" s="1"/>
  <c r="DW139" i="1"/>
  <c r="DY139" i="1" s="1"/>
  <c r="EV24" i="1"/>
  <c r="EV27" i="1"/>
  <c r="FO48" i="1"/>
  <c r="FO53" i="1"/>
  <c r="FO69" i="1"/>
  <c r="FO70" i="1"/>
  <c r="FO71" i="1"/>
  <c r="FO101" i="1"/>
  <c r="DD172" i="1"/>
  <c r="JD3" i="1"/>
  <c r="GO4" i="1"/>
  <c r="DN6" i="1"/>
  <c r="DR6" i="1" s="1"/>
  <c r="DF8" i="1"/>
  <c r="FO8" i="1"/>
  <c r="GO9" i="1"/>
  <c r="FO10" i="1"/>
  <c r="FO12" i="1"/>
  <c r="DF13" i="1"/>
  <c r="FO15" i="1"/>
  <c r="FO16" i="1"/>
  <c r="EV26" i="1"/>
  <c r="FO55" i="1"/>
  <c r="FO68" i="1"/>
  <c r="FO78" i="1"/>
  <c r="FO79" i="1"/>
  <c r="FO93" i="1"/>
  <c r="FO97" i="1"/>
  <c r="DW152" i="1"/>
  <c r="DY152" i="1" s="1"/>
  <c r="DT153" i="1"/>
  <c r="DD171" i="1"/>
  <c r="FO4" i="1"/>
  <c r="DF7" i="1"/>
  <c r="FO7" i="1"/>
  <c r="DH8" i="1"/>
  <c r="DL8" i="1" s="1"/>
  <c r="JD9" i="1"/>
  <c r="DH13" i="1"/>
  <c r="DL13" i="1" s="1"/>
  <c r="DN14" i="1"/>
  <c r="DR14" i="1" s="1"/>
  <c r="EV28" i="1"/>
  <c r="EV29" i="1"/>
  <c r="EV31" i="1"/>
  <c r="FO32" i="1"/>
  <c r="FO74" i="1"/>
  <c r="FO96" i="1"/>
  <c r="DW137" i="1"/>
  <c r="DY137" i="1" s="1"/>
  <c r="FO31" i="1"/>
  <c r="FO95" i="1"/>
  <c r="FO6" i="1"/>
  <c r="IF24" i="1"/>
  <c r="FO46" i="1"/>
  <c r="FO73" i="1"/>
  <c r="FO3" i="1"/>
  <c r="DF5" i="1"/>
  <c r="FO14" i="1"/>
  <c r="FO24" i="1"/>
  <c r="FO28" i="1"/>
  <c r="FO51" i="1"/>
  <c r="FO72" i="1"/>
  <c r="FO94" i="1"/>
  <c r="FO104" i="1"/>
  <c r="DT142" i="1"/>
  <c r="DT148" i="1"/>
  <c r="DT149" i="1"/>
  <c r="DD170" i="1"/>
  <c r="FO29" i="1"/>
  <c r="FO56" i="1"/>
  <c r="FO67" i="1"/>
  <c r="FO77" i="1"/>
  <c r="DF9" i="1"/>
  <c r="IF10" i="1"/>
  <c r="DS13" i="1"/>
  <c r="DW13" i="1" s="1"/>
  <c r="DN5" i="1"/>
  <c r="DR5" i="1" s="1"/>
  <c r="DF6" i="1"/>
  <c r="DN9" i="1"/>
  <c r="DR9" i="1" s="1"/>
  <c r="DF10" i="1"/>
  <c r="DF14" i="1"/>
  <c r="LD15" i="1"/>
  <c r="LD20" i="1"/>
  <c r="EV33" i="1"/>
  <c r="EV35" i="1"/>
  <c r="FO36" i="1"/>
  <c r="FO49" i="1"/>
  <c r="FO58" i="1"/>
  <c r="FO80" i="1"/>
  <c r="DC178" i="1"/>
  <c r="DW151" i="1"/>
  <c r="DY151" i="1" s="1"/>
  <c r="DT151" i="1"/>
  <c r="DF11" i="1"/>
  <c r="DH12" i="1"/>
  <c r="DL12" i="1" s="1"/>
  <c r="LD17" i="1"/>
  <c r="FO47" i="1"/>
  <c r="FO76" i="1"/>
  <c r="FO99" i="1"/>
  <c r="DW140" i="1"/>
  <c r="DY140" i="1" s="1"/>
  <c r="DT140" i="1"/>
  <c r="DT145" i="1"/>
  <c r="DT150" i="1"/>
  <c r="DT156" i="1"/>
  <c r="DD173" i="1"/>
  <c r="DC182" i="1"/>
  <c r="DS5" i="1"/>
  <c r="DW5" i="1" s="1"/>
  <c r="DF27" i="1"/>
  <c r="DS27" i="1"/>
  <c r="DW27" i="1" s="1"/>
  <c r="DS9" i="1"/>
  <c r="DW9" i="1" s="1"/>
  <c r="DS10" i="1"/>
  <c r="DW10" i="1" s="1"/>
  <c r="DH11" i="1"/>
  <c r="DL11" i="1" s="1"/>
  <c r="FO13" i="1"/>
  <c r="LD18" i="1"/>
  <c r="FO23" i="1"/>
  <c r="FO25" i="1"/>
  <c r="DH27" i="1"/>
  <c r="DL27" i="1" s="1"/>
  <c r="FO27" i="1"/>
  <c r="FO30" i="1"/>
  <c r="FO59" i="1"/>
  <c r="FO75" i="1"/>
  <c r="FO91" i="1"/>
  <c r="FO98" i="1"/>
  <c r="DS12" i="1"/>
  <c r="DW12" i="1" s="1"/>
  <c r="DF12" i="1"/>
  <c r="FO50" i="1"/>
  <c r="DW135" i="1"/>
  <c r="DY135" i="1" s="1"/>
  <c r="DT135" i="1"/>
  <c r="DW146" i="1"/>
  <c r="DY146" i="1" s="1"/>
  <c r="DT146" i="1"/>
  <c r="DS11" i="1"/>
  <c r="DW11" i="1" s="1"/>
  <c r="DB21" i="1"/>
  <c r="DS8" i="1"/>
  <c r="DW8" i="1" s="1"/>
  <c r="DH9" i="1"/>
  <c r="DL9" i="1" s="1"/>
  <c r="LD13" i="1"/>
  <c r="IF18" i="1"/>
  <c r="DN27" i="1"/>
  <c r="DR27" i="1" s="1"/>
  <c r="FO34" i="1"/>
  <c r="FO52" i="1"/>
  <c r="DW138" i="1"/>
  <c r="DY138" i="1" s="1"/>
  <c r="DT138" i="1"/>
  <c r="DW143" i="1"/>
  <c r="DY143" i="1" s="1"/>
  <c r="DT143" i="1"/>
  <c r="FO18" i="1" l="1"/>
  <c r="FO82" i="1"/>
  <c r="FO61" i="1"/>
  <c r="FO38" i="1"/>
  <c r="DF21" i="1"/>
  <c r="DS21" i="1"/>
  <c r="DW21" i="1" s="1"/>
  <c r="DH21" i="1"/>
  <c r="DL21" i="1" s="1"/>
  <c r="DN21" i="1"/>
  <c r="DR21" i="1" s="1"/>
  <c r="DB22" i="1"/>
  <c r="FO106" i="1"/>
  <c r="DB23" i="1" l="1"/>
  <c r="DN22" i="1"/>
  <c r="DR22" i="1" s="1"/>
  <c r="DS22" i="1"/>
  <c r="DW22" i="1" s="1"/>
  <c r="DH22" i="1"/>
  <c r="DL22" i="1" s="1"/>
  <c r="DF22" i="1"/>
  <c r="DF23" i="1" l="1"/>
  <c r="DS23" i="1"/>
  <c r="DW23" i="1" s="1"/>
  <c r="DN23" i="1"/>
  <c r="DR23" i="1" s="1"/>
  <c r="DB24" i="1"/>
  <c r="DH23" i="1"/>
  <c r="DL23" i="1" s="1"/>
  <c r="DB25" i="1" l="1"/>
  <c r="DN24" i="1"/>
  <c r="DR24" i="1" s="1"/>
  <c r="DF24" i="1"/>
  <c r="DS24" i="1"/>
  <c r="DW24" i="1" s="1"/>
  <c r="DH24" i="1"/>
  <c r="DL24" i="1" s="1"/>
  <c r="DF25" i="1" l="1"/>
  <c r="DS25" i="1"/>
  <c r="DW25" i="1" s="1"/>
  <c r="DN25" i="1"/>
  <c r="DR25" i="1" s="1"/>
  <c r="DB26" i="1"/>
  <c r="DH25" i="1"/>
  <c r="DL25" i="1" s="1"/>
  <c r="DH26" i="1" l="1"/>
  <c r="DL26" i="1" s="1"/>
  <c r="DF26" i="1"/>
  <c r="DS26" i="1"/>
  <c r="DW26" i="1" s="1"/>
  <c r="DN26" i="1"/>
  <c r="DR26" i="1" s="1"/>
</calcChain>
</file>

<file path=xl/sharedStrings.xml><?xml version="1.0" encoding="utf-8"?>
<sst xmlns="http://schemas.openxmlformats.org/spreadsheetml/2006/main" count="5745" uniqueCount="947">
  <si>
    <t>API TANK</t>
  </si>
  <si>
    <t>CARBON STEEL 150#</t>
  </si>
  <si>
    <t>304 SS 150#</t>
  </si>
  <si>
    <t>316 SS 150#</t>
  </si>
  <si>
    <t>Skirt Estimation</t>
  </si>
  <si>
    <t>Tank Diameter</t>
  </si>
  <si>
    <t># of Saddles</t>
  </si>
  <si>
    <t>Total M/H for Saddles</t>
  </si>
  <si>
    <t>Belly Band</t>
  </si>
  <si>
    <t>Saddle Construction</t>
  </si>
  <si>
    <t>Installation</t>
  </si>
  <si>
    <t>M/H Per Saddle</t>
  </si>
  <si>
    <t>3/16" THRU 5/16"</t>
  </si>
  <si>
    <t>Baffle Length</t>
  </si>
  <si>
    <t># of Baffles</t>
  </si>
  <si>
    <t>Total M/H for Baffles</t>
  </si>
  <si>
    <t>Baffle Construction</t>
  </si>
  <si>
    <t>Baffle Supports</t>
  </si>
  <si>
    <t>Baffle Installation</t>
  </si>
  <si>
    <t>M/H Per Baffle</t>
  </si>
  <si>
    <t>Standard Jacket Welds</t>
  </si>
  <si>
    <t>Dimpled Jacket - Shell</t>
  </si>
  <si>
    <t>Coil Diameter</t>
  </si>
  <si>
    <t># of Turns</t>
  </si>
  <si>
    <t>Length of Coil (ft)</t>
  </si>
  <si>
    <t># of Joints</t>
  </si>
  <si>
    <t># of Elbows/Piping/Etc</t>
  </si>
  <si>
    <t>Total M/H for Internal Pipe Coil</t>
  </si>
  <si>
    <t>Circ of Coil (ft)</t>
  </si>
  <si>
    <t>M/H Turns</t>
  </si>
  <si>
    <t>M/H Welded Joints</t>
  </si>
  <si>
    <t>Elbows/Piping/Etc</t>
  </si>
  <si>
    <t>LADDER</t>
  </si>
  <si>
    <t>HANDRAILS</t>
  </si>
  <si>
    <t>ITEM</t>
  </si>
  <si>
    <t>QTY</t>
  </si>
  <si>
    <t>DESCRIPTION</t>
  </si>
  <si>
    <t>MTRL</t>
  </si>
  <si>
    <t>MOC</t>
  </si>
  <si>
    <t>LABOR</t>
  </si>
  <si>
    <t>CLASS 150# RAISED FACE SLIP-ON FLANGES</t>
  </si>
  <si>
    <t>CLASS 150# RAISED FACE BLIND FLANGES</t>
  </si>
  <si>
    <t>Shell Rolling - Carbon Steel Tanks</t>
  </si>
  <si>
    <t>Up to 1'</t>
  </si>
  <si>
    <t>Nozzle Size</t>
  </si>
  <si>
    <t># of Nozzles</t>
  </si>
  <si>
    <t>Tank Wall Thickness</t>
  </si>
  <si>
    <t>Repad?</t>
  </si>
  <si>
    <t>Gussets?</t>
  </si>
  <si>
    <t>Tangential?</t>
  </si>
  <si>
    <t>Blind?</t>
  </si>
  <si>
    <t>Davit/Hinge?</t>
  </si>
  <si>
    <t>Total M/H for Nozzles</t>
  </si>
  <si>
    <t>Wall Thickness</t>
  </si>
  <si>
    <t>Repad</t>
  </si>
  <si>
    <t>Gussets</t>
  </si>
  <si>
    <t>Blind</t>
  </si>
  <si>
    <t>Davit/Hinge</t>
  </si>
  <si>
    <t>M/H Nozzles</t>
  </si>
  <si>
    <t>PAD FLANGE</t>
  </si>
  <si>
    <t>Smooth Polish (Not Flush)</t>
  </si>
  <si>
    <t>Up to 5'</t>
  </si>
  <si>
    <t>Half Pipe Jacket - Shell</t>
  </si>
  <si>
    <t># of Panels</t>
  </si>
  <si>
    <t># of Dimples</t>
  </si>
  <si>
    <t>Total M/H for Dimpled Jacket on Shell</t>
  </si>
  <si>
    <t>Fit &amp; Tack M/H</t>
  </si>
  <si>
    <t>Dimples M/H</t>
  </si>
  <si>
    <t>Seams M/H</t>
  </si>
  <si>
    <t>Repair M/H</t>
  </si>
  <si>
    <t>Up to 2'</t>
  </si>
  <si>
    <t>Length of Ladder (ft)</t>
  </si>
  <si>
    <t>Caged?</t>
  </si>
  <si>
    <t>M/H per 10 ft</t>
  </si>
  <si>
    <t>Total M/H for Ladder</t>
  </si>
  <si>
    <t>Caged</t>
  </si>
  <si>
    <t>Diameter of Tank (ft)</t>
  </si>
  <si>
    <t>Round or Straight</t>
  </si>
  <si>
    <t>Total M/H for Handrails</t>
  </si>
  <si>
    <t>Round/Straight</t>
  </si>
  <si>
    <t>AS OF</t>
  </si>
  <si>
    <t>SUPPLIER</t>
  </si>
  <si>
    <t>HOME</t>
  </si>
  <si>
    <t>TANK DIA ID/ OD IN FT</t>
  </si>
  <si>
    <t>TANK ID/ OD IN INCH</t>
  </si>
  <si>
    <t>LNGTH</t>
  </si>
  <si>
    <t xml:space="preserve">3/16"-5/16" (ONE PASS) </t>
  </si>
  <si>
    <t>3/8"(ONE PASS)</t>
  </si>
  <si>
    <t>1/2" (TWO PASSES)</t>
  </si>
  <si>
    <t>5/8" &amp; 3/4"(TWO SLOW PASSES)</t>
  </si>
  <si>
    <t>Shell Rolling</t>
  </si>
  <si>
    <t>&gt;1' to 2'</t>
  </si>
  <si>
    <t>1"</t>
  </si>
  <si>
    <t>1/4</t>
  </si>
  <si>
    <t>Yes</t>
  </si>
  <si>
    <t>3</t>
  </si>
  <si>
    <t>3/16</t>
  </si>
  <si>
    <t>Shell Length (ft)</t>
  </si>
  <si>
    <t># of Girth Seams</t>
  </si>
  <si>
    <t># of Long Seams</t>
  </si>
  <si>
    <t># of &lt; 14" Nozzles</t>
  </si>
  <si>
    <t># of 14" + Nozzles</t>
  </si>
  <si>
    <t>Total M/H for Smooth Polish</t>
  </si>
  <si>
    <t>Girth Seam M/H</t>
  </si>
  <si>
    <t>Long Seam M/H</t>
  </si>
  <si>
    <t xml:space="preserve"> &lt; 14" Nozzles M/H</t>
  </si>
  <si>
    <t>14"+ Nozzles M/H</t>
  </si>
  <si>
    <t>Baffles M/H</t>
  </si>
  <si>
    <t>&gt;5' to 10'</t>
  </si>
  <si>
    <t>Tank Diameter (ft)</t>
  </si>
  <si>
    <t>Lin Ft of Pipe</t>
  </si>
  <si>
    <t>Total M/H for Half Pipe Jacket on Shell</t>
  </si>
  <si>
    <t>Weld M/H</t>
  </si>
  <si>
    <t>Repair</t>
  </si>
  <si>
    <t>&gt;2' to 3'</t>
  </si>
  <si>
    <t>Round</t>
  </si>
  <si>
    <t>CONE TOP</t>
  </si>
  <si>
    <t>1/4" X " X "</t>
  </si>
  <si>
    <t>SA36</t>
  </si>
  <si>
    <t>SA240-304/304L</t>
  </si>
  <si>
    <t>SA240-316/316L</t>
  </si>
  <si>
    <t>FLANGE</t>
  </si>
  <si>
    <t>1" 150# RFSO</t>
  </si>
  <si>
    <t>SA105 B16.5</t>
  </si>
  <si>
    <t xml:space="preserve">AMERICAN </t>
  </si>
  <si>
    <t>BLIND FLANGE</t>
  </si>
  <si>
    <t>1" 150# BLIND</t>
  </si>
  <si>
    <t>AMERICAN</t>
  </si>
  <si>
    <t>SA182-304/304L B16.5</t>
  </si>
  <si>
    <t>R.J. SALES</t>
  </si>
  <si>
    <t>SA182-316/316L B16.5</t>
  </si>
  <si>
    <t>R. J. SALES</t>
  </si>
  <si>
    <t>M &amp; C</t>
  </si>
  <si>
    <t>WLD</t>
  </si>
  <si>
    <t>ROLL</t>
  </si>
  <si>
    <t>I/S WLD</t>
  </si>
  <si>
    <t>TOT</t>
  </si>
  <si>
    <t>M,C,VB</t>
  </si>
  <si>
    <t>M,C,VVB</t>
  </si>
  <si>
    <t xml:space="preserve">  # CST Shells x Hrs / Shell (use table), plus</t>
  </si>
  <si>
    <t>2"</t>
  </si>
  <si>
    <t>&gt;10' to 15'</t>
  </si>
  <si>
    <t>&gt;3' to 4'</t>
  </si>
  <si>
    <t>RIM ANGLE</t>
  </si>
  <si>
    <t>1/4" X 2" X 2"</t>
  </si>
  <si>
    <t>1.5" 150# RFSO</t>
  </si>
  <si>
    <t>1.5" 150# BLIND</t>
  </si>
  <si>
    <t>UP TO 2'-6"</t>
  </si>
  <si>
    <t>UP TO 30"</t>
  </si>
  <si>
    <t>96"</t>
  </si>
  <si>
    <t xml:space="preserve">  # SST Shells x Hrs / Shell (use table; use 4-6 hrs for "mini shell"), plus</t>
  </si>
  <si>
    <t>3"</t>
  </si>
  <si>
    <t>5/16</t>
  </si>
  <si>
    <t>&gt;15' to 20'</t>
  </si>
  <si>
    <t>&gt;4' to 5'</t>
  </si>
  <si>
    <t>SHELL</t>
  </si>
  <si>
    <t>2" 150# RFSO</t>
  </si>
  <si>
    <t>2" 150# BLIND</t>
  </si>
  <si>
    <t>FROM 2'-7" TO 3'-0"</t>
  </si>
  <si>
    <t>FROM 31" TO 36"</t>
  </si>
  <si>
    <t>120"</t>
  </si>
  <si>
    <t>4"</t>
  </si>
  <si>
    <t>3/8</t>
  </si>
  <si>
    <t>&gt;20' to 25'</t>
  </si>
  <si>
    <t>&gt;5' to 6'</t>
  </si>
  <si>
    <t>PLATFORMS</t>
  </si>
  <si>
    <t>3" 150# RFSO</t>
  </si>
  <si>
    <t>3" 150# BLIND</t>
  </si>
  <si>
    <t>FROM 3'-1" TO 3'-9"</t>
  </si>
  <si>
    <t>FROM 37" TO 45"</t>
  </si>
  <si>
    <t>144"</t>
  </si>
  <si>
    <t>Base Ring (use table), plus</t>
  </si>
  <si>
    <t>6"</t>
  </si>
  <si>
    <t>3.5</t>
  </si>
  <si>
    <t>1/2</t>
  </si>
  <si>
    <t>Flush &amp; Smooth Polish</t>
  </si>
  <si>
    <t>&gt;25' to 30'</t>
  </si>
  <si>
    <t>Dimpled Jacket - Head</t>
  </si>
  <si>
    <t>&gt;6' to 7'</t>
  </si>
  <si>
    <t>BOTTOM</t>
  </si>
  <si>
    <t>4" 150# RFSO</t>
  </si>
  <si>
    <t>4" 150# BLIND</t>
  </si>
  <si>
    <t>FERGUSON</t>
  </si>
  <si>
    <t>FROM 3'-10" TO 6'-3"</t>
  </si>
  <si>
    <t>FROM 46" TO 75"</t>
  </si>
  <si>
    <t>240"</t>
  </si>
  <si>
    <t>8"</t>
  </si>
  <si>
    <t>4.9</t>
  </si>
  <si>
    <t>5/8</t>
  </si>
  <si>
    <t>Total M/H for Flush Polish</t>
  </si>
  <si>
    <t>&gt;30' to 35'</t>
  </si>
  <si>
    <t>Half Pipe Jacket - Head</t>
  </si>
  <si>
    <t>Total M/H for Dimpled Jacket on Head</t>
  </si>
  <si>
    <t>&gt;7' to 8'</t>
  </si>
  <si>
    <t>Platform?</t>
  </si>
  <si>
    <t># of Manways</t>
  </si>
  <si>
    <t>Total M/H for Platform</t>
  </si>
  <si>
    <t>Sq ft of Platform</t>
  </si>
  <si>
    <t>M/H per Sq Ft</t>
  </si>
  <si>
    <t>M/H Nozzle Banding</t>
  </si>
  <si>
    <t>M/H Manway Banding</t>
  </si>
  <si>
    <t>INSULATIONS RINGS</t>
  </si>
  <si>
    <t>5" 150# RFSO</t>
  </si>
  <si>
    <t xml:space="preserve">SOUTHERN </t>
  </si>
  <si>
    <t>5" 150# BLIND</t>
  </si>
  <si>
    <t>FROM 6-4" TO 7'-0"</t>
  </si>
  <si>
    <t>FROM 76" TO 84"</t>
  </si>
  <si>
    <t>360"</t>
  </si>
  <si>
    <t>Assembly &amp; Seam Welding</t>
  </si>
  <si>
    <t>10"</t>
  </si>
  <si>
    <t>5.6</t>
  </si>
  <si>
    <t>3/4</t>
  </si>
  <si>
    <t>&gt;35' to 40'</t>
  </si>
  <si>
    <t>Cut Pipe</t>
  </si>
  <si>
    <t>&gt;8' to 9'</t>
  </si>
  <si>
    <t>GROUND LUG &amp; NP</t>
  </si>
  <si>
    <t>Savannah Tank Standard</t>
  </si>
  <si>
    <t>6" 150# RFSO</t>
  </si>
  <si>
    <t>6" 150# BLIND</t>
  </si>
  <si>
    <t>FROM 7'-1" TO 7-6"</t>
  </si>
  <si>
    <t>FROM 85" TO 90"</t>
  </si>
  <si>
    <t xml:space="preserve">  # Shell-to-shell welds (use table), plus</t>
  </si>
  <si>
    <t>12"</t>
  </si>
  <si>
    <t>7</t>
  </si>
  <si>
    <t>&gt;40' to 45'</t>
  </si>
  <si>
    <t>&gt;9' to 10'</t>
  </si>
  <si>
    <t>Up to 4'</t>
  </si>
  <si>
    <t>LIFT LUG</t>
  </si>
  <si>
    <t>1/2" X 6" X 6"</t>
  </si>
  <si>
    <t>8" 150# RFSO</t>
  </si>
  <si>
    <t>8" 150# BLIND</t>
  </si>
  <si>
    <t>FROM 7'-7" TO 8'-0"</t>
  </si>
  <si>
    <t>FROM 91" TO 96"</t>
  </si>
  <si>
    <t xml:space="preserve">  Skirt-to-base ring weld (use table), plus</t>
  </si>
  <si>
    <t>14"</t>
  </si>
  <si>
    <t>6</t>
  </si>
  <si>
    <t>&gt;45' to 50'</t>
  </si>
  <si>
    <t xml:space="preserve">&gt;10' to 11' </t>
  </si>
  <si>
    <t>ANCHOR CHAIRS</t>
  </si>
  <si>
    <t>(1) 1/2" X 8" X 10"</t>
  </si>
  <si>
    <t>10" 150# RFSO</t>
  </si>
  <si>
    <t>10" 150# BLIND</t>
  </si>
  <si>
    <t>FROM 8'-1" TO 8'-6"</t>
  </si>
  <si>
    <t>FROM 97" TO 102"</t>
  </si>
  <si>
    <t xml:space="preserve">  Skirt-to-tank weld (use 2x table), plus</t>
  </si>
  <si>
    <t>16"</t>
  </si>
  <si>
    <t>6.5</t>
  </si>
  <si>
    <t xml:space="preserve">&gt;50' to 55' </t>
  </si>
  <si>
    <t>&gt;11' to 12'</t>
  </si>
  <si>
    <t xml:space="preserve">(2) 1/2" X 8" X 12" </t>
  </si>
  <si>
    <t>12" 150# RFSO</t>
  </si>
  <si>
    <t>12" 150# BLIND</t>
  </si>
  <si>
    <t>FROM 8'-7" TO 9'-0"</t>
  </si>
  <si>
    <t>FROM 103" TO 108"</t>
  </si>
  <si>
    <t>18"</t>
  </si>
  <si>
    <t>&gt;55' to 60'</t>
  </si>
  <si>
    <t>&gt;12' to 13'</t>
  </si>
  <si>
    <t>14" 150# RFSO</t>
  </si>
  <si>
    <t>14" 150# BLIND</t>
  </si>
  <si>
    <t>FROM 9'-1" TO 9'-6"</t>
  </si>
  <si>
    <t>FROM 109" TO 114"</t>
  </si>
  <si>
    <t>Gussets (1 hour each) or Hold Downs (3 hours each), plus</t>
  </si>
  <si>
    <t>20"</t>
  </si>
  <si>
    <t>8</t>
  </si>
  <si>
    <t>&gt;60' to 65'</t>
  </si>
  <si>
    <t>&gt;13' to 14'</t>
  </si>
  <si>
    <t>BAFFLES</t>
  </si>
  <si>
    <t xml:space="preserve">1/4" X " X " </t>
  </si>
  <si>
    <t>16" 150# RFSO</t>
  </si>
  <si>
    <t>16" 150# BLIND</t>
  </si>
  <si>
    <t>FROM 9'-7" TO 10'-0"</t>
  </si>
  <si>
    <t>FROM 115" TO 120"</t>
  </si>
  <si>
    <t>480"</t>
  </si>
  <si>
    <t>Vents (1.5 hours each), plus</t>
  </si>
  <si>
    <t>24"</t>
  </si>
  <si>
    <t>9</t>
  </si>
  <si>
    <t>&gt;65' to 70'</t>
  </si>
  <si>
    <t>Full Penetration Jacket Welds</t>
  </si>
  <si>
    <t># of Dimples Calculator (per panel) - 2x2</t>
  </si>
  <si>
    <t>BAFFLE SUPPORTS</t>
  </si>
  <si>
    <t>1/4" X 2" X 24"  MF: BAFFLE DROP</t>
  </si>
  <si>
    <t>18" 150# RFSO</t>
  </si>
  <si>
    <t>18" 150# BLIND</t>
  </si>
  <si>
    <t>FROM 10' -1"TO 10'-6"</t>
  </si>
  <si>
    <t>FROM 121" TO 126"</t>
  </si>
  <si>
    <t>Access Holes (6 hours each)</t>
  </si>
  <si>
    <t>SADDLE SUPPORTS</t>
  </si>
  <si>
    <t>30"</t>
  </si>
  <si>
    <t>11</t>
  </si>
  <si>
    <t>&gt;70' to 75'</t>
  </si>
  <si>
    <t>Panel Width ft</t>
  </si>
  <si>
    <t>Panel Length ft</t>
  </si>
  <si>
    <t># of Dimples/Panel</t>
  </si>
  <si>
    <t>Total # of Dimples</t>
  </si>
  <si>
    <t>20" 150# RFSO</t>
  </si>
  <si>
    <t>20" 150# BLIND</t>
  </si>
  <si>
    <t>FROM 10'-7" TO 11'-0"</t>
  </si>
  <si>
    <t>FROM 127" TO 132"</t>
  </si>
  <si>
    <t>&gt;75' to 80'</t>
  </si>
  <si>
    <t>Bevel M/H</t>
  </si>
  <si>
    <t>24" 150# RFSO</t>
  </si>
  <si>
    <t>24" 150# BLIND</t>
  </si>
  <si>
    <t>FROM 11'-1" TO 11'-6"</t>
  </si>
  <si>
    <t>FROM 133" TO 138"</t>
  </si>
  <si>
    <t>Shell Rolling - Stainless</t>
  </si>
  <si>
    <t>Shell Rolling - Carbon</t>
  </si>
  <si>
    <t>Base Ring</t>
  </si>
  <si>
    <t>Shell Fit-Up &amp; Welding</t>
  </si>
  <si>
    <t>Total M/H</t>
  </si>
  <si>
    <t>30" 150# RFSO</t>
  </si>
  <si>
    <t>30" 150# BLIND</t>
  </si>
  <si>
    <t>FROM 11'-7" TO 12'-0"</t>
  </si>
  <si>
    <t>FROM 139" TO 144"</t>
  </si>
  <si>
    <t>5/16"</t>
  </si>
  <si>
    <t>3/8"</t>
  </si>
  <si>
    <t>1/2"</t>
  </si>
  <si>
    <t>3/4"</t>
  </si>
  <si>
    <t>1/2" +</t>
  </si>
  <si>
    <t>SUPPORT LUGS</t>
  </si>
  <si>
    <t>FROM 12'-1" TO 12'-6"</t>
  </si>
  <si>
    <t>FROM 145" TO 150"</t>
  </si>
  <si>
    <t># of Dimples Calculator (per panel) - 3x3</t>
  </si>
  <si>
    <t>CLASS 150# RAISED FACE WELD-NECK FLANGES</t>
  </si>
  <si>
    <t>FROM 12'-7" TO 13'-0"</t>
  </si>
  <si>
    <t>FROM 151" TO 156"</t>
  </si>
  <si>
    <t># of Rings Required</t>
  </si>
  <si>
    <t xml:space="preserve"># of Lugs </t>
  </si>
  <si>
    <t>Total M/H for Support Lugs</t>
  </si>
  <si>
    <t>Rings Required</t>
  </si>
  <si>
    <t>Hold Down Lugs</t>
  </si>
  <si>
    <t>FROM 13'-1" TO 13'-6"</t>
  </si>
  <si>
    <t xml:space="preserve">FROM 157" TO 162" </t>
  </si>
  <si>
    <t>1" 150# SCH 40 RFWN</t>
  </si>
  <si>
    <t>1" 150# SCH 80 RFWN</t>
  </si>
  <si>
    <t>FROM 13'-7" TO 14'-0"</t>
  </si>
  <si>
    <t>FROM 163" TO 168"</t>
  </si>
  <si>
    <t>Total M/H for Half Pipe Jacket on Head</t>
  </si>
  <si>
    <t>CLEANOUT BOTTOM</t>
  </si>
  <si>
    <t>1/4" X 10" X 36"</t>
  </si>
  <si>
    <t>1.5" 150# SCH 40 RFWN</t>
  </si>
  <si>
    <t>1.5" 150# SCH 80 RFWN</t>
  </si>
  <si>
    <t>FROM 14'-1" TO 14-6"</t>
  </si>
  <si>
    <t>FROM 169" TO 174"</t>
  </si>
  <si>
    <t>CLEANOUT TOP</t>
  </si>
  <si>
    <t>1/4" x 10" X 84"</t>
  </si>
  <si>
    <t>-</t>
  </si>
  <si>
    <t>2" 150# SCH 40 RFWN</t>
  </si>
  <si>
    <t>EASTERN</t>
  </si>
  <si>
    <t>2" 150# SCH 80 RFWN</t>
  </si>
  <si>
    <t>FROM 14'-7" TO 15'-0"</t>
  </si>
  <si>
    <t>FROM 175" to 180"</t>
  </si>
  <si>
    <t>CLEANOUT FLANGE</t>
  </si>
  <si>
    <t>5/8" X 30" X 42"            MF: (1) 48" X 96"</t>
  </si>
  <si>
    <t>3" 150# SCH 40 RFWN</t>
  </si>
  <si>
    <t>3" 150# SCH 80 RFWN</t>
  </si>
  <si>
    <t>FROM 15'-1" TO 15'-6"</t>
  </si>
  <si>
    <t>FROM 181" TO 186"</t>
  </si>
  <si>
    <t>CLEANOUT COVER</t>
  </si>
  <si>
    <t>5/8" X 30" X 42"            MF: DROP</t>
  </si>
  <si>
    <t>4" 150# SCH 40 RFWN</t>
  </si>
  <si>
    <t>4" 150# SCH 80 RFWN</t>
  </si>
  <si>
    <t>FROM 15'-7" TO 16'-0"</t>
  </si>
  <si>
    <t xml:space="preserve">FROM 187" TO 192" </t>
  </si>
  <si>
    <t>3.9</t>
  </si>
  <si>
    <t>TOTAL</t>
  </si>
  <si>
    <t>DAVIT ARM</t>
  </si>
  <si>
    <t>5" 150# SCH 40 RFWN</t>
  </si>
  <si>
    <t>5" 150# SCH 80 RFWN</t>
  </si>
  <si>
    <t>5.3</t>
  </si>
  <si>
    <t>BOLT, NUT, &amp; GSKT.</t>
  </si>
  <si>
    <t>SA193-B7/2H(PLTD.),GARLOCK 3000</t>
  </si>
  <si>
    <t>6" 150# SCH 40 RFWN</t>
  </si>
  <si>
    <t>6" 150# SCH 80 RFWN</t>
  </si>
  <si>
    <t>REPAD</t>
  </si>
  <si>
    <t>1/4" x 36" X 84"                MF: (1) 48" X 96"</t>
  </si>
  <si>
    <t>8" 150# SCH 40 RFWN</t>
  </si>
  <si>
    <t>8" 150# SCH 80 RFWN</t>
  </si>
  <si>
    <t>7.4</t>
  </si>
  <si>
    <t>10" 150# SCH 40 RFWN</t>
  </si>
  <si>
    <t>10" 150# SCH 80 RFWN</t>
  </si>
  <si>
    <t>12" 150# SCH 40 RFWN</t>
  </si>
  <si>
    <t>12" 150# SCH 80 RFWN</t>
  </si>
  <si>
    <t>7.5</t>
  </si>
  <si>
    <t>14" 150# SCH 40 RFWN</t>
  </si>
  <si>
    <t>14" 150# SCH 80 RFWN</t>
  </si>
  <si>
    <t>16" 150# SCH 40 RFWN</t>
  </si>
  <si>
    <t>16" 150# SCH 80 RFWN</t>
  </si>
  <si>
    <t>&gt;14' to 15'</t>
  </si>
  <si>
    <t>18" 150# SCH 40 RFWN</t>
  </si>
  <si>
    <t>18" 150# SCH 80 RFWN</t>
  </si>
  <si>
    <t>&gt;15' to 16'</t>
  </si>
  <si>
    <t>10</t>
  </si>
  <si>
    <t>20" 150# SCH 40 RFWN</t>
  </si>
  <si>
    <t>20" 150# SCH 80 RFWN</t>
  </si>
  <si>
    <t>12</t>
  </si>
  <si>
    <t>24" 150# SCH 40 RFWN</t>
  </si>
  <si>
    <t>24" 150# SCH 80 RFWN</t>
  </si>
  <si>
    <t>30" 150# SCH 40 RFWN</t>
  </si>
  <si>
    <t>30" 150# SCH 80 RFWN</t>
  </si>
  <si>
    <t>CARBON STEEL 300#</t>
  </si>
  <si>
    <t>304 SS 300#</t>
  </si>
  <si>
    <t>316 SS 300#</t>
  </si>
  <si>
    <t>ASME TANK</t>
  </si>
  <si>
    <t>CLASS 300# RAISED FACE SLIP-ON FLANGES</t>
  </si>
  <si>
    <t>CLASS 300# RAISED FACE BLIND FLANGES</t>
  </si>
  <si>
    <t>INSULATION RINGS</t>
  </si>
  <si>
    <t>VACUUM RINGS</t>
  </si>
  <si>
    <t>INTERNAL SUPPORT/TRAY RINGS</t>
  </si>
  <si>
    <t>TOP HEAD</t>
  </si>
  <si>
    <t>ASME F&amp;D " OD, .3133" MIN W/ 2" SF</t>
  </si>
  <si>
    <t>SA516-70</t>
  </si>
  <si>
    <t>1" 300# RFSO</t>
  </si>
  <si>
    <t>1" 300# BLIND</t>
  </si>
  <si>
    <t>HM CRAIG</t>
  </si>
  <si>
    <t xml:space="preserve">5/16" X " X " </t>
  </si>
  <si>
    <t>1.5" 300# RFSO</t>
  </si>
  <si>
    <t>1.5" 300# BLIND</t>
  </si>
  <si>
    <t>Insulation Ring</t>
  </si>
  <si>
    <t>M/H per ring</t>
  </si>
  <si>
    <t>Ring Thickness</t>
  </si>
  <si>
    <t>Total M/H per Vacuum Ring</t>
  </si>
  <si>
    <t>Total M/H per Support/Tray Ring</t>
  </si>
  <si>
    <t>5/16" X " X "</t>
  </si>
  <si>
    <t>2" 300# RFSO</t>
  </si>
  <si>
    <t>2" 300# BLIND</t>
  </si>
  <si>
    <t>269"</t>
  </si>
  <si>
    <t>3" 300# RFSO</t>
  </si>
  <si>
    <t>3" 300# BLIND</t>
  </si>
  <si>
    <t>287"</t>
  </si>
  <si>
    <t>6.3</t>
  </si>
  <si>
    <t>4" 300# RFSO</t>
  </si>
  <si>
    <t>4" 300# BLIND</t>
  </si>
  <si>
    <t>306"</t>
  </si>
  <si>
    <t>7.7</t>
  </si>
  <si>
    <t>BOTTOM HEAD</t>
  </si>
  <si>
    <t>2:1 ELLIPTICAL " OD, .4162" MIN W/ 2" SF</t>
  </si>
  <si>
    <t>5" 300# RFSO</t>
  </si>
  <si>
    <t>5" 300# BLIND</t>
  </si>
  <si>
    <t>325"</t>
  </si>
  <si>
    <t>9.5</t>
  </si>
  <si>
    <t>6" 300# RFSO</t>
  </si>
  <si>
    <t>6" 300# BLIND</t>
  </si>
  <si>
    <t>173"</t>
  </si>
  <si>
    <t>8.5</t>
  </si>
  <si>
    <t>8" 300# RFSO</t>
  </si>
  <si>
    <t>8" 300# BLIND</t>
  </si>
  <si>
    <t>183"</t>
  </si>
  <si>
    <t>10" 300# RFSO</t>
  </si>
  <si>
    <t>10" 300# BLIND</t>
  </si>
  <si>
    <t>192"</t>
  </si>
  <si>
    <t>ANGLE LEGS</t>
  </si>
  <si>
    <t xml:space="preserve">1/4" X 2" X 2" </t>
  </si>
  <si>
    <t>12" 300# RFSO</t>
  </si>
  <si>
    <t>12" 300# BLIND</t>
  </si>
  <si>
    <t>201"</t>
  </si>
  <si>
    <t>12.5</t>
  </si>
  <si>
    <t>BEAM LEGS</t>
  </si>
  <si>
    <t xml:space="preserve">W10 X 33 X " </t>
  </si>
  <si>
    <t>14" 300# RFSO</t>
  </si>
  <si>
    <t>14" 300# BLIND</t>
  </si>
  <si>
    <t>211"</t>
  </si>
  <si>
    <t>13</t>
  </si>
  <si>
    <t>PIPE LEGS</t>
  </si>
  <si>
    <t xml:space="preserve">6" SCH 40 X " </t>
  </si>
  <si>
    <t>16" 300# RFSO</t>
  </si>
  <si>
    <t>16" 300# BLIND</t>
  </si>
  <si>
    <t>220"</t>
  </si>
  <si>
    <t>16</t>
  </si>
  <si>
    <t>BASE PLATES</t>
  </si>
  <si>
    <t xml:space="preserve">1/2" X 6" X 6" </t>
  </si>
  <si>
    <t>18" 300# RFSO</t>
  </si>
  <si>
    <t>18" 300# BLIND</t>
  </si>
  <si>
    <t>20" 300# RFSO</t>
  </si>
  <si>
    <t>20" 300# BLIND</t>
  </si>
  <si>
    <t>24" 300# RFSO</t>
  </si>
  <si>
    <t>24" 300# BLIND</t>
  </si>
  <si>
    <t>248"</t>
  </si>
  <si>
    <t>30" 300# RFSO</t>
  </si>
  <si>
    <t>30" 300# BLIND</t>
  </si>
  <si>
    <t>258"</t>
  </si>
  <si>
    <t>267"</t>
  </si>
  <si>
    <t>CLASS 300# RAISED FACE WELD-NECK FLANGES</t>
  </si>
  <si>
    <t>277"</t>
  </si>
  <si>
    <t>5/8"</t>
  </si>
  <si>
    <t>286"</t>
  </si>
  <si>
    <t>1" 300# SCH 40 RFWN</t>
  </si>
  <si>
    <t>1" 300# SCH 80 RFWN</t>
  </si>
  <si>
    <t>1" 300# RFWN</t>
  </si>
  <si>
    <t>296"</t>
  </si>
  <si>
    <t>1.5" 300# SCH 40 RFWN</t>
  </si>
  <si>
    <t>1.5" 300# SCH 80 RFWN</t>
  </si>
  <si>
    <t>1.5" 300# RFWN</t>
  </si>
  <si>
    <t>305"</t>
  </si>
  <si>
    <t>2" 300# SCH 40 RFWN</t>
  </si>
  <si>
    <t>2" 300# SCH 80 RFWN</t>
  </si>
  <si>
    <t>2" 300# RFWN</t>
  </si>
  <si>
    <t>3" 300# SCH 40 RFWN</t>
  </si>
  <si>
    <t>3" 300# SCH 80 RFWN</t>
  </si>
  <si>
    <t>3" 300# RFWN</t>
  </si>
  <si>
    <t>4.2</t>
  </si>
  <si>
    <t>4" 300# SCH 40 RFWN</t>
  </si>
  <si>
    <t>4" 300# SCH 80 RFWN</t>
  </si>
  <si>
    <t>4" 300# RFWN</t>
  </si>
  <si>
    <t>5" 300# SCH 40 RFWN</t>
  </si>
  <si>
    <t>5" 300# SCH 80 RFWN</t>
  </si>
  <si>
    <t>5" 300# RFWN</t>
  </si>
  <si>
    <t>6" 300# SCH 40 RFWN</t>
  </si>
  <si>
    <t>6" 300# SCH 80 RFWN</t>
  </si>
  <si>
    <t>6" 300# RFWN</t>
  </si>
  <si>
    <t>9.1</t>
  </si>
  <si>
    <t>8" 300# SCH 40 RFWN</t>
  </si>
  <si>
    <t>8" 300# SCH 80 RFWN</t>
  </si>
  <si>
    <t>8" 300# RFWN</t>
  </si>
  <si>
    <t>10.9</t>
  </si>
  <si>
    <t>10" 300# SCH 40 RFWN</t>
  </si>
  <si>
    <t>10" 300# SCH 80 RFWN</t>
  </si>
  <si>
    <t>10" 300# RFWN</t>
  </si>
  <si>
    <t>12" 300# SCH 40 RFWN</t>
  </si>
  <si>
    <t>12" 300# SCH 80 RFWN</t>
  </si>
  <si>
    <t>12" 300# RFWN</t>
  </si>
  <si>
    <t>14" 300# SCH 40 RFWN</t>
  </si>
  <si>
    <t>14" 300# SCH 80 RFWN</t>
  </si>
  <si>
    <t>14" 300# RFWN</t>
  </si>
  <si>
    <t>16" 300# SCH 40 RFWN</t>
  </si>
  <si>
    <t>16" 300# SCH 80 RFWN</t>
  </si>
  <si>
    <t>16" 300# RFWN</t>
  </si>
  <si>
    <t>15</t>
  </si>
  <si>
    <t>18" 300# SCH 40 RFWN</t>
  </si>
  <si>
    <t>18" 300# SCH 80 RFWN</t>
  </si>
  <si>
    <t>18" 300# RFWN</t>
  </si>
  <si>
    <t>20" 300# SCH 40 RFWN</t>
  </si>
  <si>
    <t>20" 300# SCH 80 RFWN</t>
  </si>
  <si>
    <t>20" 300# RFWN</t>
  </si>
  <si>
    <t>18</t>
  </si>
  <si>
    <t>24" 300# SCH 40 RFWN</t>
  </si>
  <si>
    <t>24" 300# SCH 80 RFWN</t>
  </si>
  <si>
    <t>24" 300# RFWN</t>
  </si>
  <si>
    <t>30" 300# SCH 40 RFWN</t>
  </si>
  <si>
    <t>30" 300# SCH 80 RFWN</t>
  </si>
  <si>
    <t>30" 300# RFWN</t>
  </si>
  <si>
    <t>Tank Assembly - API Tops, Bottoms, and Rim Angles</t>
  </si>
  <si>
    <t>CARBON STEEL WELDED PIPE</t>
  </si>
  <si>
    <t>304 SS WELDED PIPE</t>
  </si>
  <si>
    <t>316 SS WELDED PIPE</t>
  </si>
  <si>
    <t>FLAT / SLOPED BOTTOM</t>
  </si>
  <si>
    <t>FLAT / CONE TOP ON RIM ANGLE</t>
  </si>
  <si>
    <t>SCHEDULE 40 WELDED PIPE</t>
  </si>
  <si>
    <t>SCHEDULE 80 WELDED PIPE</t>
  </si>
  <si>
    <t>CUT</t>
  </si>
  <si>
    <t>MAKE</t>
  </si>
  <si>
    <t>FIT</t>
  </si>
  <si>
    <t>WELD</t>
  </si>
  <si>
    <t>FLAT</t>
  </si>
  <si>
    <t>CONE</t>
  </si>
  <si>
    <t>PIPE</t>
  </si>
  <si>
    <t>1" SCH 40 X 1'</t>
  </si>
  <si>
    <t>SA53-B WLD</t>
  </si>
  <si>
    <t>1" SCH 80 X 1'</t>
  </si>
  <si>
    <t>SA312-304/304L WLD</t>
  </si>
  <si>
    <t>SA312-316/316L WLD</t>
  </si>
  <si>
    <t>BTM</t>
  </si>
  <si>
    <t>RIM</t>
  </si>
  <si>
    <t>TOP</t>
  </si>
  <si>
    <t>TO RIM</t>
  </si>
  <si>
    <t>FLAT TOP / CONE BOTTOM TANK</t>
  </si>
  <si>
    <t>1.5" SCH 40 X 1'</t>
  </si>
  <si>
    <t>1.5" SCH 80 X 1'</t>
  </si>
  <si>
    <t>2" SCH 40 X 1'</t>
  </si>
  <si>
    <t>2" SCH 80 X 1'</t>
  </si>
  <si>
    <t>4.6</t>
  </si>
  <si>
    <t>FLAT TOP</t>
  </si>
  <si>
    <t>3" SCH 40 X 1'</t>
  </si>
  <si>
    <t>3" SCH 80 X 1'</t>
  </si>
  <si>
    <t>ROOF STIFFERNERS</t>
  </si>
  <si>
    <t>C6 X 5.4 X 20'</t>
  </si>
  <si>
    <t>4" SCH 40 X 1'</t>
  </si>
  <si>
    <t>4" SCH 80 X 1'</t>
  </si>
  <si>
    <t>FROM 3'-10" TO 5'-10"</t>
  </si>
  <si>
    <t>FROM 46" TO 70"</t>
  </si>
  <si>
    <t>5" SCH 40 X 1'</t>
  </si>
  <si>
    <t>5" SCH 80 X 1'</t>
  </si>
  <si>
    <t>FROM 5-11" TO 7'-0"</t>
  </si>
  <si>
    <t>FROM 71" TO 84"</t>
  </si>
  <si>
    <t>9.8</t>
  </si>
  <si>
    <t>6" SCH 40 X 1'</t>
  </si>
  <si>
    <t>6" SCH 80 X 1'</t>
  </si>
  <si>
    <t>11.2</t>
  </si>
  <si>
    <t>8" SCH 40 X 1'</t>
  </si>
  <si>
    <t>8" SCH 80 X 1'</t>
  </si>
  <si>
    <t>CONE BOTTOM</t>
  </si>
  <si>
    <t>10" SCH 40 X 1'</t>
  </si>
  <si>
    <t>10" SCH 80 X 1'</t>
  </si>
  <si>
    <t>12" SCH 40 X 1'</t>
  </si>
  <si>
    <t>12" SCH 80 X 1'</t>
  </si>
  <si>
    <t>14</t>
  </si>
  <si>
    <t>14" NOZZLE NECK</t>
  </si>
  <si>
    <t>1/4" X 12" X 44"</t>
  </si>
  <si>
    <t>MAKE FROM ROLLED PLATE</t>
  </si>
  <si>
    <t>3/8" X 12" X 44"</t>
  </si>
  <si>
    <t>16" NOZZLE NECK</t>
  </si>
  <si>
    <t>1/4" X 12" X 51"</t>
  </si>
  <si>
    <t>3/8" X 12" X 51"</t>
  </si>
  <si>
    <t>17</t>
  </si>
  <si>
    <t>18" NOZZLE NECK</t>
  </si>
  <si>
    <t>1/4" X 12" X 57"</t>
  </si>
  <si>
    <t>3/8" X 12" X 57"</t>
  </si>
  <si>
    <t>19</t>
  </si>
  <si>
    <t>20" NOZZLE NECK</t>
  </si>
  <si>
    <t>1/4" X 12" X 63"</t>
  </si>
  <si>
    <t>3/8" X 12" X 63"</t>
  </si>
  <si>
    <t>24" NOZZLE NECK</t>
  </si>
  <si>
    <t>1/4" X 12" X 76"</t>
  </si>
  <si>
    <t>3/8" X 12" X 76"</t>
  </si>
  <si>
    <t>30" NOZZLE NECK</t>
  </si>
  <si>
    <t>1/4" X 12" X 95"</t>
  </si>
  <si>
    <t>3/8" X 12" X 95"</t>
  </si>
  <si>
    <t>Tank Assembly - Heads and Shells</t>
  </si>
  <si>
    <t>Hours  / Welded Seam</t>
  </si>
  <si>
    <t xml:space="preserve"> SHELLS 3/16" - 5/16"</t>
  </si>
  <si>
    <t xml:space="preserve"> SHELLS 3/8"</t>
  </si>
  <si>
    <t xml:space="preserve"> SHELLS 1/2" </t>
  </si>
  <si>
    <t xml:space="preserve"> SHELLS 5/8"</t>
  </si>
  <si>
    <t xml:space="preserve"> SHELLS 3/4" </t>
  </si>
  <si>
    <t>FIT +</t>
  </si>
  <si>
    <t>TACK</t>
  </si>
  <si>
    <t>IN</t>
  </si>
  <si>
    <t>OUT</t>
  </si>
  <si>
    <t>CARBON STEEL SEAMLESS PIPE</t>
  </si>
  <si>
    <t>304 SS SEAMLESS PIPE</t>
  </si>
  <si>
    <t>316 SS SEAMLESS PIPE</t>
  </si>
  <si>
    <t>SCHEDULE 40 SEAMLESS PIPE</t>
  </si>
  <si>
    <t>SCHEDULE 80 SEAMLESS PIPE</t>
  </si>
  <si>
    <t>SA106-B SMLS</t>
  </si>
  <si>
    <t>SA312-304/304L SMLS</t>
  </si>
  <si>
    <t>SA312-316/316L SMLS</t>
  </si>
  <si>
    <t>FIELD TANK</t>
  </si>
  <si>
    <t>RJ SALES</t>
  </si>
  <si>
    <t>Shipped in () Pie-cut sections</t>
  </si>
  <si>
    <t>1/4" X 2" X 2" X "                         () 20' Angle</t>
  </si>
  <si>
    <t>Shipped in () pre-rolled segments</t>
  </si>
  <si>
    <t>14" SCH 40 X 1'</t>
  </si>
  <si>
    <t>14" SCH 80 X 1'</t>
  </si>
  <si>
    <t>3/16" X " X "</t>
  </si>
  <si>
    <t>16" SCH 40 X 1'</t>
  </si>
  <si>
    <t>16" SCH 80 X 1'</t>
  </si>
  <si>
    <t>18" SCH 40 X 1'</t>
  </si>
  <si>
    <t>18" SCH 80 X 1'</t>
  </si>
  <si>
    <t>20" SCH 40 X 1'</t>
  </si>
  <si>
    <t>20" SCH 80 X 1'</t>
  </si>
  <si>
    <t>24" SCH 40 X 1'</t>
  </si>
  <si>
    <t>24" SCH 80 X 1'</t>
  </si>
  <si>
    <t>Shipped in () pre-formed segments</t>
  </si>
  <si>
    <t>30" SCH 40 X 1'</t>
  </si>
  <si>
    <t>30" SCH 80 X 1'</t>
  </si>
  <si>
    <t>Shipped in () segments</t>
  </si>
  <si>
    <t>(1) 1" X 8" X 13"</t>
  </si>
  <si>
    <t xml:space="preserve">(2) 1" X 8" X 12" </t>
  </si>
  <si>
    <t>Leg Size</t>
  </si>
  <si>
    <t># of Legs</t>
  </si>
  <si>
    <t>Poison Pad req'd?</t>
  </si>
  <si>
    <t>Bracing req'd?</t>
  </si>
  <si>
    <t>Gusseting req'd?</t>
  </si>
  <si>
    <t>Total M/H for Legs</t>
  </si>
  <si>
    <t>M/H per Leg</t>
  </si>
  <si>
    <t>Poison Pad</t>
  </si>
  <si>
    <t>Bracing</t>
  </si>
  <si>
    <t>2" x 2"</t>
  </si>
  <si>
    <t>3" x 3"</t>
  </si>
  <si>
    <t>&gt;3' to 6'</t>
  </si>
  <si>
    <t>4" x 4"</t>
  </si>
  <si>
    <t>&gt;6' to 8'</t>
  </si>
  <si>
    <t>6" x 6"</t>
  </si>
  <si>
    <t>Side Mount or Undercut?</t>
  </si>
  <si>
    <t>Poison Pad Req'd?</t>
  </si>
  <si>
    <t>Side Mount/Undercut</t>
  </si>
  <si>
    <t>Up to 6'</t>
  </si>
  <si>
    <t>4" WF</t>
  </si>
  <si>
    <t>2" Pipe</t>
  </si>
  <si>
    <t>6" WF</t>
  </si>
  <si>
    <t>3" Pipe</t>
  </si>
  <si>
    <t>CARBON STEEL MISC.</t>
  </si>
  <si>
    <t>304 SS MISC.</t>
  </si>
  <si>
    <t>316 SS MISC.</t>
  </si>
  <si>
    <t>&gt;8' to 10'</t>
  </si>
  <si>
    <t>8" WF</t>
  </si>
  <si>
    <t>4" Pipe</t>
  </si>
  <si>
    <t>SCHEDULE 40 ELBOWS</t>
  </si>
  <si>
    <t xml:space="preserve">THREADED COUPLINGS </t>
  </si>
  <si>
    <t>THREADED COUPLINGS</t>
  </si>
  <si>
    <t>&gt;10' to 12'</t>
  </si>
  <si>
    <t>10" WF</t>
  </si>
  <si>
    <t>6" Pipe</t>
  </si>
  <si>
    <t>ELBOW</t>
  </si>
  <si>
    <t>1" SCH 40 LR 90 ELBOW</t>
  </si>
  <si>
    <t>SA234WPW B16.9</t>
  </si>
  <si>
    <t>COUPLING</t>
  </si>
  <si>
    <t>SA403-304/304L B16.9</t>
  </si>
  <si>
    <t>SA403-316/316L B16.9</t>
  </si>
  <si>
    <t>H.M. CRAIG</t>
  </si>
  <si>
    <t>&gt;12'</t>
  </si>
  <si>
    <t>12" WF</t>
  </si>
  <si>
    <t>8" Pipe</t>
  </si>
  <si>
    <t>1.5" SCH 40 LR 90 ELBOW</t>
  </si>
  <si>
    <t xml:space="preserve">Southern </t>
  </si>
  <si>
    <t>10" Pipe</t>
  </si>
  <si>
    <t>2" SCH 40 LR 90 ELBOW</t>
  </si>
  <si>
    <t>Ferguson</t>
  </si>
  <si>
    <t>&gt;12' to 14'</t>
  </si>
  <si>
    <t>12" Pipe</t>
  </si>
  <si>
    <t>3" SCH 40 LR 90 ELBOW</t>
  </si>
  <si>
    <t>R. J. Sales</t>
  </si>
  <si>
    <t xml:space="preserve">&gt;14' </t>
  </si>
  <si>
    <t>14" Pipe</t>
  </si>
  <si>
    <t>5" SCH 40 LR 90 ELBOW</t>
  </si>
  <si>
    <t>HORIZONTAL TANK</t>
  </si>
  <si>
    <t>R.J. Sales</t>
  </si>
  <si>
    <t>14" SCH 40 LR 90 ELBOW</t>
  </si>
  <si>
    <t>PRICE AS NEEED</t>
  </si>
  <si>
    <t>LEFT &amp; RIGHT HEAD</t>
  </si>
  <si>
    <t>16" SCH 40 LR 90 ELBOW</t>
  </si>
  <si>
    <t>18" SCH 40 LR 90 ELBOW</t>
  </si>
  <si>
    <t>20" SCH 40 LR 90 ELBOW</t>
  </si>
  <si>
    <t>24" SCH 40 LR 90 ELBOW</t>
  </si>
  <si>
    <t>30" SCH 40 LR 90 ELBOW</t>
  </si>
  <si>
    <t xml:space="preserve">MANWAYS </t>
  </si>
  <si>
    <t>SADDLE WEB</t>
  </si>
  <si>
    <t xml:space="preserve">1/2" X 60" X 84" </t>
  </si>
  <si>
    <t>20" MW NECK</t>
  </si>
  <si>
    <t>SADDLE STIFFENERS</t>
  </si>
  <si>
    <t>1/2" X 8" X 60"</t>
  </si>
  <si>
    <t>20" MW  FLANGE</t>
  </si>
  <si>
    <t xml:space="preserve">5/8" </t>
  </si>
  <si>
    <t>1/2" 150# PAD</t>
  </si>
  <si>
    <t>SADDLE BASE PLATE</t>
  </si>
  <si>
    <t xml:space="preserve">5/8" X 9" X 84 </t>
  </si>
  <si>
    <t>20" MW COVER</t>
  </si>
  <si>
    <t>1" 150# PAD FLANGE</t>
  </si>
  <si>
    <t>1" 150# PAD</t>
  </si>
  <si>
    <t>1.5" 150# PAD FLANGE</t>
  </si>
  <si>
    <t>1.5" 150# PAD</t>
  </si>
  <si>
    <t>2" 150# PAD FLANGE</t>
  </si>
  <si>
    <t>2" 150# PAD</t>
  </si>
  <si>
    <t>3" 150# PAD FLANGE</t>
  </si>
  <si>
    <t>3" 150# PAD</t>
  </si>
  <si>
    <t>24" MW NECK</t>
  </si>
  <si>
    <t>4" 150# PAD FLANGE</t>
  </si>
  <si>
    <t>6" 150# PAD</t>
  </si>
  <si>
    <t>24" MW  FLANGE</t>
  </si>
  <si>
    <t>6" 150# PAD FLANGE</t>
  </si>
  <si>
    <t>24" MW COVER</t>
  </si>
  <si>
    <t>30" MW NECK</t>
  </si>
  <si>
    <t>30" MW  FLANGE</t>
  </si>
  <si>
    <t>30" MW COVER</t>
  </si>
  <si>
    <t>ITEMS IN RED NEED TO HAVE SIZE VERIFIED OR DIMENSIONS INPUT</t>
  </si>
  <si>
    <t>INTERNAL COILS</t>
  </si>
  <si>
    <t>MISC. MANWAYS</t>
  </si>
  <si>
    <t>INTERNAL COIL</t>
  </si>
  <si>
    <t>3" SCH 40 X 20'  MF: (6) 20'</t>
  </si>
  <si>
    <t>24" MANWAY</t>
  </si>
  <si>
    <t>CHASE ASSOCIATES</t>
  </si>
  <si>
    <t>CM-2</t>
  </si>
  <si>
    <t>LADDER, HANDRAIL, &amp; PLATFORM</t>
  </si>
  <si>
    <t>3" SCH 40 ELBOW LR 90</t>
  </si>
  <si>
    <t>30" MANWAY</t>
  </si>
  <si>
    <t>CM-12</t>
  </si>
  <si>
    <t>COIL SUPPORTS</t>
  </si>
  <si>
    <t xml:space="preserve">1/4" X 4" X 10" FORMED FB </t>
  </si>
  <si>
    <t>36" MANWAY</t>
  </si>
  <si>
    <t>HANDRAIL TANK CLIPS</t>
  </si>
  <si>
    <t>ANGLE, 1/4" X 2" X 2" X 6 9/16"    MF" (1) 20'</t>
  </si>
  <si>
    <t>SA479-304/304L</t>
  </si>
  <si>
    <t>1/4" X 10" X 110" FORMED ANGLE</t>
  </si>
  <si>
    <t xml:space="preserve">HANDRAIL </t>
  </si>
  <si>
    <t>1.5" SCH40 HANDRAIL W/TOEKICK X '</t>
  </si>
  <si>
    <t>GCST</t>
  </si>
  <si>
    <t>COIL SUPPORT ROD</t>
  </si>
  <si>
    <t>1/2" X 1' ROD     MF: (1) 12'</t>
  </si>
  <si>
    <t>ELLIPTICAL MANWAY</t>
  </si>
  <si>
    <t>12" X 16" X 3/4" X 4" BOLT &amp; YOLK MANWAY 600 PSI @ 650 DEGREE F. W/ STANDARD GASKET</t>
  </si>
  <si>
    <t>SAFETY GATE</t>
  </si>
  <si>
    <t>SERPENTINE COIL</t>
  </si>
  <si>
    <t>NUT, BOLT, GASKET</t>
  </si>
  <si>
    <t xml:space="preserve"> LADDER</t>
  </si>
  <si>
    <t>LADDER FALL PROTECTION</t>
  </si>
  <si>
    <t>CABLE LIFELINE SYSTEM (GRAINGER) 30'</t>
  </si>
  <si>
    <t>#487R49</t>
  </si>
  <si>
    <t>INTERNAL PIPE COIL</t>
  </si>
  <si>
    <t>2" SCH40 X 60'   MF: (3) 20'</t>
  </si>
  <si>
    <t>SA193-B7/2H(PLTD.),PTFE/VITON</t>
  </si>
  <si>
    <t>2" SCH40 LONG BEND ELBOW 6"R</t>
  </si>
  <si>
    <t>PLATFORM</t>
  </si>
  <si>
    <t>C6 X 8.2# X 20'</t>
  </si>
  <si>
    <t>2" SCH40 LR ELBOW</t>
  </si>
  <si>
    <t xml:space="preserve">1-1/4" X 3/16" X 36" X 240" HOT ROLLED BAR GRATING (SERRATED, UNCOATED)  </t>
  </si>
  <si>
    <t>COIL SUPPORT ANGLE</t>
  </si>
  <si>
    <t>1/4" X 6" X 2" FORMED ANGLE</t>
  </si>
  <si>
    <t>SPARE MW GASKETS</t>
  </si>
  <si>
    <t>24" 316L INNER SPIRAL WOUND WITH PTFE FILLER 304L OUTER</t>
  </si>
  <si>
    <t>CLASS 150# B16.20</t>
  </si>
  <si>
    <t>U-BOLTS</t>
  </si>
  <si>
    <t xml:space="preserve">5/16" RND.  X 1' </t>
  </si>
  <si>
    <t>SPARE 3" GASKETS</t>
  </si>
  <si>
    <t>3" 316L INNER SPIRAL WOUND WITH PTFE FILLER 304L OUTER</t>
  </si>
  <si>
    <t>DIMPLE JACKETS &amp; HALF-PIPE JACKETS</t>
  </si>
  <si>
    <t>SPARE 6" GASKETS</t>
  </si>
  <si>
    <t>6" 316L INNER SPIRAL WOUND WITH PTFE FILLER 304L OUTER</t>
  </si>
  <si>
    <t>DIMPLE JACKET SHELL - 96" ID X 1/4" THICK</t>
  </si>
  <si>
    <t>14 GA. X 3" SPACE X 0.5" HOLE, 190" TALL, WITH 1.5" GAP AFTER WRAP AROUND</t>
  </si>
  <si>
    <t>MISC. ITEMS</t>
  </si>
  <si>
    <t>DIMPLE JACKET BOTTOM CONE - 96" ID TOP TO 2.375" ID X 1/4" THICK</t>
  </si>
  <si>
    <t>14 GA. X 3" SPACE X 0.5" HOLE, 46" TALL, WITH 1.5" GAP AFTER WRAP AROUND</t>
  </si>
  <si>
    <t>LEVEL TRANSMITTER MOUNTING FLANGE</t>
  </si>
  <si>
    <t xml:space="preserve">7 1/2" X 1 1/2" </t>
  </si>
  <si>
    <t>TOP ZONE SHELL HALF PIPE COIL</t>
  </si>
  <si>
    <t>3" SCH10; 4 1/2" PITCH (14) TURNS FOR 109" OD SHELL</t>
  </si>
  <si>
    <t>BOTTOM ZONE SHELL HALF PIPE COIL</t>
  </si>
  <si>
    <t>3" SCH10; 5 1/2" PITCH (3) TURNS FOR 109" OD SHELL</t>
  </si>
  <si>
    <t>BOTTOM HEAD HALF PIPE COIL</t>
  </si>
  <si>
    <t>3" SCH40; 5 1/2" PITCH FOR 108" ID ASME F&amp;D 3/4" NOM. HEAD</t>
  </si>
  <si>
    <t>Tank Handrails $18 / ft.</t>
  </si>
  <si>
    <t>Ladder (Caged) $25 / ft.</t>
  </si>
  <si>
    <t>Ladder (No-Cage) $20 / ft.</t>
  </si>
  <si>
    <t>Dye-Pen Testing Min $75 &amp; 4 M/H</t>
  </si>
  <si>
    <t>Sub-Arc Welding: 14"/minute - 840"/hour "Figured welding in the flat"</t>
  </si>
  <si>
    <t xml:space="preserve">Hand Welding: 8"/minute - 480"/hour "Figured welding in the flat" </t>
  </si>
  <si>
    <t>Tanks over 14' Dia must have 1/4"  minimum wall thickness</t>
  </si>
  <si>
    <t>Galvanizing cost is $0.67 per lbs.</t>
  </si>
  <si>
    <t xml:space="preserve">Grillage       3MH per </t>
  </si>
  <si>
    <t>Link to 2205 DUPLEX SS</t>
  </si>
  <si>
    <t>Notes!AC1:BB42</t>
  </si>
  <si>
    <t>Link to C276</t>
  </si>
  <si>
    <t>Notes!BD1:CJ2</t>
  </si>
  <si>
    <t>QUANTITY</t>
  </si>
  <si>
    <t>MATERIAL</t>
  </si>
  <si>
    <t>THICKNESS</t>
  </si>
  <si>
    <t>WIDTH</t>
  </si>
  <si>
    <t>LENGTH</t>
  </si>
  <si>
    <t>WEIGHT</t>
  </si>
  <si>
    <t>PRICE</t>
  </si>
  <si>
    <t>7/8"</t>
  </si>
  <si>
    <t>3/16"</t>
  </si>
  <si>
    <t>1/4"</t>
  </si>
  <si>
    <t>7/8</t>
  </si>
  <si>
    <t>1</t>
  </si>
  <si>
    <t xml:space="preserve">1" </t>
  </si>
  <si>
    <t>516-70</t>
  </si>
  <si>
    <t>304/L</t>
  </si>
  <si>
    <t>316/L</t>
  </si>
  <si>
    <t>PLATE PRICE PER POUND</t>
  </si>
  <si>
    <t>STANDARD PLATE SIZE 48" OR 60"</t>
  </si>
  <si>
    <t>96" wide</t>
  </si>
  <si>
    <t>RYERSON</t>
  </si>
  <si>
    <t>CHATHAM</t>
  </si>
  <si>
    <t>PLATE SIZE 72"</t>
  </si>
  <si>
    <t>120" wide</t>
  </si>
  <si>
    <t>304/L Angle &amp; Such</t>
  </si>
  <si>
    <t>316/L Angle &amp; Such</t>
  </si>
  <si>
    <t>304L ANGLE</t>
  </si>
  <si>
    <t>316L ANGLE</t>
  </si>
  <si>
    <t>316L FLAT BAR</t>
  </si>
  <si>
    <t xml:space="preserve">1/4" X " X 12' </t>
  </si>
  <si>
    <t>3/8" X 6" X 6" X 20'</t>
  </si>
  <si>
    <t>1/2" X 3" X 3" X 20'</t>
  </si>
  <si>
    <t>1/2" X 3.5" X 3.5" X 20'</t>
  </si>
  <si>
    <t>1/2" RND X 12'</t>
  </si>
  <si>
    <t>316L SOLID RND</t>
  </si>
  <si>
    <t>5/8" X 4" X 4" X 20'</t>
  </si>
  <si>
    <t>5/8" X 6" X 6" X 20'</t>
  </si>
  <si>
    <t>3/8" X 4" Square</t>
  </si>
  <si>
    <t>3/4" X 6" X 6" X 20</t>
  </si>
  <si>
    <t>1/4" X 3" Square</t>
  </si>
  <si>
    <t>1" X 6" X 6" X 20</t>
  </si>
  <si>
    <t>3/8" X 6" Square</t>
  </si>
  <si>
    <t>3/8" X 5" Square</t>
  </si>
  <si>
    <t>304/L Flat &amp; Channel</t>
  </si>
  <si>
    <t>3/16" X 2" X 12'</t>
  </si>
  <si>
    <t>304L FLAT BAR</t>
  </si>
  <si>
    <t>1/4" X 2" X 12'</t>
  </si>
  <si>
    <t>3/16" 96" WIDE</t>
  </si>
  <si>
    <t>1/4" X 3" X 12'</t>
  </si>
  <si>
    <t>3/16" 120" WIDE</t>
  </si>
  <si>
    <t xml:space="preserve">1/4" X 4" X 12' </t>
  </si>
  <si>
    <t>1/4" 96" wide</t>
  </si>
  <si>
    <t>1/4" 120" wide</t>
  </si>
  <si>
    <t>3/8" X 2" X 12'</t>
  </si>
  <si>
    <t>CST Angle &amp; Such</t>
  </si>
  <si>
    <t>SA36 ANGLE</t>
  </si>
  <si>
    <t>C6 X 8.2 X 20'</t>
  </si>
  <si>
    <t>304l CHANNEL</t>
  </si>
  <si>
    <t>W8 X 40 X 30'</t>
  </si>
  <si>
    <t>5/16" RND X 12'</t>
  </si>
  <si>
    <t>304L SOLID RND</t>
  </si>
  <si>
    <t>5/8" round</t>
  </si>
  <si>
    <t>3/8" X 4" X 4" x 20'</t>
  </si>
  <si>
    <t xml:space="preserve">5/16" X 5" X 5" X 20' </t>
  </si>
  <si>
    <t xml:space="preserve">1/2" X 4" X 4" X 20' </t>
  </si>
  <si>
    <t>1/2" X 5" X 5" X 20'</t>
  </si>
  <si>
    <t>1/2" X 6" X 6" X 20'</t>
  </si>
  <si>
    <t>5/8" X 8" X 8" X 20'</t>
  </si>
  <si>
    <t>3/4" X 8" X 8" X 20'</t>
  </si>
  <si>
    <t xml:space="preserve">1" X 6" X 6" X 20' </t>
  </si>
  <si>
    <t>W4 X 13 X 20'</t>
  </si>
  <si>
    <t>W6 X 15 X 20'</t>
  </si>
  <si>
    <t>W6 X 20 X 25'</t>
  </si>
  <si>
    <t>SA992</t>
  </si>
  <si>
    <t>W8 X 15 X 20'</t>
  </si>
  <si>
    <t>W8 X 35 X 30'</t>
  </si>
  <si>
    <t>W10 X 12 X 30'</t>
  </si>
  <si>
    <t>W10 X 54 X 20'</t>
  </si>
  <si>
    <t>W12 X 65 X 35'</t>
  </si>
  <si>
    <t>W14 X 90 X 40'</t>
  </si>
  <si>
    <t>W18 X 106 X 30'</t>
  </si>
  <si>
    <t xml:space="preserve">1/4" X 2" X 20' </t>
  </si>
  <si>
    <t>SA36 FLATBAR</t>
  </si>
  <si>
    <t>C3 X 6 X 20'</t>
  </si>
  <si>
    <t>C4 X 5.4 X 20'</t>
  </si>
  <si>
    <t>5/16" X 20'         ROUND BAR</t>
  </si>
  <si>
    <t>1/2" X 20'         ROUND BAR</t>
  </si>
  <si>
    <t>3/16" X 2" X 2"</t>
  </si>
  <si>
    <t>1/4" X 3" X 3"</t>
  </si>
  <si>
    <t>3/8" X 3" X 3"</t>
  </si>
  <si>
    <t>3/16" X 3" X 3"</t>
  </si>
  <si>
    <t>3/8" X 2" X 2"</t>
  </si>
  <si>
    <t>3/8" 120" wide</t>
  </si>
  <si>
    <t>5/16" 96" wide</t>
  </si>
  <si>
    <t>5/16" 120" wide</t>
  </si>
  <si>
    <t>3/8 96 wide</t>
  </si>
  <si>
    <t>1/2" 96 wide</t>
  </si>
  <si>
    <t>1/2" 120"wide</t>
  </si>
  <si>
    <t>1/8" 3000# THREADED COUPLING</t>
  </si>
  <si>
    <t>1/4" 3000# THREADED COUPLING</t>
  </si>
  <si>
    <t>3/8" 3000# THREADED COUPLING</t>
  </si>
  <si>
    <t>1/2" 3000# THREADED COUPLING</t>
  </si>
  <si>
    <t>3/4" 3000# THREADED COUPLING</t>
  </si>
  <si>
    <t>1" 3000# THREADED COUPLING</t>
  </si>
  <si>
    <t>1 1/4" 3000# THREADED COUPLING</t>
  </si>
  <si>
    <t>1.5" 3000# THREADED COUPLING</t>
  </si>
  <si>
    <t>1 1/2" 3000# THREADED COUPLING</t>
  </si>
  <si>
    <t>2" 3000# THREADED COUPLING</t>
  </si>
  <si>
    <t>3" 3000# THREADED COUPLING</t>
  </si>
  <si>
    <t>2 1/2" 3000# THREADED COUPLING</t>
  </si>
  <si>
    <t>4" 3000# THREADED COUPLING</t>
  </si>
  <si>
    <t>6 SCH40 90° ELBOW</t>
  </si>
  <si>
    <t>8 SCH40 90° ELBOW</t>
  </si>
  <si>
    <t>10 SCH40 90° ELBOW</t>
  </si>
  <si>
    <t>12 SCH40 90° ELBOW</t>
  </si>
  <si>
    <t>4 SCH40 90° ELBOW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</si>
</sst>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0.0"/>
    <numFmt numFmtId="166" formatCode="&quot;$&quot;#,##0.00"/>
  </numFmts>
  <fonts count="33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18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0" tint="-0.499984740745262"/>
      <name val="Aptos Narrow"/>
      <family val="2"/>
      <scheme val="minor"/>
    </font>
    <font>
      <sz val="28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u/>
      <sz val="72"/>
      <color theme="1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8"/>
      <color rgb="FFFF0000"/>
      <name val="Aptos Narrow"/>
      <family val="2"/>
      <scheme val="minor"/>
    </font>
    <font>
      <b/>
      <i/>
      <sz val="14"/>
      <color rgb="FFFF0000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1"/>
      <color rgb="FFFFC000"/>
      <name val="Aptos Narrow"/>
      <family val="2"/>
      <scheme val="minor"/>
    </font>
    <font>
      <u/>
      <sz val="11"/>
      <color rgb="FF92D050"/>
      <name val="Aptos Narrow"/>
      <family val="2"/>
      <scheme val="minor"/>
    </font>
    <font>
      <b/>
      <i/>
      <sz val="12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auto="1"/>
      </top>
      <bottom style="dashed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85">
    <xf numFmtId="0" fontId="0" fillId="0" borderId="0" xfId="0"/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11" fillId="0" borderId="5" xfId="0" applyFont="1" applyBorder="1" applyAlignment="1">
      <alignment horizontal="left"/>
    </xf>
    <xf numFmtId="1" fontId="2" fillId="0" borderId="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right"/>
    </xf>
    <xf numFmtId="0" fontId="0" fillId="3" borderId="5" xfId="0" applyFill="1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8" xfId="0" applyFont="1" applyBorder="1" applyAlignment="1">
      <alignment horizontal="left"/>
    </xf>
    <xf numFmtId="0" fontId="0" fillId="0" borderId="9" xfId="0" applyBorder="1"/>
    <xf numFmtId="1" fontId="0" fillId="0" borderId="0" xfId="0" applyNumberFormat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1" xfId="0" applyFont="1" applyBorder="1"/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1" xfId="0" applyFont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1" fontId="11" fillId="4" borderId="22" xfId="0" applyNumberFormat="1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9" fillId="0" borderId="5" xfId="0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5" xfId="0" applyFont="1" applyBorder="1" applyAlignment="1">
      <alignment horizontal="center"/>
    </xf>
    <xf numFmtId="1" fontId="11" fillId="0" borderId="25" xfId="0" applyNumberFormat="1" applyFont="1" applyBorder="1" applyAlignment="1">
      <alignment horizontal="right" vertical="center"/>
    </xf>
    <xf numFmtId="0" fontId="11" fillId="0" borderId="25" xfId="0" applyFont="1" applyBorder="1" applyAlignment="1">
      <alignment horizontal="right"/>
    </xf>
    <xf numFmtId="164" fontId="11" fillId="0" borderId="5" xfId="0" applyNumberFormat="1" applyFont="1" applyBorder="1" applyAlignment="1">
      <alignment horizontal="right"/>
    </xf>
    <xf numFmtId="0" fontId="2" fillId="0" borderId="25" xfId="0" applyFont="1" applyBorder="1"/>
    <xf numFmtId="0" fontId="2" fillId="0" borderId="5" xfId="0" applyFont="1" applyBorder="1"/>
    <xf numFmtId="1" fontId="11" fillId="0" borderId="26" xfId="0" applyNumberFormat="1" applyFont="1" applyBorder="1" applyAlignment="1">
      <alignment horizontal="right" vertical="center"/>
    </xf>
    <xf numFmtId="0" fontId="16" fillId="0" borderId="26" xfId="0" applyFont="1" applyBorder="1" applyAlignment="1">
      <alignment horizontal="right"/>
    </xf>
    <xf numFmtId="1" fontId="11" fillId="0" borderId="5" xfId="0" applyNumberFormat="1" applyFont="1" applyBorder="1" applyAlignment="1">
      <alignment horizontal="right" vertical="center"/>
    </xf>
    <xf numFmtId="0" fontId="2" fillId="0" borderId="25" xfId="0" applyFont="1" applyBorder="1" applyAlignment="1">
      <alignment horizontal="right"/>
    </xf>
    <xf numFmtId="0" fontId="11" fillId="0" borderId="5" xfId="0" applyFont="1" applyBorder="1" applyAlignment="1">
      <alignment horizontal="center"/>
    </xf>
    <xf numFmtId="0" fontId="11" fillId="0" borderId="26" xfId="0" applyFont="1" applyBorder="1" applyAlignment="1">
      <alignment horizontal="right"/>
    </xf>
    <xf numFmtId="0" fontId="11" fillId="0" borderId="5" xfId="0" applyFont="1" applyBorder="1"/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11" fillId="0" borderId="5" xfId="0" applyFont="1" applyBorder="1" applyAlignment="1">
      <alignment horizontal="right"/>
    </xf>
    <xf numFmtId="0" fontId="2" fillId="0" borderId="26" xfId="0" applyFont="1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18" fillId="0" borderId="19" xfId="0" applyFont="1" applyBorder="1" applyAlignment="1">
      <alignment horizontal="center" vertical="center"/>
    </xf>
    <xf numFmtId="0" fontId="18" fillId="0" borderId="31" xfId="0" applyFont="1" applyBorder="1"/>
    <xf numFmtId="2" fontId="18" fillId="0" borderId="32" xfId="0" applyNumberFormat="1" applyFont="1" applyBorder="1" applyAlignment="1">
      <alignment horizontal="center"/>
    </xf>
    <xf numFmtId="2" fontId="18" fillId="0" borderId="33" xfId="0" applyNumberFormat="1" applyFont="1" applyBorder="1" applyAlignment="1">
      <alignment horizontal="center"/>
    </xf>
    <xf numFmtId="2" fontId="0" fillId="0" borderId="33" xfId="0" applyNumberFormat="1" applyBorder="1" applyAlignment="1">
      <alignment horizontal="center"/>
    </xf>
    <xf numFmtId="1" fontId="2" fillId="0" borderId="34" xfId="0" applyNumberFormat="1" applyFont="1" applyBorder="1" applyAlignment="1">
      <alignment horizontal="center"/>
    </xf>
    <xf numFmtId="1" fontId="2" fillId="0" borderId="35" xfId="0" applyNumberFormat="1" applyFont="1" applyBorder="1" applyAlignment="1">
      <alignment horizontal="center"/>
    </xf>
    <xf numFmtId="2" fontId="18" fillId="0" borderId="36" xfId="0" applyNumberFormat="1" applyFont="1" applyBorder="1" applyAlignment="1">
      <alignment horizontal="center"/>
    </xf>
    <xf numFmtId="2" fontId="0" fillId="0" borderId="37" xfId="0" applyNumberFormat="1" applyBorder="1" applyAlignment="1">
      <alignment horizontal="center"/>
    </xf>
    <xf numFmtId="1" fontId="2" fillId="0" borderId="38" xfId="0" applyNumberFormat="1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2" fontId="18" fillId="0" borderId="37" xfId="0" applyNumberFormat="1" applyFont="1" applyBorder="1" applyAlignment="1">
      <alignment horizontal="center"/>
    </xf>
    <xf numFmtId="16" fontId="11" fillId="0" borderId="5" xfId="0" applyNumberFormat="1" applyFont="1" applyBorder="1" applyAlignment="1">
      <alignment horizontal="right"/>
    </xf>
    <xf numFmtId="0" fontId="0" fillId="0" borderId="40" xfId="0" applyBorder="1"/>
    <xf numFmtId="0" fontId="0" fillId="0" borderId="41" xfId="0" applyBorder="1"/>
    <xf numFmtId="0" fontId="18" fillId="0" borderId="41" xfId="0" applyFont="1" applyBorder="1" applyAlignment="1">
      <alignment horizontal="center" vertical="center"/>
    </xf>
    <xf numFmtId="0" fontId="18" fillId="0" borderId="34" xfId="0" applyFont="1" applyBorder="1"/>
    <xf numFmtId="2" fontId="0" fillId="0" borderId="41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1" fontId="2" fillId="0" borderId="43" xfId="0" applyNumberFormat="1" applyFont="1" applyBorder="1" applyAlignment="1">
      <alignment horizontal="center"/>
    </xf>
    <xf numFmtId="2" fontId="18" fillId="0" borderId="42" xfId="0" applyNumberFormat="1" applyFont="1" applyBorder="1" applyAlignment="1">
      <alignment horizontal="center"/>
    </xf>
    <xf numFmtId="1" fontId="11" fillId="0" borderId="7" xfId="0" applyNumberFormat="1" applyFont="1" applyBorder="1" applyAlignment="1">
      <alignment horizontal="right" vertical="center"/>
    </xf>
    <xf numFmtId="1" fontId="16" fillId="0" borderId="26" xfId="0" applyNumberFormat="1" applyFont="1" applyBorder="1" applyAlignment="1">
      <alignment horizontal="right" vertical="center"/>
    </xf>
    <xf numFmtId="1" fontId="2" fillId="0" borderId="26" xfId="0" applyNumberFormat="1" applyFont="1" applyBorder="1" applyAlignment="1">
      <alignment horizontal="right" vertical="center"/>
    </xf>
    <xf numFmtId="165" fontId="0" fillId="0" borderId="0" xfId="0" applyNumberFormat="1" applyAlignment="1">
      <alignment horizontal="center"/>
    </xf>
    <xf numFmtId="165" fontId="7" fillId="0" borderId="0" xfId="0" applyNumberFormat="1" applyFont="1" applyAlignment="1">
      <alignment horizontal="center"/>
    </xf>
    <xf numFmtId="2" fontId="18" fillId="0" borderId="41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0" fillId="0" borderId="5" xfId="0" applyBorder="1" applyAlignment="1">
      <alignment wrapText="1"/>
    </xf>
    <xf numFmtId="0" fontId="9" fillId="0" borderId="5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1" fontId="2" fillId="0" borderId="6" xfId="0" applyNumberFormat="1" applyFont="1" applyBorder="1" applyAlignment="1">
      <alignment horizontal="right" vertical="center"/>
    </xf>
    <xf numFmtId="1" fontId="7" fillId="0" borderId="9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right"/>
    </xf>
    <xf numFmtId="1" fontId="11" fillId="0" borderId="7" xfId="0" applyNumberFormat="1" applyFont="1" applyBorder="1" applyAlignment="1">
      <alignment horizontal="right"/>
    </xf>
    <xf numFmtId="0" fontId="0" fillId="0" borderId="24" xfId="0" applyBorder="1"/>
    <xf numFmtId="1" fontId="11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65" fontId="0" fillId="0" borderId="5" xfId="0" applyNumberFormat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2" fillId="0" borderId="0" xfId="0" applyFont="1" applyAlignment="1">
      <alignment horizontal="center"/>
    </xf>
    <xf numFmtId="1" fontId="2" fillId="0" borderId="47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" fontId="7" fillId="0" borderId="24" xfId="0" applyNumberFormat="1" applyFont="1" applyBorder="1" applyAlignment="1">
      <alignment horizontal="center"/>
    </xf>
    <xf numFmtId="0" fontId="18" fillId="7" borderId="41" xfId="0" applyFont="1" applyFill="1" applyBorder="1" applyAlignment="1">
      <alignment horizontal="center" vertical="center"/>
    </xf>
    <xf numFmtId="0" fontId="11" fillId="5" borderId="0" xfId="0" applyFont="1" applyFill="1"/>
    <xf numFmtId="0" fontId="2" fillId="0" borderId="48" xfId="0" applyFont="1" applyBorder="1" applyAlignment="1">
      <alignment horizontal="left"/>
    </xf>
    <xf numFmtId="0" fontId="2" fillId="0" borderId="9" xfId="0" applyFont="1" applyBorder="1" applyAlignment="1">
      <alignment horizontal="right"/>
    </xf>
    <xf numFmtId="1" fontId="2" fillId="0" borderId="7" xfId="0" applyNumberFormat="1" applyFont="1" applyBorder="1" applyAlignment="1">
      <alignment horizontal="right" vertical="center"/>
    </xf>
    <xf numFmtId="0" fontId="0" fillId="0" borderId="11" xfId="0" applyBorder="1"/>
    <xf numFmtId="1" fontId="2" fillId="0" borderId="9" xfId="0" applyNumberFormat="1" applyFont="1" applyBorder="1" applyAlignment="1">
      <alignment horizontal="right" vertical="center"/>
    </xf>
    <xf numFmtId="0" fontId="18" fillId="0" borderId="40" xfId="0" applyFont="1" applyBorder="1" applyAlignment="1">
      <alignment horizontal="center"/>
    </xf>
    <xf numFmtId="0" fontId="18" fillId="0" borderId="41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18" fillId="0" borderId="42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18" fillId="0" borderId="49" xfId="0" applyFon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18" fillId="0" borderId="28" xfId="0" applyFont="1" applyBorder="1" applyAlignment="1">
      <alignment horizontal="center" vertical="center"/>
    </xf>
    <xf numFmtId="0" fontId="18" fillId="0" borderId="50" xfId="0" applyFont="1" applyBorder="1"/>
    <xf numFmtId="0" fontId="18" fillId="0" borderId="27" xfId="0" applyFont="1" applyBorder="1" applyAlignment="1">
      <alignment horizontal="center"/>
    </xf>
    <xf numFmtId="0" fontId="18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30" xfId="0" applyBorder="1" applyAlignment="1">
      <alignment horizontal="center"/>
    </xf>
    <xf numFmtId="0" fontId="18" fillId="0" borderId="51" xfId="0" applyFont="1" applyBorder="1" applyAlignment="1">
      <alignment horizontal="center"/>
    </xf>
    <xf numFmtId="0" fontId="18" fillId="0" borderId="52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0" borderId="0" xfId="2" applyFont="1" applyFill="1" applyBorder="1" applyAlignment="1"/>
    <xf numFmtId="0" fontId="19" fillId="0" borderId="3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2" fontId="18" fillId="0" borderId="40" xfId="0" applyNumberFormat="1" applyFont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9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4" xfId="0" applyBorder="1"/>
    <xf numFmtId="0" fontId="0" fillId="0" borderId="46" xfId="0" applyBorder="1"/>
    <xf numFmtId="0" fontId="0" fillId="0" borderId="60" xfId="0" applyBorder="1"/>
    <xf numFmtId="0" fontId="0" fillId="0" borderId="61" xfId="0" applyBorder="1"/>
    <xf numFmtId="0" fontId="11" fillId="0" borderId="25" xfId="0" applyFont="1" applyBorder="1" applyAlignment="1">
      <alignment horizontal="left"/>
    </xf>
    <xf numFmtId="0" fontId="11" fillId="0" borderId="25" xfId="0" applyFont="1" applyBorder="1" applyAlignment="1">
      <alignment horizontal="center"/>
    </xf>
    <xf numFmtId="0" fontId="0" fillId="7" borderId="40" xfId="0" applyFill="1" applyBorder="1"/>
    <xf numFmtId="0" fontId="0" fillId="7" borderId="41" xfId="0" applyFill="1" applyBorder="1"/>
    <xf numFmtId="0" fontId="11" fillId="0" borderId="25" xfId="0" applyFont="1" applyBorder="1"/>
    <xf numFmtId="0" fontId="0" fillId="0" borderId="13" xfId="0" applyBorder="1"/>
    <xf numFmtId="0" fontId="0" fillId="0" borderId="68" xfId="0" applyBorder="1"/>
    <xf numFmtId="0" fontId="13" fillId="0" borderId="0" xfId="0" applyFont="1"/>
    <xf numFmtId="0" fontId="0" fillId="0" borderId="58" xfId="0" applyBorder="1"/>
    <xf numFmtId="0" fontId="0" fillId="0" borderId="62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55" xfId="0" applyBorder="1"/>
    <xf numFmtId="0" fontId="0" fillId="0" borderId="45" xfId="0" applyBorder="1"/>
    <xf numFmtId="0" fontId="0" fillId="0" borderId="26" xfId="0" applyBorder="1"/>
    <xf numFmtId="0" fontId="0" fillId="0" borderId="56" xfId="0" applyBorder="1"/>
    <xf numFmtId="0" fontId="0" fillId="0" borderId="66" xfId="0" applyBorder="1"/>
    <xf numFmtId="0" fontId="0" fillId="0" borderId="7" xfId="0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16" fillId="0" borderId="5" xfId="0" applyFont="1" applyBorder="1"/>
    <xf numFmtId="0" fontId="0" fillId="3" borderId="0" xfId="0" applyFill="1" applyAlignment="1">
      <alignment horizontal="center"/>
    </xf>
    <xf numFmtId="0" fontId="16" fillId="0" borderId="66" xfId="0" applyFont="1" applyBorder="1" applyAlignment="1">
      <alignment horizontal="right"/>
    </xf>
    <xf numFmtId="164" fontId="2" fillId="0" borderId="5" xfId="0" applyNumberFormat="1" applyFont="1" applyBorder="1" applyAlignment="1">
      <alignment horizontal="right"/>
    </xf>
    <xf numFmtId="164" fontId="2" fillId="0" borderId="5" xfId="0" applyNumberFormat="1" applyFont="1" applyBorder="1"/>
    <xf numFmtId="164" fontId="0" fillId="0" borderId="5" xfId="0" applyNumberFormat="1" applyBorder="1"/>
    <xf numFmtId="164" fontId="0" fillId="0" borderId="5" xfId="0" applyNumberFormat="1" applyBorder="1" applyAlignment="1">
      <alignment horizontal="right"/>
    </xf>
    <xf numFmtId="0" fontId="19" fillId="0" borderId="5" xfId="0" applyFont="1" applyBorder="1"/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/>
    <xf numFmtId="0" fontId="0" fillId="9" borderId="26" xfId="0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9" borderId="56" xfId="0" applyFill="1" applyBorder="1"/>
    <xf numFmtId="0" fontId="13" fillId="0" borderId="16" xfId="0" applyFont="1" applyBorder="1" applyAlignment="1">
      <alignment horizontal="center"/>
    </xf>
    <xf numFmtId="0" fontId="13" fillId="0" borderId="71" xfId="0" applyFont="1" applyBorder="1" applyAlignment="1">
      <alignment horizontal="center"/>
    </xf>
    <xf numFmtId="0" fontId="16" fillId="0" borderId="25" xfId="0" applyFont="1" applyBorder="1" applyAlignment="1">
      <alignment horizontal="left"/>
    </xf>
    <xf numFmtId="0" fontId="16" fillId="0" borderId="5" xfId="0" applyFont="1" applyBorder="1" applyAlignment="1">
      <alignment horizontal="center"/>
    </xf>
    <xf numFmtId="0" fontId="16" fillId="0" borderId="7" xfId="0" applyFont="1" applyBorder="1" applyAlignment="1">
      <alignment horizontal="right"/>
    </xf>
    <xf numFmtId="0" fontId="16" fillId="0" borderId="5" xfId="0" applyFont="1" applyBorder="1" applyAlignment="1">
      <alignment horizontal="right"/>
    </xf>
    <xf numFmtId="0" fontId="16" fillId="0" borderId="25" xfId="0" applyFont="1" applyBorder="1" applyAlignment="1">
      <alignment horizontal="left" wrapText="1"/>
    </xf>
    <xf numFmtId="0" fontId="16" fillId="0" borderId="5" xfId="0" applyFont="1" applyBorder="1" applyAlignment="1">
      <alignment horizontal="left" vertical="center"/>
    </xf>
    <xf numFmtId="0" fontId="16" fillId="0" borderId="25" xfId="0" applyFont="1" applyBorder="1" applyAlignment="1">
      <alignment horizontal="center" vertical="center"/>
    </xf>
    <xf numFmtId="1" fontId="16" fillId="0" borderId="66" xfId="0" applyNumberFormat="1" applyFont="1" applyBorder="1" applyAlignment="1">
      <alignment horizontal="right"/>
    </xf>
    <xf numFmtId="1" fontId="11" fillId="0" borderId="66" xfId="0" applyNumberFormat="1" applyFont="1" applyBorder="1" applyAlignment="1">
      <alignment horizontal="right"/>
    </xf>
    <xf numFmtId="0" fontId="16" fillId="0" borderId="5" xfId="0" applyFont="1" applyBorder="1" applyAlignment="1">
      <alignment wrapText="1"/>
    </xf>
    <xf numFmtId="0" fontId="2" fillId="7" borderId="25" xfId="0" applyFont="1" applyFill="1" applyBorder="1" applyAlignment="1">
      <alignment horizontal="center"/>
    </xf>
    <xf numFmtId="0" fontId="16" fillId="0" borderId="25" xfId="0" quotePrefix="1" applyFont="1" applyBorder="1" applyAlignment="1">
      <alignment horizontal="left"/>
    </xf>
    <xf numFmtId="0" fontId="2" fillId="0" borderId="66" xfId="0" applyFont="1" applyBorder="1" applyAlignment="1">
      <alignment horizontal="center"/>
    </xf>
    <xf numFmtId="0" fontId="2" fillId="10" borderId="66" xfId="0" applyFont="1" applyFill="1" applyBorder="1" applyAlignment="1">
      <alignment horizontal="center"/>
    </xf>
    <xf numFmtId="0" fontId="2" fillId="0" borderId="25" xfId="0" applyFont="1" applyBorder="1" applyAlignment="1">
      <alignment horizontal="left" wrapText="1"/>
    </xf>
    <xf numFmtId="0" fontId="16" fillId="0" borderId="25" xfId="0" applyFont="1" applyBorder="1" applyAlignment="1">
      <alignment horizontal="center"/>
    </xf>
    <xf numFmtId="1" fontId="16" fillId="0" borderId="26" xfId="0" applyNumberFormat="1" applyFont="1" applyBorder="1" applyAlignment="1">
      <alignment horizontal="right"/>
    </xf>
    <xf numFmtId="0" fontId="16" fillId="0" borderId="66" xfId="0" applyFont="1" applyBorder="1" applyAlignment="1">
      <alignment horizontal="center"/>
    </xf>
    <xf numFmtId="0" fontId="16" fillId="0" borderId="66" xfId="0" applyFont="1" applyBorder="1" applyAlignment="1">
      <alignment horizontal="left"/>
    </xf>
    <xf numFmtId="0" fontId="2" fillId="0" borderId="7" xfId="0" applyFont="1" applyBorder="1" applyAlignment="1">
      <alignment horizontal="right"/>
    </xf>
    <xf numFmtId="1" fontId="2" fillId="0" borderId="7" xfId="0" applyNumberFormat="1" applyFont="1" applyBorder="1" applyAlignment="1">
      <alignment horizontal="right"/>
    </xf>
    <xf numFmtId="1" fontId="16" fillId="0" borderId="7" xfId="0" applyNumberFormat="1" applyFont="1" applyBorder="1" applyAlignment="1">
      <alignment horizontal="right"/>
    </xf>
    <xf numFmtId="0" fontId="15" fillId="0" borderId="0" xfId="2" applyFont="1" applyAlignment="1">
      <alignment vertical="top"/>
    </xf>
    <xf numFmtId="0" fontId="3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/>
    <xf numFmtId="0" fontId="0" fillId="0" borderId="1" xfId="0" applyBorder="1"/>
    <xf numFmtId="0" fontId="0" fillId="0" borderId="2" xfId="0" applyBorder="1"/>
    <xf numFmtId="49" fontId="3" fillId="0" borderId="0" xfId="0" applyNumberFormat="1" applyFont="1" applyAlignment="1">
      <alignment horizontal="center"/>
    </xf>
    <xf numFmtId="0" fontId="0" fillId="0" borderId="10" xfId="0" applyBorder="1"/>
    <xf numFmtId="0" fontId="3" fillId="0" borderId="0" xfId="0" applyFont="1" applyAlignment="1" applyProtection="1">
      <alignment horizontal="center"/>
      <protection hidden="1"/>
    </xf>
    <xf numFmtId="0" fontId="3" fillId="0" borderId="0" xfId="0" applyFont="1" applyProtection="1">
      <protection hidden="1"/>
    </xf>
    <xf numFmtId="2" fontId="3" fillId="0" borderId="0" xfId="0" applyNumberFormat="1" applyFont="1" applyProtection="1">
      <protection hidden="1"/>
    </xf>
    <xf numFmtId="0" fontId="31" fillId="0" borderId="25" xfId="0" applyFont="1" applyBorder="1" applyAlignment="1">
      <alignment horizontal="center"/>
    </xf>
    <xf numFmtId="1" fontId="11" fillId="0" borderId="7" xfId="1" applyNumberFormat="1" applyFont="1" applyFill="1" applyBorder="1" applyAlignment="1">
      <alignment horizontal="right" vertical="center"/>
    </xf>
    <xf numFmtId="2" fontId="11" fillId="0" borderId="7" xfId="1" applyNumberFormat="1" applyFont="1" applyFill="1" applyBorder="1" applyAlignment="1">
      <alignment horizontal="right" vertical="center"/>
    </xf>
    <xf numFmtId="164" fontId="11" fillId="0" borderId="5" xfId="0" applyNumberFormat="1" applyFont="1" applyBorder="1" applyAlignment="1">
      <alignment horizontal="right" vertical="center"/>
    </xf>
    <xf numFmtId="164" fontId="11" fillId="0" borderId="25" xfId="0" applyNumberFormat="1" applyFont="1" applyBorder="1" applyAlignment="1">
      <alignment horizontal="right" vertical="center"/>
    </xf>
    <xf numFmtId="1" fontId="2" fillId="0" borderId="25" xfId="0" applyNumberFormat="1" applyFont="1" applyBorder="1" applyAlignment="1">
      <alignment horizontal="right" vertical="center"/>
    </xf>
    <xf numFmtId="164" fontId="11" fillId="0" borderId="5" xfId="0" applyNumberFormat="1" applyFont="1" applyBorder="1" applyAlignment="1">
      <alignment horizontal="center"/>
    </xf>
    <xf numFmtId="0" fontId="19" fillId="0" borderId="0" xfId="0" applyFont="1"/>
    <xf numFmtId="13" fontId="2" fillId="0" borderId="25" xfId="0" applyNumberFormat="1" applyFont="1" applyBorder="1" applyAlignment="1">
      <alignment horizontal="center"/>
    </xf>
    <xf numFmtId="13" fontId="2" fillId="0" borderId="75" xfId="0" applyNumberFormat="1" applyFont="1" applyBorder="1" applyAlignment="1">
      <alignment horizontal="center"/>
    </xf>
    <xf numFmtId="13" fontId="2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15" fillId="0" borderId="0" xfId="2" applyFont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9" fillId="0" borderId="9" xfId="0" applyFont="1" applyBorder="1" applyAlignment="1">
      <alignment horizontal="center" wrapText="1"/>
    </xf>
    <xf numFmtId="0" fontId="10" fillId="0" borderId="8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5" fillId="5" borderId="0" xfId="2" applyFont="1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6" borderId="46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8" fillId="0" borderId="8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19" fillId="6" borderId="55" xfId="0" applyFont="1" applyFill="1" applyBorder="1" applyAlignment="1">
      <alignment horizontal="center"/>
    </xf>
    <xf numFmtId="0" fontId="19" fillId="6" borderId="45" xfId="0" applyFont="1" applyFill="1" applyBorder="1" applyAlignment="1">
      <alignment horizontal="center"/>
    </xf>
    <xf numFmtId="0" fontId="19" fillId="6" borderId="46" xfId="0" applyFont="1" applyFill="1" applyBorder="1" applyAlignment="1">
      <alignment horizontal="center"/>
    </xf>
    <xf numFmtId="16" fontId="19" fillId="6" borderId="44" xfId="0" applyNumberFormat="1" applyFont="1" applyFill="1" applyBorder="1" applyAlignment="1">
      <alignment horizontal="center"/>
    </xf>
    <xf numFmtId="16" fontId="19" fillId="6" borderId="45" xfId="0" applyNumberFormat="1" applyFont="1" applyFill="1" applyBorder="1" applyAlignment="1">
      <alignment horizontal="center"/>
    </xf>
    <xf numFmtId="16" fontId="19" fillId="6" borderId="21" xfId="0" applyNumberFormat="1" applyFont="1" applyFill="1" applyBorder="1" applyAlignment="1">
      <alignment horizontal="center"/>
    </xf>
    <xf numFmtId="16" fontId="19" fillId="6" borderId="46" xfId="0" applyNumberFormat="1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9" fillId="0" borderId="9" xfId="0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" fontId="10" fillId="0" borderId="0" xfId="0" applyNumberFormat="1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5" fillId="3" borderId="26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7" borderId="62" xfId="0" applyFont="1" applyFill="1" applyBorder="1" applyAlignment="1">
      <alignment horizontal="center" vertical="center"/>
    </xf>
    <xf numFmtId="0" fontId="13" fillId="7" borderId="47" xfId="0" applyFont="1" applyFill="1" applyBorder="1" applyAlignment="1">
      <alignment horizontal="center" vertical="center"/>
    </xf>
    <xf numFmtId="0" fontId="13" fillId="7" borderId="63" xfId="0" applyFont="1" applyFill="1" applyBorder="1" applyAlignment="1">
      <alignment horizontal="center" vertical="center"/>
    </xf>
    <xf numFmtId="0" fontId="13" fillId="7" borderId="64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3" fillId="7" borderId="65" xfId="0" applyFont="1" applyFill="1" applyBorder="1" applyAlignment="1">
      <alignment horizontal="center" vertical="center"/>
    </xf>
    <xf numFmtId="0" fontId="13" fillId="7" borderId="6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13" fillId="7" borderId="67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6" fillId="3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28" fillId="0" borderId="56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0" fontId="13" fillId="7" borderId="57" xfId="0" applyFont="1" applyFill="1" applyBorder="1" applyAlignment="1">
      <alignment horizontal="center"/>
    </xf>
    <xf numFmtId="0" fontId="24" fillId="3" borderId="26" xfId="0" applyFont="1" applyFill="1" applyBorder="1" applyAlignment="1">
      <alignment horizontal="center"/>
    </xf>
    <xf numFmtId="0" fontId="18" fillId="3" borderId="56" xfId="0" applyFont="1" applyFill="1" applyBorder="1" applyAlignment="1">
      <alignment horizontal="center"/>
    </xf>
    <xf numFmtId="0" fontId="18" fillId="3" borderId="57" xfId="0" applyFont="1" applyFill="1" applyBorder="1" applyAlignment="1">
      <alignment horizontal="center"/>
    </xf>
    <xf numFmtId="0" fontId="25" fillId="3" borderId="7" xfId="0" applyFont="1" applyFill="1" applyBorder="1" applyAlignment="1">
      <alignment horizontal="center"/>
    </xf>
    <xf numFmtId="0" fontId="26" fillId="8" borderId="62" xfId="0" applyFont="1" applyFill="1" applyBorder="1" applyAlignment="1">
      <alignment horizontal="center"/>
    </xf>
    <xf numFmtId="0" fontId="26" fillId="8" borderId="47" xfId="0" applyFont="1" applyFill="1" applyBorder="1" applyAlignment="1">
      <alignment horizontal="center"/>
    </xf>
    <xf numFmtId="0" fontId="26" fillId="8" borderId="63" xfId="0" applyFont="1" applyFill="1" applyBorder="1" applyAlignment="1">
      <alignment horizontal="center"/>
    </xf>
    <xf numFmtId="0" fontId="26" fillId="8" borderId="66" xfId="0" applyFont="1" applyFill="1" applyBorder="1" applyAlignment="1">
      <alignment horizontal="center"/>
    </xf>
    <xf numFmtId="0" fontId="26" fillId="8" borderId="7" xfId="0" applyFont="1" applyFill="1" applyBorder="1" applyAlignment="1">
      <alignment horizontal="center"/>
    </xf>
    <xf numFmtId="0" fontId="26" fillId="8" borderId="67" xfId="0" applyFont="1" applyFill="1" applyBorder="1" applyAlignment="1">
      <alignment horizontal="center"/>
    </xf>
    <xf numFmtId="0" fontId="2" fillId="0" borderId="26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57" xfId="0" applyFont="1" applyBorder="1" applyAlignment="1">
      <alignment horizontal="left"/>
    </xf>
    <xf numFmtId="0" fontId="15" fillId="0" borderId="0" xfId="2" applyFont="1" applyAlignment="1">
      <alignment horizontal="center" vertical="top"/>
    </xf>
    <xf numFmtId="0" fontId="2" fillId="0" borderId="26" xfId="0" applyFont="1" applyBorder="1" applyAlignment="1">
      <alignment horizontal="left" wrapText="1"/>
    </xf>
    <xf numFmtId="0" fontId="2" fillId="0" borderId="56" xfId="0" applyFont="1" applyBorder="1" applyAlignment="1">
      <alignment horizontal="left" wrapText="1"/>
    </xf>
    <xf numFmtId="0" fontId="2" fillId="0" borderId="57" xfId="0" applyFont="1" applyBorder="1" applyAlignment="1">
      <alignment horizontal="left" wrapText="1"/>
    </xf>
    <xf numFmtId="166" fontId="0" fillId="0" borderId="73" xfId="0" applyNumberFormat="1" applyBorder="1" applyAlignment="1">
      <alignment horizontal="center"/>
    </xf>
    <xf numFmtId="166" fontId="0" fillId="0" borderId="74" xfId="0" applyNumberFormat="1" applyBorder="1" applyAlignment="1">
      <alignment horizontal="center"/>
    </xf>
    <xf numFmtId="0" fontId="29" fillId="4" borderId="0" xfId="2" quotePrefix="1" applyFont="1" applyFill="1" applyAlignment="1">
      <alignment horizontal="center"/>
    </xf>
    <xf numFmtId="0" fontId="30" fillId="6" borderId="0" xfId="2" quotePrefix="1" applyFont="1" applyFill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5" fillId="3" borderId="56" xfId="0" applyFont="1" applyFill="1" applyBorder="1" applyAlignment="1">
      <alignment horizontal="center"/>
    </xf>
    <xf numFmtId="0" fontId="5" fillId="3" borderId="57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2" fillId="3" borderId="56" xfId="0" applyFont="1" applyFill="1" applyBorder="1" applyAlignment="1">
      <alignment horizontal="center"/>
    </xf>
    <xf numFmtId="0" fontId="2" fillId="3" borderId="57" xfId="0" applyFont="1" applyFill="1" applyBorder="1" applyAlignment="1">
      <alignment horizontal="center"/>
    </xf>
  </cellXfs>
  <cellStyles count="3">
    <cellStyle name="Hyperlink" xfId="2" builtinId="8"/>
    <cellStyle name="Neutral" xfId="1" builtinId="28"/>
    <cellStyle name="Normal" xfId="0" builtinId="0"/>
  </cellStyles>
  <dxfs count="6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Chris\Estimate%20Sheet%20V%202.0%20-%20Chris%20(as%20of%203-25).xlsx" TargetMode="External"/><Relationship Id="rId1" Type="http://schemas.openxmlformats.org/officeDocument/2006/relationships/externalLinkPath" Target="Estimate%20Sheet%20V%202.0%20-%20Chris%20(as%20of%203-2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STIMATE"/>
      <sheetName val="MASTER"/>
      <sheetName val="Tank Types"/>
      <sheetName val="CST"/>
      <sheetName val="304LSS"/>
      <sheetName val="316L SS"/>
      <sheetName val="ADD-ONS"/>
      <sheetName val="Plate Price"/>
      <sheetName val="Notes"/>
      <sheetName val="Change Order"/>
      <sheetName val="Sheet Calculator"/>
      <sheetName val="Plate Weight"/>
      <sheetName val="Tank Pricing"/>
      <sheetName val="2205 Duplex SS"/>
      <sheetName val="C27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I4">
            <v>1.59</v>
          </cell>
          <cell r="O4">
            <v>2.39</v>
          </cell>
        </row>
        <row r="5">
          <cell r="I5">
            <v>1.59</v>
          </cell>
          <cell r="O5">
            <v>2.37</v>
          </cell>
        </row>
        <row r="6">
          <cell r="I6">
            <v>1.69</v>
          </cell>
          <cell r="O6">
            <v>2.48</v>
          </cell>
        </row>
        <row r="7">
          <cell r="I7">
            <v>1.74</v>
          </cell>
          <cell r="O7">
            <v>2.48</v>
          </cell>
        </row>
        <row r="8">
          <cell r="C8">
            <v>0.78</v>
          </cell>
          <cell r="I8">
            <v>1.99</v>
          </cell>
          <cell r="O8">
            <v>2.71</v>
          </cell>
        </row>
        <row r="9">
          <cell r="C9">
            <v>0.78</v>
          </cell>
          <cell r="I9">
            <v>2.09</v>
          </cell>
        </row>
        <row r="10">
          <cell r="I10">
            <v>2.09</v>
          </cell>
        </row>
        <row r="11">
          <cell r="I11">
            <v>2.09</v>
          </cell>
        </row>
        <row r="14">
          <cell r="I14">
            <v>1.89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7E558A-2AC6-4F57-B35A-1697A639E6C6}" name="Table28" displayName="Table28" ref="GD2:GD9" totalsRowShown="0" headerRowDxfId="59" dataDxfId="58">
  <autoFilter ref="GD2:GD9" xr:uid="{C57E558A-2AC6-4F57-B35A-1697A639E6C6}"/>
  <tableColumns count="1">
    <tableColumn id="1" xr3:uid="{C7B3E40D-F42D-4AFF-91B4-9A4895B56F01}" name="Wall Thickness" dataDxfId="5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56501E-DD7F-4C5A-A071-51C02AEC140D}" name="Table239" displayName="Table239" ref="GD22:GD29" totalsRowShown="0" headerRowDxfId="56" dataDxfId="55">
  <autoFilter ref="GD22:GD29" xr:uid="{0A56501E-DD7F-4C5A-A071-51C02AEC140D}"/>
  <tableColumns count="1">
    <tableColumn id="1" xr3:uid="{715FA839-9CF1-41A1-B649-3A98EDEB7F69}" name="Wall Thickness" dataDxfId="5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3737B46-F9E9-4AC1-8E71-803281979742}" name="Table2410" displayName="Table2410" ref="GD45:GD52" totalsRowShown="0" headerRowDxfId="53" dataDxfId="52">
  <autoFilter ref="GD45:GD52" xr:uid="{73737B46-F9E9-4AC1-8E71-803281979742}"/>
  <tableColumns count="1">
    <tableColumn id="1" xr3:uid="{448938EB-CCF7-4173-8DBE-0912F967E249}" name="Wall Thickness" dataDxfId="5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166E434-9F8A-4EEA-96BD-9A49B30D5837}" name="Table2511" displayName="Table2511" ref="GD66:GD73" totalsRowShown="0" headerRowDxfId="50" dataDxfId="49">
  <autoFilter ref="GD66:GD73" xr:uid="{A166E434-9F8A-4EEA-96BD-9A49B30D5837}"/>
  <tableColumns count="1">
    <tableColumn id="1" xr3:uid="{FB304F8E-F2B7-4C44-8164-AE898D794FD4}" name="Wall Thickness" dataDxfId="4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658A186-35CC-439A-91DC-D56BDC4FCBCD}" name="Table2612" displayName="Table2612" ref="GD90:GD97" totalsRowShown="0" headerRowDxfId="47" dataDxfId="46">
  <autoFilter ref="GD90:GD97" xr:uid="{A658A186-35CC-439A-91DC-D56BDC4FCBCD}"/>
  <tableColumns count="1">
    <tableColumn id="1" xr3:uid="{0FA5DCAA-EA0D-4391-AE9A-23755E0DC3CD}" name="Wall Thickness" dataDxfId="45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14E7D65-A1DB-4140-8172-7CC6D6B63D13}" name="Table7813" displayName="Table7813" ref="GL65:GL68" totalsRowShown="0" headerRowDxfId="44" dataDxfId="43">
  <autoFilter ref="GL65:GL68" xr:uid="{B14E7D65-A1DB-4140-8172-7CC6D6B63D13}"/>
  <tableColumns count="1">
    <tableColumn id="1" xr3:uid="{F380564C-EC4B-4172-8F23-E00F9B54425F}" name="Ring Thickness" dataDxfId="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7D237-BCB4-4240-B9A6-C63D7B7F426A}">
  <dimension ref="A1:LL347"/>
  <sheetViews>
    <sheetView topLeftCell="BV1" zoomScale="90" zoomScaleNormal="90" workbookViewId="0">
      <selection activeCell="CB19" sqref="CB19"/>
    </sheetView>
  </sheetViews>
  <sheetFormatPr defaultRowHeight="15" x14ac:dyDescent="0.25"/>
  <cols>
    <col min="1" max="1" width="19.28515625" bestFit="1" customWidth="1"/>
    <col min="2" max="2" width="4.5703125" bestFit="1" customWidth="1"/>
    <col min="3" max="3" width="37.7109375" bestFit="1" customWidth="1"/>
    <col min="4" max="4" width="9" bestFit="1" customWidth="1"/>
    <col min="5" max="5" width="5.42578125" bestFit="1" customWidth="1"/>
    <col min="6" max="6" width="6.85546875" bestFit="1" customWidth="1"/>
    <col min="8" max="8" width="19.28515625" bestFit="1" customWidth="1"/>
    <col min="9" max="9" width="4.5703125" bestFit="1" customWidth="1"/>
    <col min="10" max="10" width="37.7109375" bestFit="1" customWidth="1"/>
    <col min="11" max="11" width="14.85546875" bestFit="1" customWidth="1"/>
    <col min="12" max="12" width="5.42578125" bestFit="1" customWidth="1"/>
    <col min="13" max="13" width="6.85546875" bestFit="1" customWidth="1"/>
    <col min="15" max="15" width="19.28515625" bestFit="1" customWidth="1"/>
    <col min="16" max="16" width="4.5703125" bestFit="1" customWidth="1"/>
    <col min="17" max="17" width="37.7109375" bestFit="1" customWidth="1"/>
    <col min="18" max="18" width="14.85546875" bestFit="1" customWidth="1"/>
    <col min="19" max="19" width="5.42578125" bestFit="1" customWidth="1"/>
    <col min="20" max="20" width="6.85546875" bestFit="1" customWidth="1"/>
    <col min="25" max="25" width="18.7109375" bestFit="1" customWidth="1"/>
    <col min="26" max="26" width="4.85546875" bestFit="1" customWidth="1"/>
    <col min="27" max="27" width="33.28515625" bestFit="1" customWidth="1"/>
    <col min="28" max="28" width="17.140625" bestFit="1" customWidth="1"/>
    <col min="29" max="29" width="5.7109375" bestFit="1" customWidth="1"/>
    <col min="30" max="30" width="7.5703125" bestFit="1" customWidth="1"/>
    <col min="31" max="31" width="9.7109375" bestFit="1" customWidth="1"/>
    <col min="32" max="32" width="11.140625" bestFit="1" customWidth="1"/>
    <col min="34" max="34" width="16.7109375" bestFit="1" customWidth="1"/>
    <col min="35" max="35" width="4.85546875" bestFit="1" customWidth="1"/>
    <col min="36" max="36" width="32.42578125" bestFit="1" customWidth="1"/>
    <col min="37" max="37" width="13.42578125" bestFit="1" customWidth="1"/>
    <col min="38" max="38" width="5.7109375" bestFit="1" customWidth="1"/>
    <col min="39" max="39" width="7.5703125" bestFit="1" customWidth="1"/>
    <col min="40" max="40" width="9.7109375" bestFit="1" customWidth="1"/>
    <col min="41" max="41" width="11.140625" bestFit="1" customWidth="1"/>
    <col min="50" max="50" width="18.7109375" bestFit="1" customWidth="1"/>
    <col min="51" max="51" width="4.85546875" bestFit="1" customWidth="1"/>
    <col min="52" max="52" width="33.28515625" bestFit="1" customWidth="1"/>
    <col min="53" max="53" width="21.5703125" bestFit="1" customWidth="1"/>
    <col min="54" max="54" width="5.7109375" bestFit="1" customWidth="1"/>
    <col min="55" max="55" width="7.5703125" bestFit="1" customWidth="1"/>
    <col min="56" max="56" width="9.7109375" bestFit="1" customWidth="1"/>
    <col min="57" max="57" width="11.140625" bestFit="1" customWidth="1"/>
    <col min="58" max="58" width="12" bestFit="1" customWidth="1"/>
    <col min="59" max="59" width="16.7109375" bestFit="1" customWidth="1"/>
    <col min="60" max="60" width="4.85546875" bestFit="1" customWidth="1"/>
    <col min="61" max="61" width="32.42578125" bestFit="1" customWidth="1"/>
    <col min="62" max="62" width="21.5703125" bestFit="1" customWidth="1"/>
    <col min="63" max="63" width="5.7109375" bestFit="1" customWidth="1"/>
    <col min="64" max="64" width="7.5703125" bestFit="1" customWidth="1"/>
    <col min="65" max="65" width="9.7109375" bestFit="1" customWidth="1"/>
    <col min="66" max="66" width="11.140625" bestFit="1" customWidth="1"/>
    <col min="67" max="67" width="12" bestFit="1" customWidth="1"/>
    <col min="68" max="68" width="5.7109375" bestFit="1" customWidth="1"/>
    <col min="69" max="69" width="7.5703125" bestFit="1" customWidth="1"/>
    <col min="70" max="70" width="9.7109375" bestFit="1" customWidth="1"/>
    <col min="71" max="71" width="11.140625" bestFit="1" customWidth="1"/>
    <col min="76" max="76" width="18.7109375" bestFit="1" customWidth="1"/>
    <col min="77" max="77" width="4.85546875" bestFit="1" customWidth="1"/>
    <col min="78" max="78" width="33.28515625" bestFit="1" customWidth="1"/>
    <col min="79" max="79" width="21.5703125" bestFit="1" customWidth="1"/>
    <col min="80" max="80" width="6.7109375" bestFit="1" customWidth="1"/>
    <col min="81" max="81" width="7.5703125" bestFit="1" customWidth="1"/>
    <col min="82" max="82" width="9.7109375" bestFit="1" customWidth="1"/>
    <col min="83" max="83" width="11.140625" bestFit="1" customWidth="1"/>
    <col min="84" max="84" width="12" bestFit="1" customWidth="1"/>
    <col min="85" max="85" width="16.7109375" bestFit="1" customWidth="1"/>
    <col min="86" max="86" width="4.85546875" bestFit="1" customWidth="1"/>
    <col min="87" max="87" width="32.42578125" bestFit="1" customWidth="1"/>
    <col min="88" max="88" width="21.5703125" bestFit="1" customWidth="1"/>
    <col min="89" max="89" width="5.7109375" bestFit="1" customWidth="1"/>
    <col min="90" max="90" width="7.5703125" bestFit="1" customWidth="1"/>
    <col min="91" max="91" width="9.7109375" bestFit="1" customWidth="1"/>
    <col min="92" max="92" width="11.140625" bestFit="1" customWidth="1"/>
    <col min="93" max="93" width="12" bestFit="1" customWidth="1"/>
    <col min="94" max="94" width="5.7109375" bestFit="1" customWidth="1"/>
    <col min="95" max="95" width="7.5703125" bestFit="1" customWidth="1"/>
    <col min="96" max="96" width="9.7109375" bestFit="1" customWidth="1"/>
    <col min="97" max="97" width="11.140625" bestFit="1" customWidth="1"/>
    <col min="102" max="102" width="21" bestFit="1" customWidth="1"/>
    <col min="103" max="103" width="19.7109375" bestFit="1" customWidth="1"/>
    <col min="112" max="112" width="9" bestFit="1" customWidth="1"/>
    <col min="113" max="113" width="9.7109375" customWidth="1"/>
    <col min="116" max="116" width="8.5703125" bestFit="1" customWidth="1"/>
    <col min="149" max="149" width="10.5703125" bestFit="1" customWidth="1"/>
    <col min="163" max="163" width="11" bestFit="1" customWidth="1"/>
    <col min="164" max="164" width="11.5703125" bestFit="1" customWidth="1"/>
    <col min="165" max="165" width="19" bestFit="1" customWidth="1"/>
    <col min="166" max="166" width="7.5703125" bestFit="1" customWidth="1"/>
    <col min="167" max="167" width="9" bestFit="1" customWidth="1"/>
    <col min="168" max="168" width="11.28515625" bestFit="1" customWidth="1"/>
    <col min="169" max="169" width="6.5703125" bestFit="1" customWidth="1"/>
    <col min="170" max="170" width="12.5703125" bestFit="1" customWidth="1"/>
    <col min="171" max="171" width="20.42578125" bestFit="1" customWidth="1"/>
    <col min="173" max="173" width="14.5703125" bestFit="1" customWidth="1"/>
    <col min="174" max="174" width="6.5703125" bestFit="1" customWidth="1"/>
    <col min="175" max="175" width="7.85546875" bestFit="1" customWidth="1"/>
    <col min="176" max="176" width="5.7109375" bestFit="1" customWidth="1"/>
    <col min="177" max="177" width="11.5703125" bestFit="1" customWidth="1"/>
    <col min="178" max="178" width="12.140625" bestFit="1" customWidth="1"/>
    <col min="186" max="186" width="14.28515625" bestFit="1" customWidth="1"/>
    <col min="190" max="190" width="24.42578125" bestFit="1" customWidth="1"/>
    <col min="191" max="191" width="18.140625" bestFit="1" customWidth="1"/>
    <col min="192" max="192" width="15.5703125" bestFit="1" customWidth="1"/>
    <col min="193" max="193" width="15.140625" bestFit="1" customWidth="1"/>
    <col min="194" max="195" width="16.5703125" bestFit="1" customWidth="1"/>
    <col min="196" max="196" width="10.85546875" bestFit="1" customWidth="1"/>
    <col min="197" max="197" width="26.5703125" bestFit="1" customWidth="1"/>
    <col min="199" max="199" width="15.140625" bestFit="1" customWidth="1"/>
    <col min="200" max="200" width="14.85546875" bestFit="1" customWidth="1"/>
    <col min="201" max="201" width="17.5703125" bestFit="1" customWidth="1"/>
    <col min="202" max="202" width="16.5703125" bestFit="1" customWidth="1"/>
    <col min="203" max="203" width="9" customWidth="1"/>
    <col min="204" max="205" width="14" bestFit="1" customWidth="1"/>
    <col min="206" max="206" width="30.28515625" bestFit="1" customWidth="1"/>
    <col min="208" max="208" width="14" bestFit="1" customWidth="1"/>
    <col min="210" max="210" width="12.7109375" bestFit="1" customWidth="1"/>
    <col min="211" max="211" width="10.85546875" bestFit="1" customWidth="1"/>
    <col min="212" max="212" width="19.7109375" bestFit="1" customWidth="1"/>
    <col min="214" max="214" width="18.28515625" bestFit="1" customWidth="1"/>
    <col min="215" max="215" width="14.7109375" bestFit="1" customWidth="1"/>
    <col min="216" max="216" width="17.140625" bestFit="1" customWidth="1"/>
    <col min="217" max="217" width="14.140625" bestFit="1" customWidth="1"/>
    <col min="237" max="237" width="21.42578125" bestFit="1" customWidth="1"/>
    <col min="238" max="238" width="12.42578125" bestFit="1" customWidth="1"/>
    <col min="239" max="239" width="9.5703125" bestFit="1" customWidth="1"/>
    <col min="240" max="240" width="35.7109375" bestFit="1" customWidth="1"/>
    <col min="242" max="244" width="14" bestFit="1" customWidth="1"/>
    <col min="245" max="246" width="11.140625" bestFit="1" customWidth="1"/>
    <col min="248" max="248" width="11.140625" bestFit="1" customWidth="1"/>
    <col min="262" max="262" width="37" bestFit="1" customWidth="1"/>
    <col min="263" max="263" width="14.42578125" bestFit="1" customWidth="1"/>
    <col min="264" max="264" width="35.28515625" bestFit="1" customWidth="1"/>
    <col min="265" max="265" width="18.140625" bestFit="1" customWidth="1"/>
    <col min="266" max="266" width="17" bestFit="1" customWidth="1"/>
    <col min="267" max="267" width="12.5703125" bestFit="1" customWidth="1"/>
    <col min="268" max="268" width="11" bestFit="1" customWidth="1"/>
    <col min="269" max="269" width="11.140625" bestFit="1" customWidth="1"/>
    <col min="286" max="286" width="13.28515625" bestFit="1" customWidth="1"/>
    <col min="287" max="287" width="9.5703125" bestFit="1" customWidth="1"/>
    <col min="288" max="288" width="16.5703125" bestFit="1" customWidth="1"/>
    <col min="289" max="289" width="9.85546875" bestFit="1" customWidth="1"/>
    <col min="290" max="290" width="21.140625" bestFit="1" customWidth="1"/>
    <col min="291" max="291" width="29.140625" bestFit="1" customWidth="1"/>
    <col min="293" max="293" width="13.85546875" bestFit="1" customWidth="1"/>
    <col min="294" max="294" width="10.28515625" bestFit="1" customWidth="1"/>
    <col min="295" max="295" width="18.140625" bestFit="1" customWidth="1"/>
    <col min="296" max="296" width="17.42578125" bestFit="1" customWidth="1"/>
    <col min="312" max="312" width="19.28515625" bestFit="1" customWidth="1"/>
    <col min="313" max="313" width="8.85546875" customWidth="1"/>
    <col min="314" max="314" width="13.140625" bestFit="1" customWidth="1"/>
    <col min="315" max="315" width="19.7109375" bestFit="1" customWidth="1"/>
    <col min="317" max="317" width="6.42578125" bestFit="1" customWidth="1"/>
    <col min="320" max="320" width="19.7109375" bestFit="1" customWidth="1"/>
    <col min="321" max="321" width="16.42578125" bestFit="1" customWidth="1"/>
    <col min="322" max="322" width="22" bestFit="1" customWidth="1"/>
    <col min="323" max="323" width="12.140625" customWidth="1"/>
    <col min="324" max="324" width="14.5703125" bestFit="1" customWidth="1"/>
  </cols>
  <sheetData>
    <row r="1" spans="1:324" ht="49.5" x14ac:dyDescent="0.55000000000000004">
      <c r="A1" s="259" t="s">
        <v>0</v>
      </c>
      <c r="B1" s="259"/>
      <c r="C1" s="259"/>
      <c r="D1" s="259"/>
      <c r="E1" s="259"/>
      <c r="F1" s="259"/>
      <c r="G1" s="1"/>
      <c r="H1" s="259" t="s">
        <v>0</v>
      </c>
      <c r="I1" s="259"/>
      <c r="J1" s="259"/>
      <c r="K1" s="259"/>
      <c r="L1" s="259"/>
      <c r="M1" s="259"/>
      <c r="N1" s="1"/>
      <c r="O1" s="259" t="s">
        <v>0</v>
      </c>
      <c r="P1" s="259"/>
      <c r="Q1" s="259"/>
      <c r="R1" s="259"/>
      <c r="S1" s="259"/>
      <c r="T1" s="259"/>
      <c r="Y1" s="260" t="s">
        <v>1</v>
      </c>
      <c r="Z1" s="261"/>
      <c r="AA1" s="261"/>
      <c r="AB1" s="261"/>
      <c r="AC1" s="261"/>
      <c r="AD1" s="261"/>
      <c r="AE1" s="261"/>
      <c r="AF1" s="261"/>
      <c r="AG1" s="261"/>
      <c r="AH1" s="261"/>
      <c r="AI1" s="261"/>
      <c r="AJ1" s="261"/>
      <c r="AK1" s="261"/>
      <c r="AL1" s="261"/>
      <c r="AM1" s="261"/>
      <c r="AN1" s="261"/>
      <c r="AO1" s="261"/>
      <c r="AX1" s="260" t="s">
        <v>2</v>
      </c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X1" s="260" t="s">
        <v>3</v>
      </c>
      <c r="BY1" s="261"/>
      <c r="BZ1" s="261"/>
      <c r="CA1" s="261"/>
      <c r="CB1" s="261"/>
      <c r="CC1" s="261"/>
      <c r="CD1" s="261"/>
      <c r="CE1" s="261"/>
      <c r="CF1" s="261"/>
      <c r="CG1" s="261"/>
      <c r="CH1" s="261"/>
      <c r="CI1" s="261"/>
      <c r="CJ1" s="261"/>
      <c r="CK1" s="261"/>
      <c r="CL1" s="261"/>
      <c r="CM1" s="261"/>
      <c r="CN1" s="261"/>
      <c r="EB1" s="3" t="s">
        <v>4</v>
      </c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4"/>
      <c r="ES1" s="5" t="s">
        <v>5</v>
      </c>
      <c r="ET1" s="6" t="s">
        <v>6</v>
      </c>
      <c r="EU1" s="6" t="s">
        <v>7</v>
      </c>
      <c r="EV1" s="6"/>
      <c r="EW1" s="7" t="s">
        <v>8</v>
      </c>
      <c r="EX1" s="7" t="s">
        <v>9</v>
      </c>
      <c r="EY1" s="7" t="s">
        <v>10</v>
      </c>
      <c r="EZ1" s="8" t="s">
        <v>11</v>
      </c>
      <c r="FG1" s="262" t="s">
        <v>12</v>
      </c>
      <c r="FH1" s="262"/>
      <c r="FI1" s="262"/>
      <c r="FJ1" s="262"/>
      <c r="FK1" s="262"/>
      <c r="FL1" s="262"/>
      <c r="FM1" s="262"/>
      <c r="FN1" s="262"/>
      <c r="FO1" s="262"/>
      <c r="FP1" s="262"/>
      <c r="FQ1" s="262"/>
      <c r="FR1" s="262"/>
      <c r="FS1" s="262"/>
      <c r="FT1" s="262"/>
      <c r="FU1" s="262"/>
      <c r="FV1" s="262"/>
      <c r="FW1" s="262"/>
      <c r="FX1" s="262"/>
      <c r="FY1" s="262"/>
      <c r="FZ1" s="262"/>
      <c r="GA1" s="262"/>
      <c r="GB1" s="262"/>
      <c r="GC1" s="262"/>
      <c r="GD1" s="262"/>
      <c r="HB1" s="9" t="s">
        <v>13</v>
      </c>
      <c r="HC1" s="9" t="s">
        <v>14</v>
      </c>
      <c r="HD1" s="9" t="s">
        <v>15</v>
      </c>
      <c r="HE1" s="9"/>
      <c r="HF1" s="10" t="s">
        <v>16</v>
      </c>
      <c r="HG1" s="10" t="s">
        <v>17</v>
      </c>
      <c r="HH1" s="10" t="s">
        <v>18</v>
      </c>
      <c r="HI1" s="10" t="s">
        <v>19</v>
      </c>
      <c r="IC1" s="263" t="s">
        <v>20</v>
      </c>
      <c r="ID1" s="264"/>
      <c r="IE1" s="264"/>
      <c r="IF1" s="264"/>
      <c r="IG1" s="264"/>
      <c r="IH1" s="264"/>
      <c r="II1" s="264"/>
      <c r="IJ1" s="264"/>
      <c r="IK1" s="265"/>
      <c r="JB1" s="3" t="s">
        <v>21</v>
      </c>
      <c r="JC1" s="2"/>
      <c r="JD1" s="2"/>
      <c r="JE1" s="2"/>
      <c r="JF1" s="2"/>
      <c r="JG1" s="2"/>
      <c r="JH1" s="2"/>
      <c r="JZ1" s="9" t="s">
        <v>22</v>
      </c>
      <c r="KA1" s="9" t="s">
        <v>23</v>
      </c>
      <c r="KB1" s="9" t="s">
        <v>24</v>
      </c>
      <c r="KC1" s="9" t="s">
        <v>25</v>
      </c>
      <c r="KD1" s="9" t="s">
        <v>26</v>
      </c>
      <c r="KE1" s="9" t="s">
        <v>27</v>
      </c>
      <c r="KF1" s="9"/>
      <c r="KG1" s="10" t="s">
        <v>28</v>
      </c>
      <c r="KH1" s="10" t="s">
        <v>29</v>
      </c>
      <c r="KI1" s="10" t="s">
        <v>30</v>
      </c>
      <c r="KJ1" s="10" t="s">
        <v>31</v>
      </c>
      <c r="KZ1" s="266" t="s">
        <v>32</v>
      </c>
      <c r="LA1" s="267"/>
      <c r="LB1" s="267"/>
      <c r="LC1" s="267"/>
      <c r="LD1" s="267"/>
      <c r="LE1" s="268"/>
      <c r="LH1" s="266" t="s">
        <v>33</v>
      </c>
      <c r="LI1" s="267"/>
      <c r="LJ1" s="267"/>
      <c r="LK1" s="267"/>
      <c r="LL1" s="268"/>
    </row>
    <row r="2" spans="1:324" ht="33" thickBot="1" x14ac:dyDescent="0.45">
      <c r="A2" s="11" t="s">
        <v>34</v>
      </c>
      <c r="B2" s="12" t="s">
        <v>35</v>
      </c>
      <c r="C2" s="13" t="s">
        <v>36</v>
      </c>
      <c r="D2" s="12" t="s">
        <v>37</v>
      </c>
      <c r="E2" s="14" t="s">
        <v>38</v>
      </c>
      <c r="F2" s="15" t="s">
        <v>39</v>
      </c>
      <c r="G2" s="1"/>
      <c r="H2" s="11" t="s">
        <v>34</v>
      </c>
      <c r="I2" s="12" t="s">
        <v>35</v>
      </c>
      <c r="J2" s="13" t="s">
        <v>36</v>
      </c>
      <c r="K2" s="12" t="s">
        <v>37</v>
      </c>
      <c r="L2" s="14" t="s">
        <v>38</v>
      </c>
      <c r="M2" s="15" t="s">
        <v>39</v>
      </c>
      <c r="N2" s="1"/>
      <c r="O2" s="11" t="s">
        <v>34</v>
      </c>
      <c r="P2" s="12" t="s">
        <v>35</v>
      </c>
      <c r="Q2" s="13" t="s">
        <v>36</v>
      </c>
      <c r="R2" s="12" t="s">
        <v>37</v>
      </c>
      <c r="S2" s="14" t="s">
        <v>38</v>
      </c>
      <c r="T2" s="15" t="s">
        <v>39</v>
      </c>
      <c r="Y2" s="269" t="s">
        <v>40</v>
      </c>
      <c r="Z2" s="269"/>
      <c r="AA2" s="269"/>
      <c r="AB2" s="269"/>
      <c r="AC2" s="269"/>
      <c r="AD2" s="269"/>
      <c r="AE2" s="269"/>
      <c r="AF2" s="269"/>
      <c r="AG2" s="16"/>
      <c r="AH2" s="269" t="s">
        <v>41</v>
      </c>
      <c r="AI2" s="269"/>
      <c r="AJ2" s="269"/>
      <c r="AK2" s="269"/>
      <c r="AL2" s="269"/>
      <c r="AM2" s="269"/>
      <c r="AN2" s="269"/>
      <c r="AO2" s="269"/>
      <c r="AX2" s="269" t="s">
        <v>40</v>
      </c>
      <c r="AY2" s="269"/>
      <c r="AZ2" s="269"/>
      <c r="BA2" s="269"/>
      <c r="BB2" s="269"/>
      <c r="BC2" s="269"/>
      <c r="BD2" s="269"/>
      <c r="BE2" s="269"/>
      <c r="BF2" s="16"/>
      <c r="BG2" s="269" t="s">
        <v>41</v>
      </c>
      <c r="BH2" s="269"/>
      <c r="BI2" s="269"/>
      <c r="BJ2" s="269"/>
      <c r="BK2" s="269"/>
      <c r="BL2" s="269"/>
      <c r="BM2" s="269"/>
      <c r="BN2" s="269"/>
      <c r="BX2" s="269" t="s">
        <v>40</v>
      </c>
      <c r="BY2" s="269"/>
      <c r="BZ2" s="269"/>
      <c r="CA2" s="269"/>
      <c r="CB2" s="269"/>
      <c r="CC2" s="269"/>
      <c r="CD2" s="269"/>
      <c r="CE2" s="269"/>
      <c r="CF2" s="16"/>
      <c r="CG2" s="269" t="s">
        <v>41</v>
      </c>
      <c r="CH2" s="269"/>
      <c r="CI2" s="269"/>
      <c r="CJ2" s="269"/>
      <c r="CK2" s="269"/>
      <c r="CL2" s="269"/>
      <c r="CM2" s="269"/>
      <c r="CN2" s="269"/>
      <c r="CX2" s="270" t="s">
        <v>42</v>
      </c>
      <c r="CY2" s="270"/>
      <c r="CZ2" s="270"/>
      <c r="DA2" s="270"/>
      <c r="DB2" s="270"/>
      <c r="DC2" s="270"/>
      <c r="DD2" s="270"/>
      <c r="DE2" s="270"/>
      <c r="DF2" s="270"/>
      <c r="DG2" s="270"/>
      <c r="DH2" s="270"/>
      <c r="DI2" s="270"/>
      <c r="DJ2" s="270"/>
      <c r="DK2" s="270"/>
      <c r="DL2" s="270"/>
      <c r="DM2" s="270"/>
      <c r="DN2" s="270"/>
      <c r="DO2" s="270"/>
      <c r="DP2" s="270"/>
      <c r="DQ2" s="270"/>
      <c r="DR2" s="270"/>
      <c r="DS2" s="270"/>
      <c r="DT2" s="270"/>
      <c r="DU2" s="270"/>
      <c r="DV2" s="270"/>
      <c r="DW2" s="270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4"/>
      <c r="ES2" s="17" t="s">
        <v>43</v>
      </c>
      <c r="ET2" s="18"/>
      <c r="EU2" s="18">
        <f>ET2*EZ2</f>
        <v>0</v>
      </c>
      <c r="EV2" s="18"/>
      <c r="EW2" s="19">
        <v>2</v>
      </c>
      <c r="EX2" s="19">
        <v>4</v>
      </c>
      <c r="EY2" s="19">
        <v>1</v>
      </c>
      <c r="EZ2" s="20">
        <f>EW2+EX2+EY2</f>
        <v>7</v>
      </c>
      <c r="FG2" s="9" t="s">
        <v>44</v>
      </c>
      <c r="FH2" s="9" t="s">
        <v>45</v>
      </c>
      <c r="FI2" s="9" t="s">
        <v>46</v>
      </c>
      <c r="FJ2" s="9" t="s">
        <v>47</v>
      </c>
      <c r="FK2" s="9" t="s">
        <v>48</v>
      </c>
      <c r="FL2" s="9" t="s">
        <v>49</v>
      </c>
      <c r="FM2" s="9" t="s">
        <v>50</v>
      </c>
      <c r="FN2" s="9" t="s">
        <v>51</v>
      </c>
      <c r="FO2" s="9" t="s">
        <v>52</v>
      </c>
      <c r="FP2" s="9"/>
      <c r="FQ2" s="10" t="s">
        <v>53</v>
      </c>
      <c r="FR2" s="10" t="s">
        <v>54</v>
      </c>
      <c r="FS2" s="10" t="s">
        <v>55</v>
      </c>
      <c r="FT2" s="10" t="s">
        <v>56</v>
      </c>
      <c r="FU2" s="10" t="s">
        <v>57</v>
      </c>
      <c r="FV2" s="21" t="s">
        <v>58</v>
      </c>
      <c r="FW2" s="9" t="s">
        <v>44</v>
      </c>
      <c r="FX2" s="9"/>
      <c r="FY2" s="22" t="s">
        <v>59</v>
      </c>
      <c r="FZ2" s="9"/>
      <c r="GA2" s="9"/>
      <c r="GB2" s="9"/>
      <c r="GD2" s="23" t="s">
        <v>53</v>
      </c>
      <c r="GH2" s="3" t="s">
        <v>60</v>
      </c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HB2" s="2" t="s">
        <v>61</v>
      </c>
      <c r="HC2" s="2">
        <v>1</v>
      </c>
      <c r="HD2" s="2">
        <f>HC2*HI2</f>
        <v>4.5</v>
      </c>
      <c r="HE2" s="2"/>
      <c r="HF2" s="4">
        <v>1</v>
      </c>
      <c r="HG2" s="4">
        <v>0.5</v>
      </c>
      <c r="HH2" s="4">
        <v>3</v>
      </c>
      <c r="HI2" s="4">
        <f>HF2+HG2+HH2</f>
        <v>4.5</v>
      </c>
      <c r="IC2" s="24" t="s">
        <v>62</v>
      </c>
      <c r="ID2" s="18"/>
      <c r="IE2" s="18"/>
      <c r="IF2" s="18"/>
      <c r="IG2" s="18"/>
      <c r="IH2" s="18"/>
      <c r="II2" s="18"/>
      <c r="IJ2" s="18"/>
      <c r="IK2" s="25"/>
      <c r="JB2" s="9" t="s">
        <v>63</v>
      </c>
      <c r="JC2" s="9" t="s">
        <v>64</v>
      </c>
      <c r="JD2" s="9" t="s">
        <v>65</v>
      </c>
      <c r="JE2" s="9"/>
      <c r="JF2" s="10" t="s">
        <v>66</v>
      </c>
      <c r="JG2" s="10" t="s">
        <v>67</v>
      </c>
      <c r="JH2" s="10" t="s">
        <v>68</v>
      </c>
      <c r="JI2" s="10" t="s">
        <v>69</v>
      </c>
      <c r="JZ2" s="2" t="s">
        <v>70</v>
      </c>
      <c r="KA2" s="2"/>
      <c r="KB2" s="26">
        <f t="shared" ref="KB2:KB14" si="0">KG2*KA2</f>
        <v>0</v>
      </c>
      <c r="KC2" s="26">
        <f>KB2/18</f>
        <v>0</v>
      </c>
      <c r="KD2" s="2"/>
      <c r="KE2" s="26">
        <f t="shared" ref="KE2:KE14" si="1">(KA2*KH2)+(KC2*KI2)+(KD2*KJ2)</f>
        <v>0</v>
      </c>
      <c r="KF2" s="2"/>
      <c r="KG2" s="4">
        <v>6.3</v>
      </c>
      <c r="KH2" s="4">
        <v>4</v>
      </c>
      <c r="KI2" s="4">
        <v>3</v>
      </c>
      <c r="KJ2" s="4">
        <v>3</v>
      </c>
      <c r="KZ2" s="27" t="s">
        <v>71</v>
      </c>
      <c r="LA2" s="28" t="s">
        <v>72</v>
      </c>
      <c r="LB2" s="28" t="s">
        <v>73</v>
      </c>
      <c r="LC2" s="28" t="s">
        <v>74</v>
      </c>
      <c r="LD2" s="28"/>
      <c r="LE2" s="29" t="s">
        <v>75</v>
      </c>
      <c r="LH2" s="27" t="s">
        <v>76</v>
      </c>
      <c r="LI2" s="28" t="s">
        <v>77</v>
      </c>
      <c r="LJ2" s="28" t="s">
        <v>78</v>
      </c>
      <c r="LK2" s="28"/>
      <c r="LL2" s="29" t="s">
        <v>79</v>
      </c>
    </row>
    <row r="3" spans="1:324" ht="16.5" thickBot="1" x14ac:dyDescent="0.3">
      <c r="A3" s="11"/>
      <c r="B3" s="12"/>
      <c r="C3" s="13"/>
      <c r="D3" s="12"/>
      <c r="E3" s="14"/>
      <c r="F3" s="15"/>
      <c r="G3" s="1"/>
      <c r="H3" s="11"/>
      <c r="I3" s="12"/>
      <c r="J3" s="13"/>
      <c r="K3" s="12"/>
      <c r="L3" s="14"/>
      <c r="M3" s="15"/>
      <c r="N3" s="1"/>
      <c r="O3" s="11"/>
      <c r="P3" s="12"/>
      <c r="Q3" s="13"/>
      <c r="R3" s="12"/>
      <c r="S3" s="14"/>
      <c r="T3" s="15"/>
      <c r="Y3" s="30" t="s">
        <v>34</v>
      </c>
      <c r="Z3" s="31" t="s">
        <v>35</v>
      </c>
      <c r="AA3" s="31" t="s">
        <v>36</v>
      </c>
      <c r="AB3" s="31" t="s">
        <v>37</v>
      </c>
      <c r="AC3" s="32" t="s">
        <v>38</v>
      </c>
      <c r="AD3" s="33" t="s">
        <v>39</v>
      </c>
      <c r="AE3" s="31" t="s">
        <v>80</v>
      </c>
      <c r="AF3" s="34" t="s">
        <v>81</v>
      </c>
      <c r="AG3" s="1"/>
      <c r="AH3" s="35" t="s">
        <v>34</v>
      </c>
      <c r="AI3" s="36" t="s">
        <v>35</v>
      </c>
      <c r="AJ3" s="36" t="s">
        <v>36</v>
      </c>
      <c r="AK3" s="36" t="s">
        <v>37</v>
      </c>
      <c r="AL3" s="37" t="s">
        <v>38</v>
      </c>
      <c r="AM3" s="38" t="s">
        <v>39</v>
      </c>
      <c r="AN3" s="31" t="s">
        <v>80</v>
      </c>
      <c r="AO3" s="34" t="s">
        <v>81</v>
      </c>
      <c r="AQ3" s="271" t="s">
        <v>82</v>
      </c>
      <c r="AR3" s="271"/>
      <c r="AS3" s="271"/>
      <c r="AT3" s="271"/>
      <c r="AU3" s="271"/>
      <c r="AX3" s="30" t="s">
        <v>34</v>
      </c>
      <c r="AY3" s="31" t="s">
        <v>35</v>
      </c>
      <c r="AZ3" s="31" t="s">
        <v>36</v>
      </c>
      <c r="BA3" s="31" t="s">
        <v>37</v>
      </c>
      <c r="BB3" s="32" t="s">
        <v>38</v>
      </c>
      <c r="BC3" s="33" t="s">
        <v>39</v>
      </c>
      <c r="BD3" s="31" t="s">
        <v>80</v>
      </c>
      <c r="BE3" s="34" t="s">
        <v>81</v>
      </c>
      <c r="BF3" s="1"/>
      <c r="BG3" s="35" t="s">
        <v>34</v>
      </c>
      <c r="BH3" s="36" t="s">
        <v>35</v>
      </c>
      <c r="BI3" s="36" t="s">
        <v>36</v>
      </c>
      <c r="BJ3" s="36" t="s">
        <v>37</v>
      </c>
      <c r="BK3" s="37" t="s">
        <v>38</v>
      </c>
      <c r="BL3" s="38" t="s">
        <v>39</v>
      </c>
      <c r="BM3" s="31" t="s">
        <v>80</v>
      </c>
      <c r="BN3" s="34" t="s">
        <v>81</v>
      </c>
      <c r="BP3" s="271" t="s">
        <v>82</v>
      </c>
      <c r="BQ3" s="271"/>
      <c r="BR3" s="271"/>
      <c r="BS3" s="271"/>
      <c r="BT3" s="271"/>
      <c r="BX3" s="30" t="s">
        <v>34</v>
      </c>
      <c r="BY3" s="31" t="s">
        <v>35</v>
      </c>
      <c r="BZ3" s="31" t="s">
        <v>36</v>
      </c>
      <c r="CA3" s="31" t="s">
        <v>37</v>
      </c>
      <c r="CB3" s="32" t="s">
        <v>38</v>
      </c>
      <c r="CC3" s="33" t="s">
        <v>39</v>
      </c>
      <c r="CD3" s="31" t="s">
        <v>80</v>
      </c>
      <c r="CE3" s="34" t="s">
        <v>81</v>
      </c>
      <c r="CF3" s="1"/>
      <c r="CG3" s="35" t="s">
        <v>34</v>
      </c>
      <c r="CH3" s="36" t="s">
        <v>35</v>
      </c>
      <c r="CI3" s="36" t="s">
        <v>36</v>
      </c>
      <c r="CJ3" s="36" t="s">
        <v>37</v>
      </c>
      <c r="CK3" s="37" t="s">
        <v>38</v>
      </c>
      <c r="CL3" s="38" t="s">
        <v>39</v>
      </c>
      <c r="CM3" s="39" t="s">
        <v>80</v>
      </c>
      <c r="CN3" s="34" t="s">
        <v>81</v>
      </c>
      <c r="CP3" s="271" t="s">
        <v>82</v>
      </c>
      <c r="CQ3" s="271"/>
      <c r="CR3" s="271"/>
      <c r="CS3" s="271"/>
      <c r="CT3" s="271"/>
      <c r="CX3" s="272" t="s">
        <v>83</v>
      </c>
      <c r="CY3" s="274" t="s">
        <v>84</v>
      </c>
      <c r="CZ3" s="276" t="s">
        <v>35</v>
      </c>
      <c r="DA3" s="278" t="s">
        <v>85</v>
      </c>
      <c r="DB3" s="280" t="s">
        <v>86</v>
      </c>
      <c r="DC3" s="280"/>
      <c r="DD3" s="280"/>
      <c r="DE3" s="280"/>
      <c r="DF3" s="281"/>
      <c r="DG3" s="40"/>
      <c r="DH3" s="282" t="s">
        <v>87</v>
      </c>
      <c r="DI3" s="280"/>
      <c r="DJ3" s="280"/>
      <c r="DK3" s="280"/>
      <c r="DL3" s="280"/>
      <c r="DM3" s="41"/>
      <c r="DN3" s="282" t="s">
        <v>88</v>
      </c>
      <c r="DO3" s="280"/>
      <c r="DP3" s="280"/>
      <c r="DQ3" s="280"/>
      <c r="DR3" s="280"/>
      <c r="DS3" s="282" t="s">
        <v>89</v>
      </c>
      <c r="DT3" s="280"/>
      <c r="DU3" s="280"/>
      <c r="DV3" s="280"/>
      <c r="DW3" s="281"/>
      <c r="EB3" s="42" t="s">
        <v>90</v>
      </c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4"/>
      <c r="ES3" s="17" t="s">
        <v>91</v>
      </c>
      <c r="ET3" s="18"/>
      <c r="EU3" s="18">
        <f t="shared" ref="EU3:EU15" si="2">ET3*EZ3</f>
        <v>0</v>
      </c>
      <c r="EV3" s="18"/>
      <c r="EW3" s="19">
        <v>2</v>
      </c>
      <c r="EX3" s="19">
        <v>4</v>
      </c>
      <c r="EY3" s="19">
        <v>2</v>
      </c>
      <c r="EZ3" s="20">
        <f t="shared" ref="EZ3:EZ15" si="3">EW3+EX3+EY3</f>
        <v>8</v>
      </c>
      <c r="FG3" s="2" t="s">
        <v>92</v>
      </c>
      <c r="FH3" s="2">
        <v>1</v>
      </c>
      <c r="FI3" s="43" t="s">
        <v>93</v>
      </c>
      <c r="FJ3" s="43" t="s">
        <v>94</v>
      </c>
      <c r="FK3" s="43" t="s">
        <v>94</v>
      </c>
      <c r="FL3" s="43"/>
      <c r="FM3" s="2" t="s">
        <v>94</v>
      </c>
      <c r="FN3" s="2" t="s">
        <v>94</v>
      </c>
      <c r="FO3" s="26">
        <f t="shared" ref="FO3:FO16" si="4">(FH3*FV3)+FR3+FS3+FT3+FU3</f>
        <v>15</v>
      </c>
      <c r="FP3" s="2"/>
      <c r="FQ3" s="4" t="str">
        <f>IF(FI3=0,"0",IF(FI3="5/16","3",IF(FI3="3/8","3.3",IF(FI3="1/2","4",IF(FI3="5/8","5",IF(FI3="3/4","5.5","3"))))))</f>
        <v>3</v>
      </c>
      <c r="FR3" s="4" t="str">
        <f t="shared" ref="FR3:FS9" si="5">IF(FJ3="Yes","3","0")</f>
        <v>3</v>
      </c>
      <c r="FS3" s="4" t="str">
        <f t="shared" si="5"/>
        <v>3</v>
      </c>
      <c r="FT3" s="4" t="str">
        <f t="shared" ref="FT3:FT16" si="6">IF(FM3="Yes","2","0")</f>
        <v>2</v>
      </c>
      <c r="FU3" s="4" t="str">
        <f>IF(FN3="Yes","4","0")</f>
        <v>4</v>
      </c>
      <c r="FV3" s="44" t="str">
        <f>IF(FL3="Yes",FQ3*2,FQ3)</f>
        <v>3</v>
      </c>
      <c r="FW3" s="45" t="s">
        <v>92</v>
      </c>
      <c r="FX3" s="2"/>
      <c r="FY3" s="2" t="s">
        <v>95</v>
      </c>
      <c r="FZ3" s="2"/>
      <c r="GA3" s="2"/>
      <c r="GB3" s="2"/>
      <c r="GD3" s="43" t="s">
        <v>96</v>
      </c>
      <c r="GH3" s="9" t="s">
        <v>76</v>
      </c>
      <c r="GI3" s="9" t="s">
        <v>97</v>
      </c>
      <c r="GJ3" s="9" t="s">
        <v>98</v>
      </c>
      <c r="GK3" s="9" t="s">
        <v>99</v>
      </c>
      <c r="GL3" s="9" t="s">
        <v>100</v>
      </c>
      <c r="GM3" s="9" t="s">
        <v>101</v>
      </c>
      <c r="GN3" s="9" t="s">
        <v>14</v>
      </c>
      <c r="GO3" s="9" t="s">
        <v>102</v>
      </c>
      <c r="GP3" s="9"/>
      <c r="GQ3" s="10" t="s">
        <v>103</v>
      </c>
      <c r="GR3" s="10" t="s">
        <v>104</v>
      </c>
      <c r="GS3" s="10" t="s">
        <v>105</v>
      </c>
      <c r="GT3" s="10" t="s">
        <v>106</v>
      </c>
      <c r="GU3" s="10" t="s">
        <v>107</v>
      </c>
      <c r="HB3" s="2" t="s">
        <v>108</v>
      </c>
      <c r="HC3" s="2">
        <v>1</v>
      </c>
      <c r="HD3" s="2">
        <f t="shared" ref="HD3:HD17" si="7">HC3*HI3</f>
        <v>5</v>
      </c>
      <c r="HE3" s="2"/>
      <c r="HF3" s="4">
        <v>1</v>
      </c>
      <c r="HG3" s="4">
        <v>1</v>
      </c>
      <c r="HH3" s="4">
        <v>3</v>
      </c>
      <c r="HI3" s="4">
        <f t="shared" ref="HI3:HI17" si="8">HF3+HG3+HH3</f>
        <v>5</v>
      </c>
      <c r="IC3" s="27" t="s">
        <v>109</v>
      </c>
      <c r="ID3" s="28" t="s">
        <v>110</v>
      </c>
      <c r="IE3" s="28" t="s">
        <v>23</v>
      </c>
      <c r="IF3" s="28" t="s">
        <v>111</v>
      </c>
      <c r="IG3" s="28"/>
      <c r="IH3" s="46" t="s">
        <v>66</v>
      </c>
      <c r="II3" s="46" t="s">
        <v>112</v>
      </c>
      <c r="IJ3" s="46" t="s">
        <v>113</v>
      </c>
      <c r="IK3" s="29" t="s">
        <v>69</v>
      </c>
      <c r="JB3" s="2"/>
      <c r="JC3" s="2"/>
      <c r="JD3" s="26">
        <f>JF3+JG3+JH3+JI3</f>
        <v>0</v>
      </c>
      <c r="JE3" s="2"/>
      <c r="JF3" s="47">
        <f>JB3*6</f>
        <v>0</v>
      </c>
      <c r="JG3" s="47">
        <f>JC3/90</f>
        <v>0</v>
      </c>
      <c r="JH3" s="47">
        <f>JB3*1</f>
        <v>0</v>
      </c>
      <c r="JI3" s="4">
        <f>JB3*2</f>
        <v>0</v>
      </c>
      <c r="JZ3" s="2" t="s">
        <v>114</v>
      </c>
      <c r="KA3" s="2"/>
      <c r="KB3" s="26">
        <f t="shared" si="0"/>
        <v>0</v>
      </c>
      <c r="KC3" s="26">
        <f t="shared" ref="KC3:KC14" si="9">KB3/18</f>
        <v>0</v>
      </c>
      <c r="KD3" s="2"/>
      <c r="KE3" s="26">
        <f t="shared" si="1"/>
        <v>0</v>
      </c>
      <c r="KF3" s="2"/>
      <c r="KG3" s="4">
        <v>9.4</v>
      </c>
      <c r="KH3" s="4">
        <v>4</v>
      </c>
      <c r="KI3" s="4">
        <v>3</v>
      </c>
      <c r="KJ3" s="4">
        <v>3</v>
      </c>
      <c r="KZ3" s="48"/>
      <c r="LA3" s="49"/>
      <c r="LB3" s="49">
        <f>(KZ3/10)*4</f>
        <v>0</v>
      </c>
      <c r="LC3" s="50">
        <f>(KZ3*LE3)+LB3</f>
        <v>0</v>
      </c>
      <c r="LD3" s="49"/>
      <c r="LE3" s="51" t="str">
        <f>IF(LA3="Yes","1",".5")</f>
        <v>.5</v>
      </c>
      <c r="LH3" s="48"/>
      <c r="LI3" s="49" t="s">
        <v>115</v>
      </c>
      <c r="LJ3" s="50">
        <f>(LH3*3.14*LL3)+LH3</f>
        <v>0</v>
      </c>
      <c r="LK3" s="49"/>
      <c r="LL3" s="51" t="str">
        <f>IF(LI3="Round",".75",".6")</f>
        <v>.75</v>
      </c>
    </row>
    <row r="4" spans="1:324" ht="15.75" thickBot="1" x14ac:dyDescent="0.3">
      <c r="A4" s="11" t="s">
        <v>116</v>
      </c>
      <c r="B4" s="12">
        <v>1</v>
      </c>
      <c r="C4" s="52" t="s">
        <v>117</v>
      </c>
      <c r="D4" s="12" t="s">
        <v>118</v>
      </c>
      <c r="E4" s="14"/>
      <c r="F4" s="15"/>
      <c r="G4" s="1"/>
      <c r="H4" s="11" t="s">
        <v>116</v>
      </c>
      <c r="I4" s="12">
        <v>1</v>
      </c>
      <c r="J4" s="52" t="s">
        <v>117</v>
      </c>
      <c r="K4" s="12" t="s">
        <v>119</v>
      </c>
      <c r="L4" s="14"/>
      <c r="M4" s="15"/>
      <c r="N4" s="1"/>
      <c r="O4" s="11" t="s">
        <v>116</v>
      </c>
      <c r="P4" s="12">
        <v>1</v>
      </c>
      <c r="Q4" s="52" t="s">
        <v>117</v>
      </c>
      <c r="R4" s="12" t="s">
        <v>120</v>
      </c>
      <c r="S4" s="14"/>
      <c r="T4" s="15"/>
      <c r="Y4" s="53" t="s">
        <v>121</v>
      </c>
      <c r="Z4" s="54">
        <v>1</v>
      </c>
      <c r="AA4" s="53" t="s">
        <v>122</v>
      </c>
      <c r="AB4" s="54" t="s">
        <v>123</v>
      </c>
      <c r="AC4" s="55"/>
      <c r="AD4" s="56"/>
      <c r="AE4" s="57"/>
      <c r="AF4" s="58" t="s">
        <v>124</v>
      </c>
      <c r="AG4" s="1"/>
      <c r="AH4" s="59" t="s">
        <v>125</v>
      </c>
      <c r="AI4" s="12">
        <v>1</v>
      </c>
      <c r="AJ4" s="59" t="s">
        <v>126</v>
      </c>
      <c r="AK4" s="12" t="s">
        <v>123</v>
      </c>
      <c r="AL4" s="60"/>
      <c r="AM4" s="61"/>
      <c r="AN4" s="57"/>
      <c r="AO4" s="58" t="s">
        <v>127</v>
      </c>
      <c r="AQ4" s="271"/>
      <c r="AR4" s="271"/>
      <c r="AS4" s="271"/>
      <c r="AT4" s="271"/>
      <c r="AU4" s="271"/>
      <c r="AX4" s="53" t="s">
        <v>121</v>
      </c>
      <c r="AY4" s="54">
        <v>1</v>
      </c>
      <c r="AZ4" s="53" t="s">
        <v>122</v>
      </c>
      <c r="BA4" s="12" t="s">
        <v>128</v>
      </c>
      <c r="BB4" s="62"/>
      <c r="BC4" s="63"/>
      <c r="BD4" s="57"/>
      <c r="BE4" s="59" t="s">
        <v>129</v>
      </c>
      <c r="BF4" s="1"/>
      <c r="BG4" s="59" t="s">
        <v>125</v>
      </c>
      <c r="BH4" s="12">
        <v>1</v>
      </c>
      <c r="BI4" s="59" t="s">
        <v>126</v>
      </c>
      <c r="BJ4" s="64" t="s">
        <v>128</v>
      </c>
      <c r="BK4" s="60"/>
      <c r="BL4" s="65"/>
      <c r="BM4" s="57"/>
      <c r="BN4" s="66" t="s">
        <v>129</v>
      </c>
      <c r="BP4" s="271"/>
      <c r="BQ4" s="271"/>
      <c r="BR4" s="271"/>
      <c r="BS4" s="271"/>
      <c r="BT4" s="271"/>
      <c r="BX4" s="53" t="s">
        <v>121</v>
      </c>
      <c r="BY4" s="54">
        <v>1</v>
      </c>
      <c r="BZ4" s="53" t="s">
        <v>122</v>
      </c>
      <c r="CA4" s="64" t="s">
        <v>130</v>
      </c>
      <c r="CB4" s="55">
        <f>BY4*27</f>
        <v>27</v>
      </c>
      <c r="CC4" s="56"/>
      <c r="CD4" s="57">
        <v>45376</v>
      </c>
      <c r="CE4" s="58" t="s">
        <v>131</v>
      </c>
      <c r="CF4" s="1"/>
      <c r="CG4" s="59" t="s">
        <v>125</v>
      </c>
      <c r="CH4" s="12">
        <v>1</v>
      </c>
      <c r="CI4" s="59" t="s">
        <v>126</v>
      </c>
      <c r="CJ4" s="12" t="s">
        <v>130</v>
      </c>
      <c r="CK4" s="60">
        <f>CH4*27</f>
        <v>27</v>
      </c>
      <c r="CL4" s="65"/>
      <c r="CM4" s="57">
        <v>45376</v>
      </c>
      <c r="CN4" s="58" t="s">
        <v>131</v>
      </c>
      <c r="CP4" s="271"/>
      <c r="CQ4" s="271"/>
      <c r="CR4" s="271"/>
      <c r="CS4" s="271"/>
      <c r="CT4" s="271"/>
      <c r="CX4" s="273"/>
      <c r="CY4" s="275"/>
      <c r="CZ4" s="277"/>
      <c r="DA4" s="279"/>
      <c r="DB4" s="67" t="s">
        <v>132</v>
      </c>
      <c r="DC4" s="68" t="s">
        <v>133</v>
      </c>
      <c r="DD4" s="68" t="s">
        <v>134</v>
      </c>
      <c r="DE4" s="69" t="s">
        <v>135</v>
      </c>
      <c r="DF4" s="70" t="s">
        <v>136</v>
      </c>
      <c r="DG4" s="70"/>
      <c r="DH4" s="69" t="s">
        <v>137</v>
      </c>
      <c r="DI4" s="69" t="s">
        <v>133</v>
      </c>
      <c r="DJ4" s="69" t="s">
        <v>134</v>
      </c>
      <c r="DK4" s="69" t="s">
        <v>135</v>
      </c>
      <c r="DL4" s="70" t="s">
        <v>136</v>
      </c>
      <c r="DM4" s="71"/>
      <c r="DN4" s="67" t="s">
        <v>137</v>
      </c>
      <c r="DO4" s="68" t="s">
        <v>133</v>
      </c>
      <c r="DP4" s="69" t="s">
        <v>134</v>
      </c>
      <c r="DQ4" s="69" t="s">
        <v>135</v>
      </c>
      <c r="DR4" s="70" t="s">
        <v>136</v>
      </c>
      <c r="DS4" s="69" t="s">
        <v>138</v>
      </c>
      <c r="DT4" s="69" t="s">
        <v>133</v>
      </c>
      <c r="DU4" s="69" t="s">
        <v>134</v>
      </c>
      <c r="DV4" s="69" t="s">
        <v>135</v>
      </c>
      <c r="DW4" s="70" t="s">
        <v>136</v>
      </c>
      <c r="EB4" s="42" t="s">
        <v>139</v>
      </c>
      <c r="EC4" s="43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4"/>
      <c r="ES4" s="17" t="s">
        <v>114</v>
      </c>
      <c r="ET4" s="18"/>
      <c r="EU4" s="18">
        <f>ET4*EZ4</f>
        <v>0</v>
      </c>
      <c r="EV4" s="18"/>
      <c r="EW4" s="19">
        <v>3</v>
      </c>
      <c r="EX4" s="19">
        <v>4</v>
      </c>
      <c r="EY4" s="19">
        <v>4</v>
      </c>
      <c r="EZ4" s="20">
        <f t="shared" si="3"/>
        <v>11</v>
      </c>
      <c r="FG4" s="2" t="s">
        <v>140</v>
      </c>
      <c r="FH4" s="2">
        <v>1</v>
      </c>
      <c r="FI4" s="43" t="s">
        <v>93</v>
      </c>
      <c r="FJ4" s="43" t="s">
        <v>94</v>
      </c>
      <c r="FK4" s="43" t="s">
        <v>94</v>
      </c>
      <c r="FL4" s="43"/>
      <c r="FM4" s="2" t="s">
        <v>94</v>
      </c>
      <c r="FN4" s="2" t="s">
        <v>94</v>
      </c>
      <c r="FO4" s="26">
        <f t="shared" si="4"/>
        <v>15</v>
      </c>
      <c r="FP4" s="2"/>
      <c r="FQ4" s="4" t="str">
        <f>IF(FI4=0,"0",IF(FI4="5/16","3",IF(FI4="3/8","3.3",IF(FI4="1/2","4",IF(FI4="5/8","5",IF(FI4="3/4","5.5","3"))))))</f>
        <v>3</v>
      </c>
      <c r="FR4" s="4" t="str">
        <f t="shared" si="5"/>
        <v>3</v>
      </c>
      <c r="FS4" s="4" t="str">
        <f t="shared" si="5"/>
        <v>3</v>
      </c>
      <c r="FT4" s="4" t="str">
        <f t="shared" si="6"/>
        <v>2</v>
      </c>
      <c r="FU4" s="4" t="str">
        <f t="shared" ref="FU4:FU16" si="10">IF(FN4="Yes","4","0")</f>
        <v>4</v>
      </c>
      <c r="FV4" s="44" t="str">
        <f t="shared" ref="FV4:FV16" si="11">IF(FL4="Yes",FQ4*2,FQ4)</f>
        <v>3</v>
      </c>
      <c r="FW4" s="45" t="s">
        <v>140</v>
      </c>
      <c r="FX4" s="2"/>
      <c r="FY4" s="2" t="s">
        <v>95</v>
      </c>
      <c r="FZ4" s="2"/>
      <c r="GA4" s="2"/>
      <c r="GB4" s="2"/>
      <c r="GD4" s="43" t="s">
        <v>93</v>
      </c>
      <c r="GH4" s="2"/>
      <c r="GI4" s="2"/>
      <c r="GJ4" s="2"/>
      <c r="GK4" s="2"/>
      <c r="GL4" s="2"/>
      <c r="GM4" s="2"/>
      <c r="GN4" s="2"/>
      <c r="GO4" s="26">
        <f>GQ4+GR4+GS4+GT4+GU4</f>
        <v>0</v>
      </c>
      <c r="GP4" s="2"/>
      <c r="GQ4" s="47">
        <f>(GH4*3.14*GJ4)/5</f>
        <v>0</v>
      </c>
      <c r="GR4" s="47">
        <f>(GI4*GK4)/5</f>
        <v>0</v>
      </c>
      <c r="GS4" s="47">
        <f>GL4*0.5</f>
        <v>0</v>
      </c>
      <c r="GT4" s="47">
        <f>GM4*1</f>
        <v>0</v>
      </c>
      <c r="GU4" s="47">
        <f>GN4*2</f>
        <v>0</v>
      </c>
      <c r="HB4" s="2" t="s">
        <v>141</v>
      </c>
      <c r="HC4" s="2">
        <v>1</v>
      </c>
      <c r="HD4" s="2">
        <f t="shared" si="7"/>
        <v>9.5</v>
      </c>
      <c r="HE4" s="2"/>
      <c r="HF4" s="4">
        <v>2</v>
      </c>
      <c r="HG4" s="4">
        <v>1.5</v>
      </c>
      <c r="HH4" s="4">
        <v>6</v>
      </c>
      <c r="HI4" s="4">
        <f t="shared" si="8"/>
        <v>9.5</v>
      </c>
      <c r="IC4" s="17"/>
      <c r="ID4" s="18"/>
      <c r="IE4" s="18"/>
      <c r="IF4" s="72">
        <f>IH4+II4+IK4</f>
        <v>0</v>
      </c>
      <c r="IG4" s="18"/>
      <c r="IH4" s="73">
        <f>ID4/10</f>
        <v>0</v>
      </c>
      <c r="II4" s="73">
        <f>ID4/15</f>
        <v>0</v>
      </c>
      <c r="IJ4" s="73" t="str">
        <f>IF(IC4&lt;=9,"1","1.5")</f>
        <v>1</v>
      </c>
      <c r="IK4" s="20">
        <f>IJ4*IE4</f>
        <v>0</v>
      </c>
      <c r="JB4" s="2"/>
      <c r="JC4" s="2"/>
      <c r="JD4" s="2"/>
      <c r="JE4" s="2"/>
      <c r="JF4" s="2"/>
      <c r="JG4" s="2"/>
      <c r="JH4" s="2"/>
      <c r="JZ4" s="2" t="s">
        <v>142</v>
      </c>
      <c r="KA4" s="2"/>
      <c r="KB4" s="26">
        <f t="shared" si="0"/>
        <v>0</v>
      </c>
      <c r="KC4" s="26">
        <f t="shared" si="9"/>
        <v>0</v>
      </c>
      <c r="KD4" s="2"/>
      <c r="KE4" s="26">
        <f t="shared" si="1"/>
        <v>0</v>
      </c>
      <c r="KF4" s="2"/>
      <c r="KG4" s="4">
        <v>12.6</v>
      </c>
      <c r="KH4" s="4">
        <v>4</v>
      </c>
      <c r="KI4" s="4">
        <v>3</v>
      </c>
      <c r="KJ4" s="4">
        <v>3</v>
      </c>
    </row>
    <row r="5" spans="1:324" ht="16.5" thickBot="1" x14ac:dyDescent="0.3">
      <c r="A5" s="11" t="s">
        <v>143</v>
      </c>
      <c r="B5" s="12">
        <v>1</v>
      </c>
      <c r="C5" s="52" t="s">
        <v>144</v>
      </c>
      <c r="D5" s="12" t="s">
        <v>118</v>
      </c>
      <c r="E5" s="14"/>
      <c r="F5" s="15"/>
      <c r="G5" s="1"/>
      <c r="H5" s="11" t="s">
        <v>143</v>
      </c>
      <c r="I5" s="12">
        <v>1</v>
      </c>
      <c r="J5" s="52" t="s">
        <v>144</v>
      </c>
      <c r="K5" s="12" t="s">
        <v>119</v>
      </c>
      <c r="L5" s="14"/>
      <c r="M5" s="15"/>
      <c r="N5" s="1"/>
      <c r="O5" s="11" t="s">
        <v>143</v>
      </c>
      <c r="P5" s="12">
        <v>1</v>
      </c>
      <c r="Q5" s="52" t="s">
        <v>144</v>
      </c>
      <c r="R5" s="12" t="s">
        <v>120</v>
      </c>
      <c r="S5" s="14"/>
      <c r="T5" s="15"/>
      <c r="Y5" s="74" t="s">
        <v>121</v>
      </c>
      <c r="Z5" s="12">
        <v>1</v>
      </c>
      <c r="AA5" s="74" t="s">
        <v>145</v>
      </c>
      <c r="AB5" s="12" t="s">
        <v>123</v>
      </c>
      <c r="AC5" s="62"/>
      <c r="AD5" s="75"/>
      <c r="AE5" s="57"/>
      <c r="AF5" s="58" t="s">
        <v>124</v>
      </c>
      <c r="AG5" s="1"/>
      <c r="AH5" s="59" t="s">
        <v>125</v>
      </c>
      <c r="AI5" s="12">
        <v>1</v>
      </c>
      <c r="AJ5" s="59" t="s">
        <v>146</v>
      </c>
      <c r="AK5" s="12" t="s">
        <v>123</v>
      </c>
      <c r="AL5" s="60"/>
      <c r="AM5" s="61"/>
      <c r="AN5" s="57"/>
      <c r="AO5" s="58" t="s">
        <v>127</v>
      </c>
      <c r="AQ5" s="271"/>
      <c r="AR5" s="271"/>
      <c r="AS5" s="271"/>
      <c r="AT5" s="271"/>
      <c r="AU5" s="271"/>
      <c r="AX5" s="74" t="s">
        <v>121</v>
      </c>
      <c r="AY5" s="12">
        <v>1</v>
      </c>
      <c r="AZ5" s="74" t="s">
        <v>145</v>
      </c>
      <c r="BA5" s="12" t="s">
        <v>128</v>
      </c>
      <c r="BB5" s="62"/>
      <c r="BC5" s="75"/>
      <c r="BD5" s="57"/>
      <c r="BE5" s="59" t="s">
        <v>129</v>
      </c>
      <c r="BF5" s="1"/>
      <c r="BG5" s="59" t="s">
        <v>125</v>
      </c>
      <c r="BH5" s="12">
        <v>1</v>
      </c>
      <c r="BI5" s="59" t="s">
        <v>146</v>
      </c>
      <c r="BJ5" s="64" t="s">
        <v>128</v>
      </c>
      <c r="BK5" s="60"/>
      <c r="BL5" s="65"/>
      <c r="BM5" s="57"/>
      <c r="BN5" s="66" t="s">
        <v>129</v>
      </c>
      <c r="BP5" s="271"/>
      <c r="BQ5" s="271"/>
      <c r="BR5" s="271"/>
      <c r="BS5" s="271"/>
      <c r="BT5" s="271"/>
      <c r="BX5" s="74" t="s">
        <v>121</v>
      </c>
      <c r="BY5" s="12">
        <v>1</v>
      </c>
      <c r="BZ5" s="74" t="s">
        <v>145</v>
      </c>
      <c r="CA5" s="64" t="s">
        <v>130</v>
      </c>
      <c r="CB5" s="62">
        <f>BY5*32</f>
        <v>32</v>
      </c>
      <c r="CC5" s="75"/>
      <c r="CD5" s="57">
        <v>45376</v>
      </c>
      <c r="CE5" s="58" t="s">
        <v>131</v>
      </c>
      <c r="CF5" s="1"/>
      <c r="CG5" s="59" t="s">
        <v>125</v>
      </c>
      <c r="CH5" s="12">
        <v>1</v>
      </c>
      <c r="CI5" s="59" t="s">
        <v>146</v>
      </c>
      <c r="CJ5" s="12" t="s">
        <v>130</v>
      </c>
      <c r="CK5" s="60"/>
      <c r="CL5" s="76"/>
      <c r="CM5" s="57"/>
      <c r="CN5" s="58" t="s">
        <v>131</v>
      </c>
      <c r="CP5" s="271"/>
      <c r="CQ5" s="271"/>
      <c r="CR5" s="271"/>
      <c r="CS5" s="271"/>
      <c r="CT5" s="271"/>
      <c r="CX5" s="77" t="s">
        <v>147</v>
      </c>
      <c r="CY5" s="78" t="s">
        <v>148</v>
      </c>
      <c r="CZ5" s="79">
        <v>1</v>
      </c>
      <c r="DA5" s="80" t="s">
        <v>149</v>
      </c>
      <c r="DB5" s="81">
        <f>CZ5*2</f>
        <v>2</v>
      </c>
      <c r="DC5" s="82">
        <v>0</v>
      </c>
      <c r="DD5" s="82">
        <v>1.75</v>
      </c>
      <c r="DE5" s="83">
        <v>1</v>
      </c>
      <c r="DF5" s="84">
        <f t="shared" ref="DF5:DF27" si="12">SUM(DB5:DE5)</f>
        <v>4.75</v>
      </c>
      <c r="DG5" s="85"/>
      <c r="DH5" s="86">
        <f>DB5+(1*CZ5)</f>
        <v>3</v>
      </c>
      <c r="DI5" s="82">
        <v>0</v>
      </c>
      <c r="DJ5" s="82">
        <v>1.75</v>
      </c>
      <c r="DK5" s="87">
        <v>1</v>
      </c>
      <c r="DL5" s="88">
        <f t="shared" ref="DL5:DL27" si="13">SUM(DH5:DK5)</f>
        <v>5.75</v>
      </c>
      <c r="DM5" s="89"/>
      <c r="DN5" s="86">
        <f>DB5+(1.5*CZ5)</f>
        <v>3.5</v>
      </c>
      <c r="DO5" s="90">
        <v>0</v>
      </c>
      <c r="DP5" s="82">
        <v>1.75</v>
      </c>
      <c r="DQ5" s="87">
        <v>1.5</v>
      </c>
      <c r="DR5" s="88">
        <f t="shared" ref="DR5:DR27" si="14">SUM(DN5:DQ5)</f>
        <v>6.75</v>
      </c>
      <c r="DS5" s="86">
        <f t="shared" ref="DS5:DS26" si="15">DB5+(2*CZ5)</f>
        <v>4</v>
      </c>
      <c r="DT5" s="90">
        <v>0</v>
      </c>
      <c r="DU5" s="82">
        <v>1.75</v>
      </c>
      <c r="DV5" s="87">
        <v>2</v>
      </c>
      <c r="DW5" s="88">
        <f t="shared" ref="DW5:DW26" si="16">SUM(DS5:DV5)</f>
        <v>7.75</v>
      </c>
      <c r="EB5" s="42" t="s">
        <v>150</v>
      </c>
      <c r="EC5" s="43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4"/>
      <c r="ES5" s="17" t="s">
        <v>142</v>
      </c>
      <c r="ET5" s="18"/>
      <c r="EU5" s="18">
        <f t="shared" si="2"/>
        <v>0</v>
      </c>
      <c r="EV5" s="18"/>
      <c r="EW5" s="19">
        <v>3</v>
      </c>
      <c r="EX5" s="19">
        <v>5</v>
      </c>
      <c r="EY5" s="19">
        <v>5</v>
      </c>
      <c r="EZ5" s="20">
        <f t="shared" si="3"/>
        <v>13</v>
      </c>
      <c r="FG5" s="2" t="s">
        <v>151</v>
      </c>
      <c r="FH5" s="2">
        <v>1</v>
      </c>
      <c r="FI5" s="43" t="s">
        <v>93</v>
      </c>
      <c r="FJ5" s="43" t="s">
        <v>94</v>
      </c>
      <c r="FK5" s="43" t="s">
        <v>94</v>
      </c>
      <c r="FL5" s="43"/>
      <c r="FM5" s="2" t="s">
        <v>94</v>
      </c>
      <c r="FN5" s="2" t="s">
        <v>94</v>
      </c>
      <c r="FO5" s="26">
        <f t="shared" si="4"/>
        <v>15</v>
      </c>
      <c r="FP5" s="2"/>
      <c r="FQ5" s="4" t="str">
        <f>IF(FI5=0,"0",IF(FI5="5/16","3",IF(FI5="3/8","3.3",IF(FI5="1/2","4",IF(FI5="5/8","5",IF(FI5="3/4","5.5","3"))))))</f>
        <v>3</v>
      </c>
      <c r="FR5" s="4" t="str">
        <f t="shared" si="5"/>
        <v>3</v>
      </c>
      <c r="FS5" s="4" t="str">
        <f t="shared" si="5"/>
        <v>3</v>
      </c>
      <c r="FT5" s="4" t="str">
        <f t="shared" si="6"/>
        <v>2</v>
      </c>
      <c r="FU5" s="4" t="str">
        <f t="shared" si="10"/>
        <v>4</v>
      </c>
      <c r="FV5" s="44" t="str">
        <f t="shared" si="11"/>
        <v>3</v>
      </c>
      <c r="FW5" s="45" t="s">
        <v>151</v>
      </c>
      <c r="FX5" s="2"/>
      <c r="FY5" s="2" t="s">
        <v>95</v>
      </c>
      <c r="FZ5" s="2"/>
      <c r="GA5" s="2"/>
      <c r="GB5" s="2"/>
      <c r="GD5" s="43" t="s">
        <v>152</v>
      </c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HB5" s="2" t="s">
        <v>153</v>
      </c>
      <c r="HC5" s="2">
        <v>1</v>
      </c>
      <c r="HD5" s="2">
        <f t="shared" si="7"/>
        <v>10</v>
      </c>
      <c r="HE5" s="2"/>
      <c r="HF5" s="4">
        <v>2</v>
      </c>
      <c r="HG5" s="4">
        <v>2</v>
      </c>
      <c r="HH5" s="4">
        <v>6</v>
      </c>
      <c r="HI5" s="4">
        <f t="shared" si="8"/>
        <v>10</v>
      </c>
      <c r="IC5" s="17"/>
      <c r="ID5" s="18"/>
      <c r="IE5" s="18"/>
      <c r="IF5" s="18"/>
      <c r="IG5" s="18"/>
      <c r="IH5" s="18"/>
      <c r="II5" s="18"/>
      <c r="IJ5" s="18"/>
      <c r="IK5" s="25"/>
      <c r="JB5" s="2"/>
      <c r="JC5" s="2"/>
      <c r="JD5" s="2"/>
      <c r="JE5" s="2"/>
      <c r="JF5" s="2"/>
      <c r="JG5" s="2"/>
      <c r="JH5" s="2"/>
      <c r="JZ5" s="2" t="s">
        <v>154</v>
      </c>
      <c r="KA5" s="2"/>
      <c r="KB5" s="26">
        <f t="shared" si="0"/>
        <v>0</v>
      </c>
      <c r="KC5" s="26">
        <f t="shared" si="9"/>
        <v>0</v>
      </c>
      <c r="KD5" s="2"/>
      <c r="KE5" s="26">
        <f t="shared" si="1"/>
        <v>0</v>
      </c>
      <c r="KF5" s="2"/>
      <c r="KG5" s="4">
        <v>15.7</v>
      </c>
      <c r="KH5" s="4">
        <v>4</v>
      </c>
      <c r="KI5" s="4">
        <v>3</v>
      </c>
      <c r="KJ5" s="4">
        <v>3</v>
      </c>
    </row>
    <row r="6" spans="1:324" ht="16.5" thickBot="1" x14ac:dyDescent="0.3">
      <c r="A6" s="11" t="s">
        <v>155</v>
      </c>
      <c r="B6" s="12">
        <v>1</v>
      </c>
      <c r="C6" s="52" t="s">
        <v>117</v>
      </c>
      <c r="D6" s="12" t="s">
        <v>118</v>
      </c>
      <c r="E6" s="14"/>
      <c r="F6" s="15"/>
      <c r="G6" s="1"/>
      <c r="H6" s="11" t="s">
        <v>155</v>
      </c>
      <c r="I6" s="12">
        <v>1</v>
      </c>
      <c r="J6" s="52" t="s">
        <v>117</v>
      </c>
      <c r="K6" s="12" t="s">
        <v>119</v>
      </c>
      <c r="L6" s="14"/>
      <c r="M6" s="15"/>
      <c r="N6" s="1"/>
      <c r="O6" s="11" t="s">
        <v>155</v>
      </c>
      <c r="P6" s="12">
        <v>1</v>
      </c>
      <c r="Q6" s="52" t="s">
        <v>117</v>
      </c>
      <c r="R6" s="12" t="s">
        <v>120</v>
      </c>
      <c r="S6" s="14"/>
      <c r="T6" s="15"/>
      <c r="Y6" s="74" t="s">
        <v>121</v>
      </c>
      <c r="Z6" s="12">
        <v>1</v>
      </c>
      <c r="AA6" s="74" t="s">
        <v>156</v>
      </c>
      <c r="AB6" s="12" t="s">
        <v>123</v>
      </c>
      <c r="AC6" s="62"/>
      <c r="AD6" s="91"/>
      <c r="AE6" s="57"/>
      <c r="AF6" s="58" t="s">
        <v>124</v>
      </c>
      <c r="AG6" s="1"/>
      <c r="AH6" s="59" t="s">
        <v>125</v>
      </c>
      <c r="AI6" s="12">
        <v>1</v>
      </c>
      <c r="AJ6" s="59" t="s">
        <v>157</v>
      </c>
      <c r="AK6" s="12" t="s">
        <v>123</v>
      </c>
      <c r="AL6" s="60"/>
      <c r="AM6" s="61"/>
      <c r="AN6" s="57"/>
      <c r="AO6" s="58" t="s">
        <v>127</v>
      </c>
      <c r="AQ6" s="271"/>
      <c r="AR6" s="271"/>
      <c r="AS6" s="271"/>
      <c r="AT6" s="271"/>
      <c r="AU6" s="271"/>
      <c r="AX6" s="74" t="s">
        <v>121</v>
      </c>
      <c r="AY6" s="12">
        <v>1</v>
      </c>
      <c r="AZ6" s="74" t="s">
        <v>156</v>
      </c>
      <c r="BA6" s="12" t="s">
        <v>128</v>
      </c>
      <c r="BB6" s="62"/>
      <c r="BC6" s="75"/>
      <c r="BD6" s="57"/>
      <c r="BE6" s="59" t="s">
        <v>129</v>
      </c>
      <c r="BF6" s="1"/>
      <c r="BG6" s="59" t="s">
        <v>125</v>
      </c>
      <c r="BH6" s="12">
        <v>1</v>
      </c>
      <c r="BI6" s="59" t="s">
        <v>157</v>
      </c>
      <c r="BJ6" s="64" t="s">
        <v>128</v>
      </c>
      <c r="BK6" s="60"/>
      <c r="BL6" s="65"/>
      <c r="BM6" s="57"/>
      <c r="BN6" s="66" t="s">
        <v>129</v>
      </c>
      <c r="BP6" s="271"/>
      <c r="BQ6" s="271"/>
      <c r="BR6" s="271"/>
      <c r="BS6" s="271"/>
      <c r="BT6" s="271"/>
      <c r="BX6" s="74" t="s">
        <v>121</v>
      </c>
      <c r="BY6" s="12">
        <v>1</v>
      </c>
      <c r="BZ6" s="74" t="s">
        <v>156</v>
      </c>
      <c r="CA6" s="64" t="s">
        <v>130</v>
      </c>
      <c r="CB6" s="62">
        <f>BY6*43</f>
        <v>43</v>
      </c>
      <c r="CC6" s="75"/>
      <c r="CD6" s="57">
        <v>45376</v>
      </c>
      <c r="CE6" s="58" t="s">
        <v>131</v>
      </c>
      <c r="CF6" s="1"/>
      <c r="CG6" s="59" t="s">
        <v>125</v>
      </c>
      <c r="CH6" s="12">
        <v>1</v>
      </c>
      <c r="CI6" s="59" t="s">
        <v>157</v>
      </c>
      <c r="CJ6" s="12" t="s">
        <v>130</v>
      </c>
      <c r="CK6" s="60"/>
      <c r="CL6" s="76"/>
      <c r="CM6" s="57"/>
      <c r="CN6" s="58" t="s">
        <v>131</v>
      </c>
      <c r="CP6" s="271"/>
      <c r="CQ6" s="271"/>
      <c r="CR6" s="271"/>
      <c r="CS6" s="271"/>
      <c r="CT6" s="271"/>
      <c r="CX6" s="92" t="s">
        <v>158</v>
      </c>
      <c r="CY6" s="93" t="s">
        <v>159</v>
      </c>
      <c r="CZ6" s="94">
        <v>1</v>
      </c>
      <c r="DA6" s="95" t="s">
        <v>160</v>
      </c>
      <c r="DB6" s="81">
        <f t="shared" ref="DB6:DB8" si="17">CZ6*2</f>
        <v>2</v>
      </c>
      <c r="DC6" s="82">
        <v>0</v>
      </c>
      <c r="DD6" s="82">
        <v>1.75</v>
      </c>
      <c r="DE6" s="96">
        <v>1</v>
      </c>
      <c r="DF6" s="84">
        <f t="shared" si="12"/>
        <v>4.75</v>
      </c>
      <c r="DG6" s="85"/>
      <c r="DH6" s="86">
        <f t="shared" ref="DH6:DH28" si="18">DB6+(1*CZ6)</f>
        <v>3</v>
      </c>
      <c r="DI6" s="82">
        <v>0</v>
      </c>
      <c r="DJ6" s="82">
        <v>1.75</v>
      </c>
      <c r="DK6" s="97">
        <v>1</v>
      </c>
      <c r="DL6" s="98">
        <f t="shared" si="13"/>
        <v>5.75</v>
      </c>
      <c r="DM6" s="98"/>
      <c r="DN6" s="86">
        <f t="shared" ref="DN6:DN27" si="19">DB6+(1.5*CZ6)</f>
        <v>3.5</v>
      </c>
      <c r="DO6" s="99">
        <v>0</v>
      </c>
      <c r="DP6" s="82">
        <v>1.75</v>
      </c>
      <c r="DQ6" s="87">
        <v>1.5</v>
      </c>
      <c r="DR6" s="98">
        <f t="shared" si="14"/>
        <v>6.75</v>
      </c>
      <c r="DS6" s="86">
        <f t="shared" si="15"/>
        <v>4</v>
      </c>
      <c r="DT6" s="99">
        <v>0</v>
      </c>
      <c r="DU6" s="82">
        <v>1.75</v>
      </c>
      <c r="DV6" s="87">
        <v>2</v>
      </c>
      <c r="DW6" s="98">
        <f t="shared" si="16"/>
        <v>7.75</v>
      </c>
      <c r="EB6" s="42"/>
      <c r="EC6" s="43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4"/>
      <c r="ES6" s="17" t="s">
        <v>154</v>
      </c>
      <c r="ET6" s="18"/>
      <c r="EU6" s="18">
        <f t="shared" si="2"/>
        <v>0</v>
      </c>
      <c r="EV6" s="18"/>
      <c r="EW6" s="19">
        <v>4</v>
      </c>
      <c r="EX6" s="19">
        <v>5</v>
      </c>
      <c r="EY6" s="19">
        <v>7</v>
      </c>
      <c r="EZ6" s="20">
        <f t="shared" si="3"/>
        <v>16</v>
      </c>
      <c r="FG6" s="2" t="s">
        <v>161</v>
      </c>
      <c r="FH6" s="2">
        <v>1</v>
      </c>
      <c r="FI6" s="43" t="s">
        <v>93</v>
      </c>
      <c r="FJ6" s="43" t="s">
        <v>94</v>
      </c>
      <c r="FK6" s="43" t="s">
        <v>94</v>
      </c>
      <c r="FL6" s="43"/>
      <c r="FM6" s="2" t="s">
        <v>94</v>
      </c>
      <c r="FN6" s="2" t="s">
        <v>94</v>
      </c>
      <c r="FO6" s="26">
        <f t="shared" si="4"/>
        <v>15.5</v>
      </c>
      <c r="FP6" s="2"/>
      <c r="FQ6" s="4" t="str">
        <f>IF(FI6=0,"0",IF(FI6="5/16","3.5",IF(FI6="3/8","4",IF(FI6="1/2","5.5",IF(FI6="5/8","6",IF(FI6="3/4","6.5","3.5"))))))</f>
        <v>3.5</v>
      </c>
      <c r="FR6" s="4" t="str">
        <f t="shared" si="5"/>
        <v>3</v>
      </c>
      <c r="FS6" s="4" t="str">
        <f t="shared" si="5"/>
        <v>3</v>
      </c>
      <c r="FT6" s="4" t="str">
        <f t="shared" si="6"/>
        <v>2</v>
      </c>
      <c r="FU6" s="4" t="str">
        <f t="shared" si="10"/>
        <v>4</v>
      </c>
      <c r="FV6" s="44" t="str">
        <f t="shared" si="11"/>
        <v>3.5</v>
      </c>
      <c r="FW6" s="45" t="s">
        <v>161</v>
      </c>
      <c r="FX6" s="2"/>
      <c r="FY6" s="2" t="s">
        <v>95</v>
      </c>
      <c r="FZ6" s="2"/>
      <c r="GA6" s="2"/>
      <c r="GB6" s="2"/>
      <c r="GD6" s="43" t="s">
        <v>162</v>
      </c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HB6" s="2" t="s">
        <v>163</v>
      </c>
      <c r="HC6" s="2">
        <v>1</v>
      </c>
      <c r="HD6" s="2">
        <f t="shared" si="7"/>
        <v>14.5</v>
      </c>
      <c r="HE6" s="2"/>
      <c r="HF6" s="4">
        <v>3</v>
      </c>
      <c r="HG6" s="4">
        <v>2.5</v>
      </c>
      <c r="HH6" s="4">
        <v>9</v>
      </c>
      <c r="HI6" s="4">
        <f t="shared" si="8"/>
        <v>14.5</v>
      </c>
      <c r="IC6" s="17"/>
      <c r="ID6" s="18"/>
      <c r="IE6" s="18"/>
      <c r="IF6" s="18"/>
      <c r="IG6" s="18"/>
      <c r="IH6" s="18"/>
      <c r="II6" s="18"/>
      <c r="IJ6" s="18"/>
      <c r="IK6" s="25"/>
      <c r="JB6" s="2"/>
      <c r="JC6" s="2"/>
      <c r="JD6" s="2"/>
      <c r="JE6" s="2"/>
      <c r="JF6" s="2"/>
      <c r="JG6" s="2"/>
      <c r="JH6" s="2"/>
      <c r="JZ6" s="2" t="s">
        <v>164</v>
      </c>
      <c r="KA6" s="2"/>
      <c r="KB6" s="26">
        <f t="shared" si="0"/>
        <v>0</v>
      </c>
      <c r="KC6" s="26">
        <f t="shared" si="9"/>
        <v>0</v>
      </c>
      <c r="KD6" s="2"/>
      <c r="KE6" s="26">
        <f t="shared" si="1"/>
        <v>0</v>
      </c>
      <c r="KF6" s="2"/>
      <c r="KG6" s="4">
        <v>18.8</v>
      </c>
      <c r="KH6" s="4">
        <v>4</v>
      </c>
      <c r="KI6" s="4">
        <v>3</v>
      </c>
      <c r="KJ6" s="4">
        <v>3</v>
      </c>
      <c r="KZ6" s="266" t="s">
        <v>165</v>
      </c>
      <c r="LA6" s="267"/>
      <c r="LB6" s="267"/>
      <c r="LC6" s="267"/>
      <c r="LD6" s="267"/>
      <c r="LE6" s="267"/>
      <c r="LF6" s="267"/>
      <c r="LG6" s="267"/>
      <c r="LH6" s="267"/>
      <c r="LI6" s="267"/>
      <c r="LJ6" s="267"/>
      <c r="LK6" s="268"/>
    </row>
    <row r="7" spans="1:324" ht="16.5" thickBot="1" x14ac:dyDescent="0.3">
      <c r="A7" s="11"/>
      <c r="B7" s="12">
        <v>1</v>
      </c>
      <c r="C7" s="52" t="s">
        <v>117</v>
      </c>
      <c r="D7" s="12" t="s">
        <v>118</v>
      </c>
      <c r="E7" s="14"/>
      <c r="F7" s="15"/>
      <c r="G7" s="1"/>
      <c r="H7" s="11"/>
      <c r="I7" s="12">
        <v>1</v>
      </c>
      <c r="J7" s="52" t="s">
        <v>117</v>
      </c>
      <c r="K7" s="12" t="s">
        <v>119</v>
      </c>
      <c r="L7" s="14"/>
      <c r="M7" s="15"/>
      <c r="N7" s="1"/>
      <c r="O7" s="11"/>
      <c r="P7" s="12">
        <v>1</v>
      </c>
      <c r="Q7" s="52" t="s">
        <v>117</v>
      </c>
      <c r="R7" s="12" t="s">
        <v>120</v>
      </c>
      <c r="S7" s="14"/>
      <c r="T7" s="15"/>
      <c r="Y7" s="74" t="s">
        <v>121</v>
      </c>
      <c r="Z7" s="12">
        <v>1</v>
      </c>
      <c r="AA7" s="74" t="s">
        <v>166</v>
      </c>
      <c r="AB7" s="12" t="s">
        <v>123</v>
      </c>
      <c r="AC7" s="62"/>
      <c r="AD7" s="62"/>
      <c r="AE7" s="57"/>
      <c r="AF7" s="58" t="s">
        <v>124</v>
      </c>
      <c r="AG7" s="1"/>
      <c r="AH7" s="59" t="s">
        <v>125</v>
      </c>
      <c r="AI7" s="12">
        <v>1</v>
      </c>
      <c r="AJ7" s="59" t="s">
        <v>167</v>
      </c>
      <c r="AK7" s="12" t="s">
        <v>123</v>
      </c>
      <c r="AL7" s="100">
        <f>AI7*17</f>
        <v>17</v>
      </c>
      <c r="AM7" s="101"/>
      <c r="AN7" s="57">
        <v>45376</v>
      </c>
      <c r="AO7" s="58" t="s">
        <v>127</v>
      </c>
      <c r="AQ7" s="271"/>
      <c r="AR7" s="271"/>
      <c r="AS7" s="271"/>
      <c r="AT7" s="271"/>
      <c r="AU7" s="271"/>
      <c r="AX7" s="74" t="s">
        <v>121</v>
      </c>
      <c r="AY7" s="12">
        <v>1</v>
      </c>
      <c r="AZ7" s="74" t="s">
        <v>166</v>
      </c>
      <c r="BA7" s="12" t="s">
        <v>128</v>
      </c>
      <c r="BB7" s="62">
        <f>AY7*48</f>
        <v>48</v>
      </c>
      <c r="BC7" s="62"/>
      <c r="BD7" s="57">
        <v>45376</v>
      </c>
      <c r="BE7" s="59" t="s">
        <v>129</v>
      </c>
      <c r="BF7" s="1"/>
      <c r="BG7" s="59" t="s">
        <v>125</v>
      </c>
      <c r="BH7" s="12">
        <v>1</v>
      </c>
      <c r="BI7" s="59" t="s">
        <v>167</v>
      </c>
      <c r="BJ7" s="64" t="s">
        <v>128</v>
      </c>
      <c r="BK7" s="60">
        <f>BH7*49</f>
        <v>49</v>
      </c>
      <c r="BL7" s="60"/>
      <c r="BM7" s="57">
        <v>45376</v>
      </c>
      <c r="BN7" s="66" t="s">
        <v>129</v>
      </c>
      <c r="BP7" s="271"/>
      <c r="BQ7" s="271"/>
      <c r="BR7" s="271"/>
      <c r="BS7" s="271"/>
      <c r="BT7" s="271"/>
      <c r="BX7" s="74" t="s">
        <v>121</v>
      </c>
      <c r="BY7" s="12">
        <v>1</v>
      </c>
      <c r="BZ7" s="74" t="s">
        <v>166</v>
      </c>
      <c r="CA7" s="64" t="s">
        <v>130</v>
      </c>
      <c r="CB7" s="62">
        <f>BY7*68</f>
        <v>68</v>
      </c>
      <c r="CC7" s="62"/>
      <c r="CD7" s="57">
        <v>45376</v>
      </c>
      <c r="CE7" s="58" t="s">
        <v>131</v>
      </c>
      <c r="CF7" s="1"/>
      <c r="CG7" s="59" t="s">
        <v>125</v>
      </c>
      <c r="CH7" s="12">
        <v>1</v>
      </c>
      <c r="CI7" s="59" t="s">
        <v>167</v>
      </c>
      <c r="CJ7" s="12" t="s">
        <v>130</v>
      </c>
      <c r="CK7" s="100">
        <f>CH7*69</f>
        <v>69</v>
      </c>
      <c r="CL7" s="102"/>
      <c r="CM7" s="57">
        <v>45376</v>
      </c>
      <c r="CN7" s="58" t="s">
        <v>131</v>
      </c>
      <c r="CP7" s="271"/>
      <c r="CQ7" s="271"/>
      <c r="CR7" s="271"/>
      <c r="CS7" s="271"/>
      <c r="CT7" s="271"/>
      <c r="CX7" s="92" t="s">
        <v>168</v>
      </c>
      <c r="CY7" s="93" t="s">
        <v>169</v>
      </c>
      <c r="CZ7" s="94">
        <v>1</v>
      </c>
      <c r="DA7" s="95" t="s">
        <v>170</v>
      </c>
      <c r="DB7" s="81">
        <f t="shared" si="17"/>
        <v>2</v>
      </c>
      <c r="DC7" s="82">
        <v>0</v>
      </c>
      <c r="DD7" s="82">
        <v>0.75</v>
      </c>
      <c r="DE7" s="96">
        <v>1</v>
      </c>
      <c r="DF7" s="84">
        <f t="shared" si="12"/>
        <v>3.75</v>
      </c>
      <c r="DG7" s="85"/>
      <c r="DH7" s="86">
        <f t="shared" si="18"/>
        <v>3</v>
      </c>
      <c r="DI7" s="82">
        <v>0</v>
      </c>
      <c r="DJ7" s="82">
        <v>0.75</v>
      </c>
      <c r="DK7" s="97">
        <v>1</v>
      </c>
      <c r="DL7" s="98">
        <f t="shared" si="13"/>
        <v>4.75</v>
      </c>
      <c r="DM7" s="98"/>
      <c r="DN7" s="86">
        <f t="shared" si="19"/>
        <v>3.5</v>
      </c>
      <c r="DO7" s="99">
        <v>0</v>
      </c>
      <c r="DP7" s="82">
        <v>0.75</v>
      </c>
      <c r="DQ7" s="87">
        <v>1.5</v>
      </c>
      <c r="DR7" s="98">
        <f t="shared" si="14"/>
        <v>5.75</v>
      </c>
      <c r="DS7" s="86">
        <f t="shared" si="15"/>
        <v>4</v>
      </c>
      <c r="DT7" s="99">
        <v>0</v>
      </c>
      <c r="DU7" s="82">
        <v>0.75</v>
      </c>
      <c r="DV7" s="87">
        <v>2</v>
      </c>
      <c r="DW7" s="98">
        <f t="shared" si="16"/>
        <v>6.75</v>
      </c>
      <c r="EB7" s="42" t="s">
        <v>171</v>
      </c>
      <c r="EC7" s="43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4"/>
      <c r="ES7" s="17" t="s">
        <v>164</v>
      </c>
      <c r="ET7" s="18"/>
      <c r="EU7" s="18">
        <f t="shared" si="2"/>
        <v>0</v>
      </c>
      <c r="EV7" s="18"/>
      <c r="EW7" s="19">
        <v>4</v>
      </c>
      <c r="EX7" s="19">
        <v>5</v>
      </c>
      <c r="EY7" s="19">
        <v>8</v>
      </c>
      <c r="EZ7" s="20">
        <f t="shared" si="3"/>
        <v>17</v>
      </c>
      <c r="FG7" s="2" t="s">
        <v>172</v>
      </c>
      <c r="FH7" s="2">
        <v>1</v>
      </c>
      <c r="FI7" s="43" t="s">
        <v>93</v>
      </c>
      <c r="FJ7" s="43" t="s">
        <v>94</v>
      </c>
      <c r="FK7" s="43" t="s">
        <v>94</v>
      </c>
      <c r="FL7" s="43"/>
      <c r="FM7" s="2" t="s">
        <v>94</v>
      </c>
      <c r="FN7" s="2" t="s">
        <v>94</v>
      </c>
      <c r="FO7" s="26">
        <f t="shared" si="4"/>
        <v>17</v>
      </c>
      <c r="FP7" s="2"/>
      <c r="FQ7" s="4" t="str">
        <f>IF(FI7=0,"0",IF(FI7="5/16","5",IF(FI7="3/8","5.5",IF(FI7="1/2","7.5",IF(FI7="5/8","8.5",IF(FI7="3/4","9","5"))))))</f>
        <v>5</v>
      </c>
      <c r="FR7" s="4" t="str">
        <f t="shared" si="5"/>
        <v>3</v>
      </c>
      <c r="FS7" s="4" t="str">
        <f t="shared" si="5"/>
        <v>3</v>
      </c>
      <c r="FT7" s="4" t="str">
        <f t="shared" si="6"/>
        <v>2</v>
      </c>
      <c r="FU7" s="4" t="str">
        <f t="shared" si="10"/>
        <v>4</v>
      </c>
      <c r="FV7" s="44" t="str">
        <f t="shared" si="11"/>
        <v>5</v>
      </c>
      <c r="FW7" s="45" t="s">
        <v>172</v>
      </c>
      <c r="FX7" s="2"/>
      <c r="FY7" s="2" t="s">
        <v>173</v>
      </c>
      <c r="FZ7" s="2"/>
      <c r="GA7" s="2"/>
      <c r="GB7" s="2"/>
      <c r="GD7" s="43" t="s">
        <v>174</v>
      </c>
      <c r="GH7" s="3" t="s">
        <v>175</v>
      </c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HB7" s="2" t="s">
        <v>176</v>
      </c>
      <c r="HC7" s="2">
        <v>1</v>
      </c>
      <c r="HD7" s="2">
        <f t="shared" si="7"/>
        <v>15</v>
      </c>
      <c r="HE7" s="2"/>
      <c r="HF7" s="4">
        <v>3</v>
      </c>
      <c r="HG7" s="4">
        <v>3</v>
      </c>
      <c r="HH7" s="4">
        <v>9</v>
      </c>
      <c r="HI7" s="4">
        <f t="shared" si="8"/>
        <v>15</v>
      </c>
      <c r="IC7" s="17"/>
      <c r="ID7" s="18"/>
      <c r="IE7" s="18"/>
      <c r="IF7" s="18"/>
      <c r="IG7" s="18"/>
      <c r="IH7" s="18"/>
      <c r="II7" s="18"/>
      <c r="IJ7" s="18"/>
      <c r="IK7" s="25"/>
      <c r="JB7" s="3" t="s">
        <v>177</v>
      </c>
      <c r="JC7" s="2"/>
      <c r="JD7" s="2"/>
      <c r="JE7" s="2"/>
      <c r="JF7" s="2"/>
      <c r="JG7" s="2"/>
      <c r="JH7" s="2"/>
      <c r="JZ7" s="2" t="s">
        <v>178</v>
      </c>
      <c r="KA7" s="103"/>
      <c r="KB7" s="26">
        <f t="shared" si="0"/>
        <v>0</v>
      </c>
      <c r="KC7" s="26">
        <f t="shared" si="9"/>
        <v>0</v>
      </c>
      <c r="KD7" s="2"/>
      <c r="KE7" s="26">
        <f t="shared" si="1"/>
        <v>0</v>
      </c>
      <c r="KF7" s="2"/>
      <c r="KG7" s="104">
        <v>22</v>
      </c>
      <c r="KH7" s="4">
        <v>4</v>
      </c>
      <c r="KI7" s="4">
        <v>3</v>
      </c>
      <c r="KJ7" s="4">
        <v>3</v>
      </c>
      <c r="KZ7" s="284"/>
      <c r="LA7" s="285"/>
      <c r="LB7" s="285"/>
      <c r="LC7" s="285"/>
      <c r="LD7" s="285"/>
      <c r="LE7" s="285"/>
      <c r="LF7" s="285"/>
      <c r="LG7" s="285"/>
      <c r="LH7" s="285"/>
      <c r="LI7" s="285"/>
      <c r="LJ7" s="285"/>
      <c r="LK7" s="286"/>
    </row>
    <row r="8" spans="1:324" ht="16.5" thickBot="1" x14ac:dyDescent="0.3">
      <c r="A8" s="11" t="s">
        <v>179</v>
      </c>
      <c r="B8" s="12">
        <v>1</v>
      </c>
      <c r="C8" s="52" t="s">
        <v>117</v>
      </c>
      <c r="D8" s="12" t="s">
        <v>118</v>
      </c>
      <c r="E8" s="14"/>
      <c r="F8" s="15"/>
      <c r="G8" s="1"/>
      <c r="H8" s="11" t="s">
        <v>179</v>
      </c>
      <c r="I8" s="12">
        <v>1</v>
      </c>
      <c r="J8" s="52" t="s">
        <v>117</v>
      </c>
      <c r="K8" s="12" t="s">
        <v>119</v>
      </c>
      <c r="L8" s="14"/>
      <c r="M8" s="15"/>
      <c r="N8" s="1"/>
      <c r="O8" s="11" t="s">
        <v>179</v>
      </c>
      <c r="P8" s="12">
        <v>1</v>
      </c>
      <c r="Q8" s="52" t="s">
        <v>117</v>
      </c>
      <c r="R8" s="12" t="s">
        <v>120</v>
      </c>
      <c r="S8" s="14"/>
      <c r="T8" s="15"/>
      <c r="Y8" s="74" t="s">
        <v>121</v>
      </c>
      <c r="Z8" s="12">
        <v>1</v>
      </c>
      <c r="AA8" s="74" t="s">
        <v>180</v>
      </c>
      <c r="AB8" s="12" t="s">
        <v>123</v>
      </c>
      <c r="AC8" s="62"/>
      <c r="AD8" s="62"/>
      <c r="AE8" s="57"/>
      <c r="AF8" s="58" t="s">
        <v>124</v>
      </c>
      <c r="AG8" s="1"/>
      <c r="AH8" s="59" t="s">
        <v>125</v>
      </c>
      <c r="AI8" s="12">
        <v>1</v>
      </c>
      <c r="AJ8" s="59" t="s">
        <v>181</v>
      </c>
      <c r="AK8" s="12" t="s">
        <v>123</v>
      </c>
      <c r="AL8" s="100"/>
      <c r="AM8" s="101"/>
      <c r="AN8" s="57"/>
      <c r="AO8" s="58" t="s">
        <v>182</v>
      </c>
      <c r="AX8" s="74" t="s">
        <v>121</v>
      </c>
      <c r="AY8" s="12">
        <v>1</v>
      </c>
      <c r="AZ8" s="74" t="s">
        <v>180</v>
      </c>
      <c r="BA8" s="12" t="s">
        <v>128</v>
      </c>
      <c r="BB8" s="62"/>
      <c r="BC8" s="14"/>
      <c r="BD8" s="57"/>
      <c r="BE8" s="59" t="s">
        <v>129</v>
      </c>
      <c r="BF8" s="1"/>
      <c r="BG8" s="59" t="s">
        <v>125</v>
      </c>
      <c r="BH8" s="12">
        <v>1</v>
      </c>
      <c r="BI8" s="59" t="s">
        <v>181</v>
      </c>
      <c r="BJ8" s="64" t="s">
        <v>128</v>
      </c>
      <c r="BK8" s="100"/>
      <c r="BL8" s="60"/>
      <c r="BM8" s="57"/>
      <c r="BN8" s="66" t="s">
        <v>129</v>
      </c>
      <c r="BX8" s="74" t="s">
        <v>121</v>
      </c>
      <c r="BY8" s="12">
        <v>1</v>
      </c>
      <c r="BZ8" s="74" t="s">
        <v>180</v>
      </c>
      <c r="CA8" s="64" t="s">
        <v>130</v>
      </c>
      <c r="CB8" s="62">
        <f>BY8*94</f>
        <v>94</v>
      </c>
      <c r="CC8" s="62"/>
      <c r="CD8" s="57">
        <v>45376</v>
      </c>
      <c r="CE8" s="58" t="s">
        <v>131</v>
      </c>
      <c r="CF8" s="1"/>
      <c r="CG8" s="59" t="s">
        <v>125</v>
      </c>
      <c r="CH8" s="12">
        <v>1</v>
      </c>
      <c r="CI8" s="59" t="s">
        <v>181</v>
      </c>
      <c r="CJ8" s="12" t="s">
        <v>130</v>
      </c>
      <c r="CK8" s="100">
        <f>CH8*102</f>
        <v>102</v>
      </c>
      <c r="CL8" s="102"/>
      <c r="CM8" s="57">
        <v>45376</v>
      </c>
      <c r="CN8" s="58" t="s">
        <v>131</v>
      </c>
      <c r="CX8" s="92" t="s">
        <v>183</v>
      </c>
      <c r="CY8" s="93" t="s">
        <v>184</v>
      </c>
      <c r="CZ8" s="94">
        <v>1</v>
      </c>
      <c r="DA8" s="95" t="s">
        <v>185</v>
      </c>
      <c r="DB8" s="81">
        <f t="shared" si="17"/>
        <v>2</v>
      </c>
      <c r="DC8" s="105">
        <v>0</v>
      </c>
      <c r="DD8" s="105">
        <v>0.75</v>
      </c>
      <c r="DE8" s="96">
        <v>1</v>
      </c>
      <c r="DF8" s="84">
        <f t="shared" si="12"/>
        <v>3.75</v>
      </c>
      <c r="DG8" s="85"/>
      <c r="DH8" s="86">
        <f t="shared" si="18"/>
        <v>3</v>
      </c>
      <c r="DI8" s="105">
        <v>0</v>
      </c>
      <c r="DJ8" s="105">
        <v>0.75</v>
      </c>
      <c r="DK8" s="97">
        <v>1</v>
      </c>
      <c r="DL8" s="98">
        <f t="shared" si="13"/>
        <v>4.75</v>
      </c>
      <c r="DM8" s="98"/>
      <c r="DN8" s="86">
        <f t="shared" si="19"/>
        <v>3.5</v>
      </c>
      <c r="DO8" s="99">
        <v>0</v>
      </c>
      <c r="DP8" s="105">
        <v>0.75</v>
      </c>
      <c r="DQ8" s="87">
        <v>1.5</v>
      </c>
      <c r="DR8" s="98">
        <f t="shared" si="14"/>
        <v>5.75</v>
      </c>
      <c r="DS8" s="86">
        <f t="shared" si="15"/>
        <v>4</v>
      </c>
      <c r="DT8" s="99">
        <v>0</v>
      </c>
      <c r="DU8" s="105">
        <v>0.75</v>
      </c>
      <c r="DV8" s="87">
        <v>2</v>
      </c>
      <c r="DW8" s="98">
        <f t="shared" si="16"/>
        <v>6.75</v>
      </c>
      <c r="EB8" s="2"/>
      <c r="EC8" s="43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4"/>
      <c r="ES8" s="17" t="s">
        <v>178</v>
      </c>
      <c r="ET8" s="18"/>
      <c r="EU8" s="18">
        <f t="shared" si="2"/>
        <v>0</v>
      </c>
      <c r="EV8" s="18"/>
      <c r="EW8" s="19">
        <v>5</v>
      </c>
      <c r="EX8" s="19">
        <v>6</v>
      </c>
      <c r="EY8" s="19">
        <v>9</v>
      </c>
      <c r="EZ8" s="20">
        <f t="shared" si="3"/>
        <v>20</v>
      </c>
      <c r="FG8" s="2" t="s">
        <v>186</v>
      </c>
      <c r="FH8" s="2">
        <v>1</v>
      </c>
      <c r="FI8" s="43" t="s">
        <v>93</v>
      </c>
      <c r="FJ8" s="43" t="s">
        <v>94</v>
      </c>
      <c r="FK8" s="43" t="s">
        <v>94</v>
      </c>
      <c r="FL8" s="43"/>
      <c r="FM8" s="2" t="s">
        <v>94</v>
      </c>
      <c r="FN8" s="2" t="s">
        <v>94</v>
      </c>
      <c r="FO8" s="26">
        <f t="shared" si="4"/>
        <v>19</v>
      </c>
      <c r="FP8" s="2"/>
      <c r="FQ8" s="4" t="str">
        <f>IF(FI8=0,"0",IF(FI8="5/16","7",IF(FI8="3/8","7.5",IF(FI8="1/2","9",IF(FI8="5/8","10.5",IF(FI8="3/4","11.5","7"))))))</f>
        <v>7</v>
      </c>
      <c r="FR8" s="4" t="str">
        <f t="shared" si="5"/>
        <v>3</v>
      </c>
      <c r="FS8" s="4" t="str">
        <f t="shared" si="5"/>
        <v>3</v>
      </c>
      <c r="FT8" s="4" t="str">
        <f t="shared" si="6"/>
        <v>2</v>
      </c>
      <c r="FU8" s="4" t="str">
        <f t="shared" si="10"/>
        <v>4</v>
      </c>
      <c r="FV8" s="44" t="str">
        <f t="shared" si="11"/>
        <v>7</v>
      </c>
      <c r="FW8" s="45" t="s">
        <v>186</v>
      </c>
      <c r="FX8" s="2"/>
      <c r="FY8" s="2" t="s">
        <v>187</v>
      </c>
      <c r="FZ8" s="2"/>
      <c r="GA8" s="2"/>
      <c r="GB8" s="2"/>
      <c r="GD8" s="43" t="s">
        <v>188</v>
      </c>
      <c r="GH8" s="9" t="s">
        <v>76</v>
      </c>
      <c r="GI8" s="9" t="s">
        <v>97</v>
      </c>
      <c r="GJ8" s="9" t="s">
        <v>98</v>
      </c>
      <c r="GK8" s="9" t="s">
        <v>99</v>
      </c>
      <c r="GL8" s="9" t="s">
        <v>100</v>
      </c>
      <c r="GM8" s="9" t="s">
        <v>101</v>
      </c>
      <c r="GN8" s="9" t="s">
        <v>14</v>
      </c>
      <c r="GO8" s="9" t="s">
        <v>189</v>
      </c>
      <c r="GP8" s="9"/>
      <c r="GQ8" s="10" t="s">
        <v>103</v>
      </c>
      <c r="GR8" s="10" t="s">
        <v>104</v>
      </c>
      <c r="GS8" s="10" t="s">
        <v>105</v>
      </c>
      <c r="GT8" s="10" t="s">
        <v>106</v>
      </c>
      <c r="GU8" s="10" t="s">
        <v>107</v>
      </c>
      <c r="HB8" s="2" t="s">
        <v>190</v>
      </c>
      <c r="HC8" s="2">
        <v>1</v>
      </c>
      <c r="HD8" s="2">
        <f t="shared" si="7"/>
        <v>19.5</v>
      </c>
      <c r="HE8" s="2"/>
      <c r="HF8" s="4">
        <v>4</v>
      </c>
      <c r="HG8" s="4">
        <v>3.5</v>
      </c>
      <c r="HH8" s="4">
        <v>12</v>
      </c>
      <c r="HI8" s="4">
        <f t="shared" si="8"/>
        <v>19.5</v>
      </c>
      <c r="IC8" s="24" t="s">
        <v>191</v>
      </c>
      <c r="ID8" s="18"/>
      <c r="IE8" s="18"/>
      <c r="IF8" s="18"/>
      <c r="IG8" s="18"/>
      <c r="IH8" s="18"/>
      <c r="II8" s="18"/>
      <c r="IJ8" s="18"/>
      <c r="IK8" s="25"/>
      <c r="JB8" s="9" t="s">
        <v>63</v>
      </c>
      <c r="JC8" s="9" t="s">
        <v>64</v>
      </c>
      <c r="JD8" s="9" t="s">
        <v>192</v>
      </c>
      <c r="JE8" s="9"/>
      <c r="JF8" s="10" t="s">
        <v>66</v>
      </c>
      <c r="JG8" s="10" t="s">
        <v>67</v>
      </c>
      <c r="JH8" s="10" t="s">
        <v>68</v>
      </c>
      <c r="JI8" s="10" t="s">
        <v>69</v>
      </c>
      <c r="JZ8" s="2" t="s">
        <v>193</v>
      </c>
      <c r="KA8" s="2"/>
      <c r="KB8" s="26">
        <f t="shared" si="0"/>
        <v>0</v>
      </c>
      <c r="KC8" s="26">
        <f t="shared" si="9"/>
        <v>0</v>
      </c>
      <c r="KD8" s="2"/>
      <c r="KE8" s="26">
        <f t="shared" si="1"/>
        <v>0</v>
      </c>
      <c r="KF8" s="2"/>
      <c r="KG8" s="4">
        <v>25.1</v>
      </c>
      <c r="KH8" s="4">
        <v>4</v>
      </c>
      <c r="KI8" s="4">
        <v>3</v>
      </c>
      <c r="KJ8" s="4">
        <v>3</v>
      </c>
      <c r="KZ8" s="300" t="s">
        <v>5</v>
      </c>
      <c r="LA8" s="301" t="s">
        <v>194</v>
      </c>
      <c r="LB8" s="301" t="s">
        <v>45</v>
      </c>
      <c r="LC8" s="301" t="s">
        <v>195</v>
      </c>
      <c r="LD8" s="301" t="s">
        <v>196</v>
      </c>
      <c r="LE8" s="108"/>
      <c r="LF8" s="108"/>
      <c r="LG8" s="302" t="s">
        <v>197</v>
      </c>
      <c r="LH8" s="302" t="s">
        <v>198</v>
      </c>
      <c r="LI8" s="302" t="s">
        <v>199</v>
      </c>
      <c r="LJ8" s="302" t="s">
        <v>200</v>
      </c>
      <c r="LK8" s="283" t="s">
        <v>10</v>
      </c>
    </row>
    <row r="9" spans="1:324" ht="16.5" thickBot="1" x14ac:dyDescent="0.3">
      <c r="A9" s="11" t="s">
        <v>201</v>
      </c>
      <c r="B9" s="12">
        <v>2</v>
      </c>
      <c r="C9" s="52" t="s">
        <v>117</v>
      </c>
      <c r="D9" s="12" t="s">
        <v>118</v>
      </c>
      <c r="E9" s="14"/>
      <c r="F9" s="111"/>
      <c r="G9" s="1"/>
      <c r="H9" s="11" t="s">
        <v>201</v>
      </c>
      <c r="I9" s="12">
        <v>2</v>
      </c>
      <c r="J9" s="52" t="s">
        <v>117</v>
      </c>
      <c r="K9" s="12" t="s">
        <v>119</v>
      </c>
      <c r="L9" s="14"/>
      <c r="M9" s="111"/>
      <c r="N9" s="1"/>
      <c r="O9" s="11" t="s">
        <v>201</v>
      </c>
      <c r="P9" s="12">
        <v>2</v>
      </c>
      <c r="Q9" s="52" t="s">
        <v>117</v>
      </c>
      <c r="R9" s="12" t="s">
        <v>119</v>
      </c>
      <c r="S9" s="14"/>
      <c r="T9" s="111"/>
      <c r="Y9" s="74" t="s">
        <v>121</v>
      </c>
      <c r="Z9" s="12">
        <v>1</v>
      </c>
      <c r="AA9" s="74" t="s">
        <v>202</v>
      </c>
      <c r="AB9" s="12" t="s">
        <v>123</v>
      </c>
      <c r="AC9" s="62"/>
      <c r="AD9" s="62"/>
      <c r="AE9" s="57"/>
      <c r="AF9" s="58" t="s">
        <v>203</v>
      </c>
      <c r="AG9" s="1"/>
      <c r="AH9" s="59" t="s">
        <v>125</v>
      </c>
      <c r="AI9" s="12">
        <v>1</v>
      </c>
      <c r="AJ9" s="59" t="s">
        <v>204</v>
      </c>
      <c r="AK9" s="12" t="s">
        <v>123</v>
      </c>
      <c r="AL9" s="100"/>
      <c r="AM9" s="101"/>
      <c r="AN9" s="57"/>
      <c r="AO9" s="58" t="s">
        <v>203</v>
      </c>
      <c r="AX9" s="74" t="s">
        <v>121</v>
      </c>
      <c r="AY9" s="12">
        <v>1</v>
      </c>
      <c r="AZ9" s="74" t="s">
        <v>202</v>
      </c>
      <c r="BA9" s="12" t="s">
        <v>128</v>
      </c>
      <c r="BB9" s="62"/>
      <c r="BC9" s="14"/>
      <c r="BD9" s="57"/>
      <c r="BE9" s="59" t="s">
        <v>129</v>
      </c>
      <c r="BF9" s="1"/>
      <c r="BG9" s="59" t="s">
        <v>125</v>
      </c>
      <c r="BH9" s="12">
        <v>1</v>
      </c>
      <c r="BI9" s="59" t="s">
        <v>204</v>
      </c>
      <c r="BJ9" s="64" t="s">
        <v>128</v>
      </c>
      <c r="BK9" s="100"/>
      <c r="BL9" s="60"/>
      <c r="BM9" s="57"/>
      <c r="BN9" s="66" t="s">
        <v>129</v>
      </c>
      <c r="BX9" s="74" t="s">
        <v>121</v>
      </c>
      <c r="BY9" s="12">
        <v>1</v>
      </c>
      <c r="BZ9" s="74" t="s">
        <v>202</v>
      </c>
      <c r="CA9" s="64" t="s">
        <v>130</v>
      </c>
      <c r="CB9" s="62"/>
      <c r="CC9" s="62"/>
      <c r="CD9" s="57"/>
      <c r="CE9" s="58" t="s">
        <v>131</v>
      </c>
      <c r="CF9" s="1"/>
      <c r="CG9" s="59" t="s">
        <v>125</v>
      </c>
      <c r="CH9" s="12">
        <v>1</v>
      </c>
      <c r="CI9" s="59" t="s">
        <v>204</v>
      </c>
      <c r="CJ9" s="12" t="s">
        <v>130</v>
      </c>
      <c r="CK9" s="100"/>
      <c r="CL9" s="102"/>
      <c r="CM9" s="57"/>
      <c r="CN9" s="58" t="s">
        <v>131</v>
      </c>
      <c r="CX9" s="92" t="s">
        <v>205</v>
      </c>
      <c r="CY9" s="93" t="s">
        <v>206</v>
      </c>
      <c r="CZ9" s="94">
        <v>1</v>
      </c>
      <c r="DA9" s="95" t="s">
        <v>207</v>
      </c>
      <c r="DB9" s="81">
        <f>CZ9*4</f>
        <v>4</v>
      </c>
      <c r="DC9" s="105">
        <v>0</v>
      </c>
      <c r="DD9" s="105">
        <v>0.75</v>
      </c>
      <c r="DE9" s="96">
        <v>1</v>
      </c>
      <c r="DF9" s="84">
        <f t="shared" si="12"/>
        <v>5.75</v>
      </c>
      <c r="DG9" s="85"/>
      <c r="DH9" s="86">
        <f t="shared" si="18"/>
        <v>5</v>
      </c>
      <c r="DI9" s="105">
        <v>0</v>
      </c>
      <c r="DJ9" s="105">
        <v>0.75</v>
      </c>
      <c r="DK9" s="97">
        <v>1</v>
      </c>
      <c r="DL9" s="98">
        <f t="shared" si="13"/>
        <v>6.75</v>
      </c>
      <c r="DM9" s="98"/>
      <c r="DN9" s="86">
        <f t="shared" si="19"/>
        <v>5.5</v>
      </c>
      <c r="DO9" s="99">
        <v>0</v>
      </c>
      <c r="DP9" s="105">
        <v>0.75</v>
      </c>
      <c r="DQ9" s="87">
        <v>1.5</v>
      </c>
      <c r="DR9" s="98">
        <f t="shared" si="14"/>
        <v>7.75</v>
      </c>
      <c r="DS9" s="86">
        <f>DB9+(3.5*CZ9)</f>
        <v>7.5</v>
      </c>
      <c r="DT9" s="99">
        <v>0</v>
      </c>
      <c r="DU9" s="105">
        <v>0.75</v>
      </c>
      <c r="DV9" s="87">
        <v>2</v>
      </c>
      <c r="DW9" s="98">
        <f t="shared" si="16"/>
        <v>10.25</v>
      </c>
      <c r="EB9" s="42" t="s">
        <v>208</v>
      </c>
      <c r="EC9" s="43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4"/>
      <c r="ES9" s="17" t="s">
        <v>193</v>
      </c>
      <c r="ET9" s="18"/>
      <c r="EU9" s="18">
        <f t="shared" si="2"/>
        <v>0</v>
      </c>
      <c r="EV9" s="18"/>
      <c r="EW9" s="19">
        <v>5</v>
      </c>
      <c r="EX9" s="19">
        <v>6</v>
      </c>
      <c r="EY9" s="19">
        <v>10</v>
      </c>
      <c r="EZ9" s="20">
        <f t="shared" si="3"/>
        <v>21</v>
      </c>
      <c r="FG9" s="2" t="s">
        <v>209</v>
      </c>
      <c r="FH9" s="2">
        <v>1</v>
      </c>
      <c r="FI9" s="43" t="s">
        <v>93</v>
      </c>
      <c r="FJ9" s="43" t="s">
        <v>94</v>
      </c>
      <c r="FK9" s="43" t="s">
        <v>94</v>
      </c>
      <c r="FL9" s="43"/>
      <c r="FM9" s="2" t="s">
        <v>94</v>
      </c>
      <c r="FN9" s="2" t="s">
        <v>94</v>
      </c>
      <c r="FO9" s="26">
        <f t="shared" si="4"/>
        <v>20</v>
      </c>
      <c r="FP9" s="2"/>
      <c r="FQ9" s="4" t="str">
        <f>IF(FI9=0,"0",IF(FI9="5/16","8",IF(FI9="3/8","8.5",IF(FI9="1/2","11",IF(FI9="5/8","13",IF(FI9="3/4","14","8"))))))</f>
        <v>8</v>
      </c>
      <c r="FR9" s="4" t="str">
        <f t="shared" si="5"/>
        <v>3</v>
      </c>
      <c r="FS9" s="4" t="str">
        <f t="shared" si="5"/>
        <v>3</v>
      </c>
      <c r="FT9" s="4" t="str">
        <f t="shared" si="6"/>
        <v>2</v>
      </c>
      <c r="FU9" s="4" t="str">
        <f t="shared" si="10"/>
        <v>4</v>
      </c>
      <c r="FV9" s="44" t="str">
        <f t="shared" si="11"/>
        <v>8</v>
      </c>
      <c r="FW9" s="45" t="s">
        <v>209</v>
      </c>
      <c r="FX9" s="2"/>
      <c r="FY9" s="2" t="s">
        <v>210</v>
      </c>
      <c r="FZ9" s="2"/>
      <c r="GA9" s="2"/>
      <c r="GB9" s="2"/>
      <c r="GD9" s="43" t="s">
        <v>211</v>
      </c>
      <c r="GH9" s="2"/>
      <c r="GI9" s="2"/>
      <c r="GJ9" s="2"/>
      <c r="GK9" s="2"/>
      <c r="GL9" s="2"/>
      <c r="GM9" s="2"/>
      <c r="GN9" s="2"/>
      <c r="GO9" s="26">
        <f>GQ9+GR9+GS9+GT9+GU9</f>
        <v>0</v>
      </c>
      <c r="GP9" s="2"/>
      <c r="GQ9" s="47">
        <f>(GH9*3.14*GJ9)/3</f>
        <v>0</v>
      </c>
      <c r="GR9" s="47">
        <f>(GI9*GK9)/3</f>
        <v>0</v>
      </c>
      <c r="GS9" s="47">
        <f>GL9*0.5</f>
        <v>0</v>
      </c>
      <c r="GT9" s="47">
        <f>GM9*1</f>
        <v>0</v>
      </c>
      <c r="GU9" s="47">
        <f>GN9*3</f>
        <v>0</v>
      </c>
      <c r="HB9" s="2" t="s">
        <v>212</v>
      </c>
      <c r="HC9" s="2">
        <v>1</v>
      </c>
      <c r="HD9" s="2">
        <f t="shared" si="7"/>
        <v>20</v>
      </c>
      <c r="HE9" s="2"/>
      <c r="HF9" s="4">
        <v>4</v>
      </c>
      <c r="HG9" s="4">
        <v>4</v>
      </c>
      <c r="HH9" s="4">
        <v>12</v>
      </c>
      <c r="HI9" s="4">
        <f t="shared" si="8"/>
        <v>20</v>
      </c>
      <c r="IC9" s="27" t="s">
        <v>109</v>
      </c>
      <c r="ID9" s="28" t="s">
        <v>110</v>
      </c>
      <c r="IE9" s="28" t="s">
        <v>23</v>
      </c>
      <c r="IF9" s="28" t="s">
        <v>111</v>
      </c>
      <c r="IG9" s="28"/>
      <c r="IH9" s="46" t="s">
        <v>213</v>
      </c>
      <c r="II9" s="46" t="s">
        <v>66</v>
      </c>
      <c r="IJ9" s="46" t="s">
        <v>112</v>
      </c>
      <c r="IK9" s="29" t="s">
        <v>69</v>
      </c>
      <c r="IL9" s="10"/>
      <c r="JB9" s="2"/>
      <c r="JC9" s="2"/>
      <c r="JD9" s="26">
        <f>JF9+JG9+JH9+JI9</f>
        <v>0</v>
      </c>
      <c r="JE9" s="2"/>
      <c r="JF9" s="47">
        <f>JB9*3</f>
        <v>0</v>
      </c>
      <c r="JG9" s="47">
        <f>JC9/90</f>
        <v>0</v>
      </c>
      <c r="JH9" s="47">
        <f>JB9*1</f>
        <v>0</v>
      </c>
      <c r="JI9" s="4">
        <f>JB9*1</f>
        <v>0</v>
      </c>
      <c r="JZ9" s="2" t="s">
        <v>214</v>
      </c>
      <c r="KA9" s="2"/>
      <c r="KB9" s="26">
        <f t="shared" si="0"/>
        <v>0</v>
      </c>
      <c r="KC9" s="26">
        <f t="shared" si="9"/>
        <v>0</v>
      </c>
      <c r="KD9" s="2"/>
      <c r="KE9" s="26">
        <f t="shared" si="1"/>
        <v>0</v>
      </c>
      <c r="KF9" s="2"/>
      <c r="KG9" s="4">
        <v>28.3</v>
      </c>
      <c r="KH9" s="4">
        <v>4</v>
      </c>
      <c r="KI9" s="4">
        <v>3</v>
      </c>
      <c r="KJ9" s="4">
        <v>3</v>
      </c>
      <c r="KZ9" s="300"/>
      <c r="LA9" s="301"/>
      <c r="LB9" s="301"/>
      <c r="LC9" s="301"/>
      <c r="LD9" s="301"/>
      <c r="LE9" s="107"/>
      <c r="LF9" s="107"/>
      <c r="LG9" s="302"/>
      <c r="LH9" s="302"/>
      <c r="LI9" s="302"/>
      <c r="LJ9" s="302"/>
      <c r="LK9" s="283"/>
    </row>
    <row r="10" spans="1:324" ht="16.5" thickBot="1" x14ac:dyDescent="0.3">
      <c r="A10" s="11" t="s">
        <v>215</v>
      </c>
      <c r="B10" s="12">
        <v>1</v>
      </c>
      <c r="C10" s="13" t="s">
        <v>216</v>
      </c>
      <c r="D10" s="12" t="s">
        <v>118</v>
      </c>
      <c r="E10" s="14">
        <v>25</v>
      </c>
      <c r="F10" s="111">
        <v>1</v>
      </c>
      <c r="G10" s="1"/>
      <c r="H10" s="11" t="s">
        <v>215</v>
      </c>
      <c r="I10" s="12">
        <v>1</v>
      </c>
      <c r="J10" s="13" t="s">
        <v>216</v>
      </c>
      <c r="K10" s="12" t="s">
        <v>119</v>
      </c>
      <c r="L10" s="14">
        <v>30</v>
      </c>
      <c r="M10" s="111">
        <v>1</v>
      </c>
      <c r="N10" s="1"/>
      <c r="O10" s="11" t="s">
        <v>215</v>
      </c>
      <c r="P10" s="12">
        <v>1</v>
      </c>
      <c r="Q10" s="13" t="s">
        <v>216</v>
      </c>
      <c r="R10" s="12" t="s">
        <v>119</v>
      </c>
      <c r="S10" s="14">
        <v>30</v>
      </c>
      <c r="T10" s="111">
        <v>1</v>
      </c>
      <c r="Y10" s="74" t="s">
        <v>121</v>
      </c>
      <c r="Z10" s="12">
        <v>1</v>
      </c>
      <c r="AA10" s="74" t="s">
        <v>217</v>
      </c>
      <c r="AB10" s="12" t="s">
        <v>123</v>
      </c>
      <c r="AC10" s="62"/>
      <c r="AD10" s="62"/>
      <c r="AE10" s="57"/>
      <c r="AF10" s="58" t="s">
        <v>124</v>
      </c>
      <c r="AG10" s="1"/>
      <c r="AH10" s="59" t="s">
        <v>125</v>
      </c>
      <c r="AI10" s="12">
        <v>1</v>
      </c>
      <c r="AJ10" s="59" t="s">
        <v>218</v>
      </c>
      <c r="AK10" s="12" t="s">
        <v>123</v>
      </c>
      <c r="AL10" s="100"/>
      <c r="AM10" s="101"/>
      <c r="AN10" s="57"/>
      <c r="AO10" s="58" t="s">
        <v>127</v>
      </c>
      <c r="AX10" s="74" t="s">
        <v>121</v>
      </c>
      <c r="AY10" s="12">
        <v>1</v>
      </c>
      <c r="AZ10" s="74" t="s">
        <v>217</v>
      </c>
      <c r="BA10" s="12" t="s">
        <v>128</v>
      </c>
      <c r="BB10" s="62">
        <f>AY10*99</f>
        <v>99</v>
      </c>
      <c r="BC10" s="14"/>
      <c r="BD10" s="57">
        <v>45376</v>
      </c>
      <c r="BE10" s="59" t="s">
        <v>129</v>
      </c>
      <c r="BF10" s="1"/>
      <c r="BG10" s="59" t="s">
        <v>125</v>
      </c>
      <c r="BH10" s="12">
        <v>1</v>
      </c>
      <c r="BI10" s="59" t="s">
        <v>218</v>
      </c>
      <c r="BJ10" s="64" t="s">
        <v>128</v>
      </c>
      <c r="BK10" s="100">
        <f>BH10*107</f>
        <v>107</v>
      </c>
      <c r="BL10" s="60"/>
      <c r="BM10" s="57">
        <v>45376</v>
      </c>
      <c r="BN10" s="66" t="s">
        <v>129</v>
      </c>
      <c r="BX10" s="74" t="s">
        <v>121</v>
      </c>
      <c r="BY10" s="12">
        <v>1</v>
      </c>
      <c r="BZ10" s="74" t="s">
        <v>217</v>
      </c>
      <c r="CA10" s="64" t="s">
        <v>130</v>
      </c>
      <c r="CB10" s="62"/>
      <c r="CC10" s="62"/>
      <c r="CD10" s="57"/>
      <c r="CE10" s="58" t="s">
        <v>131</v>
      </c>
      <c r="CF10" s="1"/>
      <c r="CG10" s="59" t="s">
        <v>125</v>
      </c>
      <c r="CH10" s="12">
        <v>1</v>
      </c>
      <c r="CI10" s="59" t="s">
        <v>218</v>
      </c>
      <c r="CJ10" s="12" t="s">
        <v>130</v>
      </c>
      <c r="CK10" s="100">
        <f>CH10*153</f>
        <v>153</v>
      </c>
      <c r="CL10" s="60"/>
      <c r="CM10" s="57">
        <v>45376</v>
      </c>
      <c r="CN10" s="58" t="s">
        <v>131</v>
      </c>
      <c r="CX10" s="92" t="s">
        <v>219</v>
      </c>
      <c r="CY10" s="93" t="s">
        <v>220</v>
      </c>
      <c r="CZ10" s="94">
        <v>1</v>
      </c>
      <c r="DA10" s="95" t="s">
        <v>207</v>
      </c>
      <c r="DB10" s="81">
        <f t="shared" ref="DB10:DB14" si="20">CZ10*4</f>
        <v>4</v>
      </c>
      <c r="DC10" s="105">
        <v>0</v>
      </c>
      <c r="DD10" s="105">
        <v>0.75</v>
      </c>
      <c r="DE10" s="96">
        <v>1</v>
      </c>
      <c r="DF10" s="84">
        <f t="shared" si="12"/>
        <v>5.75</v>
      </c>
      <c r="DG10" s="85"/>
      <c r="DH10" s="86">
        <f t="shared" si="18"/>
        <v>5</v>
      </c>
      <c r="DI10" s="105">
        <v>0</v>
      </c>
      <c r="DJ10" s="105">
        <v>0.75</v>
      </c>
      <c r="DK10" s="97">
        <v>1</v>
      </c>
      <c r="DL10" s="98">
        <f t="shared" si="13"/>
        <v>6.75</v>
      </c>
      <c r="DM10" s="98"/>
      <c r="DN10" s="86">
        <f t="shared" si="19"/>
        <v>5.5</v>
      </c>
      <c r="DO10" s="99">
        <v>0</v>
      </c>
      <c r="DP10" s="105">
        <v>0.75</v>
      </c>
      <c r="DQ10" s="87">
        <v>1.5</v>
      </c>
      <c r="DR10" s="98">
        <f t="shared" si="14"/>
        <v>7.75</v>
      </c>
      <c r="DS10" s="86">
        <f t="shared" ref="DS10:DS14" si="21">DB10+(3.5*CZ10)</f>
        <v>7.5</v>
      </c>
      <c r="DT10" s="99">
        <v>0</v>
      </c>
      <c r="DU10" s="105">
        <v>0.75</v>
      </c>
      <c r="DV10" s="87">
        <v>2</v>
      </c>
      <c r="DW10" s="98">
        <f t="shared" si="16"/>
        <v>10.25</v>
      </c>
      <c r="EB10" s="42" t="s">
        <v>221</v>
      </c>
      <c r="EC10" s="43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4"/>
      <c r="ES10" s="17" t="s">
        <v>214</v>
      </c>
      <c r="ET10" s="18"/>
      <c r="EU10" s="18">
        <f t="shared" si="2"/>
        <v>0</v>
      </c>
      <c r="EV10" s="18"/>
      <c r="EW10" s="19">
        <v>6</v>
      </c>
      <c r="EX10" s="19">
        <v>7</v>
      </c>
      <c r="EY10" s="19">
        <v>11</v>
      </c>
      <c r="EZ10" s="20">
        <f t="shared" si="3"/>
        <v>24</v>
      </c>
      <c r="FG10" s="2" t="s">
        <v>222</v>
      </c>
      <c r="FH10" s="2">
        <v>1</v>
      </c>
      <c r="FI10" s="43" t="s">
        <v>93</v>
      </c>
      <c r="FJ10" s="43" t="s">
        <v>94</v>
      </c>
      <c r="FK10" s="43" t="s">
        <v>94</v>
      </c>
      <c r="FL10" s="43"/>
      <c r="FM10" s="2" t="s">
        <v>94</v>
      </c>
      <c r="FN10" s="2" t="s">
        <v>94</v>
      </c>
      <c r="FO10" s="26">
        <f t="shared" si="4"/>
        <v>24</v>
      </c>
      <c r="FP10" s="2"/>
      <c r="FQ10" s="4" t="str">
        <f>IF(FI10=0,"0",IF(FI10="5/16","10",IF(FI10="3/8","10.5",IF(FI10="1/2","13.5",IF(FI10="5/8","15.5",IF(FI10="3/4","16","10"))))))</f>
        <v>10</v>
      </c>
      <c r="FR10" s="4" t="str">
        <f t="shared" ref="FR10:FS13" si="22">IF(FJ10="Yes","4","0")</f>
        <v>4</v>
      </c>
      <c r="FS10" s="4" t="str">
        <f t="shared" si="22"/>
        <v>4</v>
      </c>
      <c r="FT10" s="4" t="str">
        <f t="shared" si="6"/>
        <v>2</v>
      </c>
      <c r="FU10" s="4" t="str">
        <f t="shared" si="10"/>
        <v>4</v>
      </c>
      <c r="FV10" s="44" t="str">
        <f t="shared" si="11"/>
        <v>10</v>
      </c>
      <c r="FW10" s="45" t="s">
        <v>222</v>
      </c>
      <c r="FX10" s="2"/>
      <c r="FY10" s="2" t="s">
        <v>223</v>
      </c>
      <c r="FZ10" s="2"/>
      <c r="GA10" s="2"/>
      <c r="GB10" s="2"/>
      <c r="GD10" s="43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HB10" s="2" t="s">
        <v>224</v>
      </c>
      <c r="HC10" s="2">
        <v>1</v>
      </c>
      <c r="HD10" s="2">
        <f t="shared" si="7"/>
        <v>24.5</v>
      </c>
      <c r="HE10" s="2"/>
      <c r="HF10" s="4">
        <v>5</v>
      </c>
      <c r="HG10" s="4">
        <v>4.5</v>
      </c>
      <c r="HH10" s="4">
        <v>15</v>
      </c>
      <c r="HI10" s="4">
        <f t="shared" si="8"/>
        <v>24.5</v>
      </c>
      <c r="IC10" s="17"/>
      <c r="ID10" s="18"/>
      <c r="IE10" s="18"/>
      <c r="IF10" s="72">
        <f>IH10+II10+IJ10+IK10</f>
        <v>0</v>
      </c>
      <c r="IG10" s="18"/>
      <c r="IH10" s="73">
        <f>ID10/10</f>
        <v>0</v>
      </c>
      <c r="II10" s="73">
        <f>ID10/10</f>
        <v>0</v>
      </c>
      <c r="IJ10" s="73">
        <f>ID10/10</f>
        <v>0</v>
      </c>
      <c r="IK10" s="20">
        <f>IE10*1</f>
        <v>0</v>
      </c>
      <c r="IL10" s="4"/>
      <c r="JB10" s="2"/>
      <c r="JC10" s="2"/>
      <c r="JD10" s="2"/>
      <c r="JE10" s="2"/>
      <c r="JF10" s="2"/>
      <c r="JG10" s="2"/>
      <c r="JH10" s="2"/>
      <c r="JZ10" s="2" t="s">
        <v>225</v>
      </c>
      <c r="KA10" s="2"/>
      <c r="KB10" s="26">
        <f t="shared" si="0"/>
        <v>0</v>
      </c>
      <c r="KC10" s="26">
        <f t="shared" si="9"/>
        <v>0</v>
      </c>
      <c r="KD10" s="2"/>
      <c r="KE10" s="26">
        <f t="shared" si="1"/>
        <v>0</v>
      </c>
      <c r="KF10" s="2"/>
      <c r="KG10" s="4">
        <v>31.4</v>
      </c>
      <c r="KH10" s="4">
        <v>4</v>
      </c>
      <c r="KI10" s="4">
        <v>3</v>
      </c>
      <c r="KJ10" s="4">
        <v>3</v>
      </c>
      <c r="KZ10" s="17" t="s">
        <v>226</v>
      </c>
      <c r="LA10" s="18"/>
      <c r="LB10" s="18"/>
      <c r="LC10" s="72"/>
      <c r="LD10" s="72">
        <f>(LG10*LH10)+(LB10*LI10)+(LC10*LJ10)+LK10</f>
        <v>0</v>
      </c>
      <c r="LE10" s="18"/>
      <c r="LF10" s="18"/>
      <c r="LG10" s="73" t="str">
        <f>IF(LA10="Yes","16","0")</f>
        <v>0</v>
      </c>
      <c r="LH10" s="19">
        <v>0.5</v>
      </c>
      <c r="LI10" s="19">
        <v>1.5</v>
      </c>
      <c r="LJ10" s="19">
        <v>3</v>
      </c>
      <c r="LK10" s="112" t="str">
        <f>IF(LA10="Yes","4","0")</f>
        <v>0</v>
      </c>
    </row>
    <row r="11" spans="1:324" ht="16.5" thickBot="1" x14ac:dyDescent="0.3">
      <c r="A11" s="11" t="s">
        <v>227</v>
      </c>
      <c r="B11" s="12">
        <v>1</v>
      </c>
      <c r="C11" s="52" t="s">
        <v>228</v>
      </c>
      <c r="D11" s="12" t="s">
        <v>118</v>
      </c>
      <c r="E11" s="14"/>
      <c r="F11" s="113">
        <f>B11*1</f>
        <v>1</v>
      </c>
      <c r="G11" s="1"/>
      <c r="H11" s="11" t="s">
        <v>227</v>
      </c>
      <c r="I11" s="12">
        <v>1</v>
      </c>
      <c r="J11" s="52" t="s">
        <v>228</v>
      </c>
      <c r="K11" s="12" t="s">
        <v>119</v>
      </c>
      <c r="L11" s="14"/>
      <c r="M11" s="113">
        <f>I11*1</f>
        <v>1</v>
      </c>
      <c r="N11" s="1"/>
      <c r="O11" s="11" t="s">
        <v>227</v>
      </c>
      <c r="P11" s="12">
        <v>1</v>
      </c>
      <c r="Q11" s="52" t="s">
        <v>228</v>
      </c>
      <c r="R11" s="12" t="s">
        <v>119</v>
      </c>
      <c r="S11" s="14"/>
      <c r="T11" s="113">
        <f>P11*1</f>
        <v>1</v>
      </c>
      <c r="Y11" s="74" t="s">
        <v>121</v>
      </c>
      <c r="Z11" s="12">
        <v>1</v>
      </c>
      <c r="AA11" s="74" t="s">
        <v>229</v>
      </c>
      <c r="AB11" s="12" t="s">
        <v>123</v>
      </c>
      <c r="AC11" s="62"/>
      <c r="AD11" s="62"/>
      <c r="AE11" s="57"/>
      <c r="AF11" s="58" t="s">
        <v>124</v>
      </c>
      <c r="AG11" s="1"/>
      <c r="AH11" s="59" t="s">
        <v>125</v>
      </c>
      <c r="AI11" s="12">
        <v>1</v>
      </c>
      <c r="AJ11" s="59" t="s">
        <v>230</v>
      </c>
      <c r="AK11" s="12" t="s">
        <v>123</v>
      </c>
      <c r="AL11" s="114"/>
      <c r="AM11" s="61"/>
      <c r="AN11" s="57"/>
      <c r="AO11" s="58" t="s">
        <v>203</v>
      </c>
      <c r="AX11" s="74" t="s">
        <v>121</v>
      </c>
      <c r="AY11" s="12">
        <v>1</v>
      </c>
      <c r="AZ11" s="74" t="s">
        <v>229</v>
      </c>
      <c r="BA11" s="12" t="s">
        <v>128</v>
      </c>
      <c r="BB11" s="62"/>
      <c r="BC11" s="62"/>
      <c r="BD11" s="57"/>
      <c r="BE11" s="59" t="s">
        <v>129</v>
      </c>
      <c r="BF11" s="1"/>
      <c r="BG11" s="59" t="s">
        <v>125</v>
      </c>
      <c r="BH11" s="12">
        <v>1</v>
      </c>
      <c r="BI11" s="59" t="s">
        <v>230</v>
      </c>
      <c r="BJ11" s="64" t="s">
        <v>128</v>
      </c>
      <c r="BK11" s="114"/>
      <c r="BL11" s="65"/>
      <c r="BM11" s="57"/>
      <c r="BN11" s="66" t="s">
        <v>129</v>
      </c>
      <c r="BX11" s="74" t="s">
        <v>121</v>
      </c>
      <c r="BY11" s="12">
        <v>1</v>
      </c>
      <c r="BZ11" s="74" t="s">
        <v>229</v>
      </c>
      <c r="CA11" s="64" t="s">
        <v>130</v>
      </c>
      <c r="CB11" s="62">
        <f>BY11*268</f>
        <v>268</v>
      </c>
      <c r="CC11" s="62"/>
      <c r="CD11" s="57">
        <v>45376</v>
      </c>
      <c r="CE11" s="58" t="s">
        <v>131</v>
      </c>
      <c r="CF11" s="1"/>
      <c r="CG11" s="59" t="s">
        <v>125</v>
      </c>
      <c r="CH11" s="12">
        <v>1</v>
      </c>
      <c r="CI11" s="59" t="s">
        <v>230</v>
      </c>
      <c r="CJ11" s="12" t="s">
        <v>130</v>
      </c>
      <c r="CK11" s="114"/>
      <c r="CL11" s="76"/>
      <c r="CM11" s="57"/>
      <c r="CN11" s="58" t="s">
        <v>131</v>
      </c>
      <c r="CX11" s="92" t="s">
        <v>231</v>
      </c>
      <c r="CY11" s="93" t="s">
        <v>232</v>
      </c>
      <c r="CZ11" s="94">
        <v>1</v>
      </c>
      <c r="DA11" s="95" t="s">
        <v>207</v>
      </c>
      <c r="DB11" s="81">
        <f t="shared" si="20"/>
        <v>4</v>
      </c>
      <c r="DC11" s="105">
        <v>0</v>
      </c>
      <c r="DD11" s="105">
        <v>1</v>
      </c>
      <c r="DE11" s="96">
        <v>1</v>
      </c>
      <c r="DF11" s="84">
        <f t="shared" si="12"/>
        <v>6</v>
      </c>
      <c r="DG11" s="85"/>
      <c r="DH11" s="86">
        <f t="shared" si="18"/>
        <v>5</v>
      </c>
      <c r="DI11" s="105">
        <v>0</v>
      </c>
      <c r="DJ11" s="105">
        <v>1</v>
      </c>
      <c r="DK11" s="97">
        <v>1</v>
      </c>
      <c r="DL11" s="98">
        <f t="shared" si="13"/>
        <v>7</v>
      </c>
      <c r="DM11" s="98"/>
      <c r="DN11" s="86">
        <f t="shared" si="19"/>
        <v>5.5</v>
      </c>
      <c r="DO11" s="99">
        <v>0</v>
      </c>
      <c r="DP11" s="105">
        <v>1</v>
      </c>
      <c r="DQ11" s="87">
        <v>1.5</v>
      </c>
      <c r="DR11" s="98">
        <f t="shared" si="14"/>
        <v>8</v>
      </c>
      <c r="DS11" s="86">
        <f t="shared" si="21"/>
        <v>7.5</v>
      </c>
      <c r="DT11" s="99">
        <v>0</v>
      </c>
      <c r="DU11" s="105">
        <v>1</v>
      </c>
      <c r="DV11" s="87">
        <v>2</v>
      </c>
      <c r="DW11" s="98">
        <f t="shared" si="16"/>
        <v>10.5</v>
      </c>
      <c r="EB11" s="42" t="s">
        <v>233</v>
      </c>
      <c r="EC11" s="43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4"/>
      <c r="ES11" s="17" t="s">
        <v>225</v>
      </c>
      <c r="ET11" s="18"/>
      <c r="EU11" s="18">
        <f t="shared" si="2"/>
        <v>0</v>
      </c>
      <c r="EV11" s="18"/>
      <c r="EW11" s="19">
        <v>6</v>
      </c>
      <c r="EX11" s="19">
        <v>8</v>
      </c>
      <c r="EY11" s="19">
        <v>12</v>
      </c>
      <c r="EZ11" s="20">
        <f t="shared" si="3"/>
        <v>26</v>
      </c>
      <c r="FG11" s="2" t="s">
        <v>234</v>
      </c>
      <c r="FH11" s="2">
        <v>1</v>
      </c>
      <c r="FI11" s="43" t="s">
        <v>93</v>
      </c>
      <c r="FJ11" s="43" t="s">
        <v>94</v>
      </c>
      <c r="FK11" s="43" t="s">
        <v>94</v>
      </c>
      <c r="FL11" s="43"/>
      <c r="FM11" s="2" t="s">
        <v>94</v>
      </c>
      <c r="FN11" s="2" t="s">
        <v>94</v>
      </c>
      <c r="FO11" s="26">
        <f t="shared" si="4"/>
        <v>26</v>
      </c>
      <c r="FP11" s="2"/>
      <c r="FQ11" s="4" t="str">
        <f>IF(FI11=0,"0",IF(FI11="5/16","12",IF(FI11="3/8","13",IF(FI11="1/2","17",IF(FI11="5/8","20",IF(FI11="3/4","22","12"))))))</f>
        <v>12</v>
      </c>
      <c r="FR11" s="4" t="str">
        <f t="shared" si="22"/>
        <v>4</v>
      </c>
      <c r="FS11" s="4" t="str">
        <f t="shared" si="22"/>
        <v>4</v>
      </c>
      <c r="FT11" s="4" t="str">
        <f t="shared" si="6"/>
        <v>2</v>
      </c>
      <c r="FU11" s="4" t="str">
        <f t="shared" si="10"/>
        <v>4</v>
      </c>
      <c r="FV11" s="44" t="str">
        <f t="shared" si="11"/>
        <v>12</v>
      </c>
      <c r="FW11" s="45" t="s">
        <v>234</v>
      </c>
      <c r="FX11" s="2"/>
      <c r="FY11" s="2" t="s">
        <v>235</v>
      </c>
      <c r="FZ11" s="2"/>
      <c r="GA11" s="2"/>
      <c r="GB11" s="2"/>
      <c r="GD11" s="43"/>
      <c r="HB11" s="2" t="s">
        <v>236</v>
      </c>
      <c r="HC11" s="2">
        <v>1</v>
      </c>
      <c r="HD11" s="2">
        <f t="shared" si="7"/>
        <v>25</v>
      </c>
      <c r="HE11" s="2"/>
      <c r="HF11" s="4">
        <v>5</v>
      </c>
      <c r="HG11" s="4">
        <v>5</v>
      </c>
      <c r="HH11" s="4">
        <v>15</v>
      </c>
      <c r="HI11" s="4">
        <f t="shared" si="8"/>
        <v>25</v>
      </c>
      <c r="IC11" s="17"/>
      <c r="ID11" s="18"/>
      <c r="IE11" s="18"/>
      <c r="IF11" s="18"/>
      <c r="IG11" s="18"/>
      <c r="IH11" s="18"/>
      <c r="II11" s="18"/>
      <c r="IJ11" s="18"/>
      <c r="IK11" s="25"/>
      <c r="JB11" s="2"/>
      <c r="JC11" s="2"/>
      <c r="JD11" s="2"/>
      <c r="JE11" s="2"/>
      <c r="JF11" s="2"/>
      <c r="JG11" s="2"/>
      <c r="JH11" s="2"/>
      <c r="JZ11" s="2" t="s">
        <v>237</v>
      </c>
      <c r="KA11" s="2"/>
      <c r="KB11" s="26">
        <f t="shared" si="0"/>
        <v>0</v>
      </c>
      <c r="KC11" s="26">
        <f t="shared" si="9"/>
        <v>0</v>
      </c>
      <c r="KD11" s="2"/>
      <c r="KE11" s="26">
        <f t="shared" si="1"/>
        <v>0</v>
      </c>
      <c r="KF11" s="2"/>
      <c r="KG11" s="4">
        <v>34.6</v>
      </c>
      <c r="KH11" s="4">
        <v>4</v>
      </c>
      <c r="KI11" s="4">
        <v>3</v>
      </c>
      <c r="KJ11" s="4">
        <v>3</v>
      </c>
      <c r="KZ11" s="17" t="s">
        <v>154</v>
      </c>
      <c r="LA11" s="18"/>
      <c r="LB11" s="18"/>
      <c r="LC11" s="72"/>
      <c r="LD11" s="72">
        <f t="shared" ref="LD11:LD20" si="23">(LG11*LH11)+(LB11*LI11)+(LC11*LJ11)+LK11</f>
        <v>0</v>
      </c>
      <c r="LE11" s="18"/>
      <c r="LF11" s="18"/>
      <c r="LG11" s="73" t="str">
        <f>IF(LA11="Yes","25","0")</f>
        <v>0</v>
      </c>
      <c r="LH11" s="19">
        <v>0.45</v>
      </c>
      <c r="LI11" s="19">
        <v>1.5</v>
      </c>
      <c r="LJ11" s="19">
        <v>3</v>
      </c>
      <c r="LK11" s="112" t="str">
        <f>IF(LA11="Yes","5","0")</f>
        <v>0</v>
      </c>
    </row>
    <row r="12" spans="1:324" ht="16.5" thickBot="1" x14ac:dyDescent="0.3">
      <c r="A12" s="11" t="s">
        <v>238</v>
      </c>
      <c r="B12" s="12">
        <v>1</v>
      </c>
      <c r="C12" s="52" t="s">
        <v>239</v>
      </c>
      <c r="D12" s="12" t="s">
        <v>118</v>
      </c>
      <c r="E12" s="14"/>
      <c r="F12" s="113">
        <f>B12*4</f>
        <v>4</v>
      </c>
      <c r="G12" s="1"/>
      <c r="H12" s="11" t="s">
        <v>238</v>
      </c>
      <c r="I12" s="12">
        <v>1</v>
      </c>
      <c r="J12" s="52" t="s">
        <v>239</v>
      </c>
      <c r="K12" s="12" t="s">
        <v>119</v>
      </c>
      <c r="L12" s="14"/>
      <c r="M12" s="113">
        <f>I12*4</f>
        <v>4</v>
      </c>
      <c r="N12" s="1"/>
      <c r="O12" s="11" t="s">
        <v>238</v>
      </c>
      <c r="P12" s="12">
        <v>1</v>
      </c>
      <c r="Q12" s="52" t="s">
        <v>239</v>
      </c>
      <c r="R12" s="12" t="s">
        <v>119</v>
      </c>
      <c r="S12" s="14"/>
      <c r="T12" s="113">
        <f>P12*4</f>
        <v>4</v>
      </c>
      <c r="Y12" s="74" t="s">
        <v>121</v>
      </c>
      <c r="Z12" s="12">
        <v>1</v>
      </c>
      <c r="AA12" s="74" t="s">
        <v>240</v>
      </c>
      <c r="AB12" s="12" t="s">
        <v>123</v>
      </c>
      <c r="AC12" s="62"/>
      <c r="AD12" s="75"/>
      <c r="AE12" s="57"/>
      <c r="AF12" s="58" t="s">
        <v>124</v>
      </c>
      <c r="AG12" s="1"/>
      <c r="AH12" s="59" t="s">
        <v>125</v>
      </c>
      <c r="AI12" s="12">
        <v>1</v>
      </c>
      <c r="AJ12" s="59" t="s">
        <v>241</v>
      </c>
      <c r="AK12" s="12" t="s">
        <v>123</v>
      </c>
      <c r="AL12" s="100"/>
      <c r="AM12" s="61"/>
      <c r="AN12" s="57"/>
      <c r="AO12" s="58" t="s">
        <v>203</v>
      </c>
      <c r="AX12" s="74" t="s">
        <v>121</v>
      </c>
      <c r="AY12" s="12">
        <v>1</v>
      </c>
      <c r="AZ12" s="74" t="s">
        <v>240</v>
      </c>
      <c r="BA12" s="12" t="s">
        <v>128</v>
      </c>
      <c r="BB12" s="62"/>
      <c r="BC12" s="75"/>
      <c r="BD12" s="57"/>
      <c r="BE12" s="59" t="s">
        <v>129</v>
      </c>
      <c r="BF12" s="1"/>
      <c r="BG12" s="59" t="s">
        <v>125</v>
      </c>
      <c r="BH12" s="12">
        <v>1</v>
      </c>
      <c r="BI12" s="59" t="s">
        <v>241</v>
      </c>
      <c r="BJ12" s="64" t="s">
        <v>128</v>
      </c>
      <c r="BK12" s="100">
        <f>BH12*318</f>
        <v>318</v>
      </c>
      <c r="BL12" s="65"/>
      <c r="BM12" s="57">
        <v>45376</v>
      </c>
      <c r="BN12" s="66" t="s">
        <v>129</v>
      </c>
      <c r="BX12" s="74" t="s">
        <v>121</v>
      </c>
      <c r="BY12" s="12">
        <v>1</v>
      </c>
      <c r="BZ12" s="74" t="s">
        <v>240</v>
      </c>
      <c r="CA12" s="64" t="s">
        <v>130</v>
      </c>
      <c r="CB12" s="62"/>
      <c r="CC12" s="75"/>
      <c r="CD12" s="57"/>
      <c r="CE12" s="58" t="s">
        <v>131</v>
      </c>
      <c r="CF12" s="1"/>
      <c r="CG12" s="59" t="s">
        <v>125</v>
      </c>
      <c r="CH12" s="12">
        <v>1</v>
      </c>
      <c r="CI12" s="59" t="s">
        <v>241</v>
      </c>
      <c r="CJ12" s="64" t="s">
        <v>130</v>
      </c>
      <c r="CK12" s="100"/>
      <c r="CL12" s="65"/>
      <c r="CM12" s="57"/>
      <c r="CN12" s="58" t="s">
        <v>131</v>
      </c>
      <c r="CX12" s="92" t="s">
        <v>242</v>
      </c>
      <c r="CY12" s="93" t="s">
        <v>243</v>
      </c>
      <c r="CZ12" s="94">
        <v>1</v>
      </c>
      <c r="DA12" s="95" t="s">
        <v>207</v>
      </c>
      <c r="DB12" s="81">
        <f t="shared" si="20"/>
        <v>4</v>
      </c>
      <c r="DC12" s="105">
        <v>0</v>
      </c>
      <c r="DD12" s="105">
        <v>1</v>
      </c>
      <c r="DE12" s="96">
        <v>1</v>
      </c>
      <c r="DF12" s="84">
        <f t="shared" si="12"/>
        <v>6</v>
      </c>
      <c r="DG12" s="85"/>
      <c r="DH12" s="86">
        <f t="shared" si="18"/>
        <v>5</v>
      </c>
      <c r="DI12" s="105">
        <v>0</v>
      </c>
      <c r="DJ12" s="105">
        <v>1</v>
      </c>
      <c r="DK12" s="97">
        <v>1</v>
      </c>
      <c r="DL12" s="98">
        <f t="shared" si="13"/>
        <v>7</v>
      </c>
      <c r="DM12" s="98"/>
      <c r="DN12" s="86">
        <f t="shared" si="19"/>
        <v>5.5</v>
      </c>
      <c r="DO12" s="99">
        <v>0</v>
      </c>
      <c r="DP12" s="105">
        <v>1</v>
      </c>
      <c r="DQ12" s="87">
        <v>1.5</v>
      </c>
      <c r="DR12" s="98">
        <f t="shared" si="14"/>
        <v>8</v>
      </c>
      <c r="DS12" s="86">
        <f t="shared" si="21"/>
        <v>7.5</v>
      </c>
      <c r="DT12" s="99">
        <v>0</v>
      </c>
      <c r="DU12" s="105">
        <v>1</v>
      </c>
      <c r="DV12" s="87">
        <v>2</v>
      </c>
      <c r="DW12" s="98">
        <f t="shared" si="16"/>
        <v>10.5</v>
      </c>
      <c r="EB12" s="42" t="s">
        <v>244</v>
      </c>
      <c r="EC12" s="43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4"/>
      <c r="ES12" s="17" t="s">
        <v>237</v>
      </c>
      <c r="ET12" s="18"/>
      <c r="EU12" s="18">
        <f t="shared" si="2"/>
        <v>0</v>
      </c>
      <c r="EV12" s="18"/>
      <c r="EW12" s="19">
        <v>7</v>
      </c>
      <c r="EX12" s="19">
        <v>9</v>
      </c>
      <c r="EY12" s="19">
        <v>14</v>
      </c>
      <c r="EZ12" s="20">
        <f t="shared" si="3"/>
        <v>30</v>
      </c>
      <c r="FG12" s="2" t="s">
        <v>245</v>
      </c>
      <c r="FH12" s="2">
        <v>1</v>
      </c>
      <c r="FI12" s="43" t="s">
        <v>93</v>
      </c>
      <c r="FJ12" s="43" t="s">
        <v>94</v>
      </c>
      <c r="FK12" s="43" t="s">
        <v>94</v>
      </c>
      <c r="FL12" s="43"/>
      <c r="FM12" s="2" t="s">
        <v>94</v>
      </c>
      <c r="FN12" s="2" t="s">
        <v>94</v>
      </c>
      <c r="FO12" s="26">
        <f t="shared" si="4"/>
        <v>27</v>
      </c>
      <c r="FP12" s="2"/>
      <c r="FQ12" s="4" t="str">
        <f>IF(FI12=0,"0",IF(FI12="5/16","13",IF(FI12="3/8","15",IF(FI12="1/2","20",IF(FI12="5/8","24",IF(FI12="3/4","26","13"))))))</f>
        <v>13</v>
      </c>
      <c r="FR12" s="4" t="str">
        <f t="shared" si="22"/>
        <v>4</v>
      </c>
      <c r="FS12" s="4" t="str">
        <f t="shared" si="22"/>
        <v>4</v>
      </c>
      <c r="FT12" s="4" t="str">
        <f t="shared" si="6"/>
        <v>2</v>
      </c>
      <c r="FU12" s="4" t="str">
        <f t="shared" si="10"/>
        <v>4</v>
      </c>
      <c r="FV12" s="44" t="str">
        <f t="shared" si="11"/>
        <v>13</v>
      </c>
      <c r="FW12" s="45" t="s">
        <v>245</v>
      </c>
      <c r="FX12" s="2"/>
      <c r="FY12" s="2" t="s">
        <v>246</v>
      </c>
      <c r="FZ12" s="2"/>
      <c r="GA12" s="2"/>
      <c r="GB12" s="2"/>
      <c r="GD12" s="2"/>
      <c r="HB12" s="2" t="s">
        <v>247</v>
      </c>
      <c r="HC12" s="2">
        <v>1</v>
      </c>
      <c r="HD12" s="2">
        <f t="shared" si="7"/>
        <v>29.5</v>
      </c>
      <c r="HE12" s="2"/>
      <c r="HF12" s="4">
        <v>6</v>
      </c>
      <c r="HG12" s="4">
        <v>5.5</v>
      </c>
      <c r="HH12" s="4">
        <v>18</v>
      </c>
      <c r="HI12" s="4">
        <f t="shared" si="8"/>
        <v>29.5</v>
      </c>
      <c r="IC12" s="48"/>
      <c r="ID12" s="49"/>
      <c r="IE12" s="49"/>
      <c r="IF12" s="49"/>
      <c r="IG12" s="49"/>
      <c r="IH12" s="49"/>
      <c r="II12" s="49"/>
      <c r="IJ12" s="49"/>
      <c r="IK12" s="115"/>
      <c r="JB12" s="2"/>
      <c r="JC12" s="2"/>
      <c r="JD12" s="2"/>
      <c r="JE12" s="2"/>
      <c r="JF12" s="2"/>
      <c r="JG12" s="2"/>
      <c r="JH12" s="2"/>
      <c r="JZ12" s="2" t="s">
        <v>248</v>
      </c>
      <c r="KA12" s="2"/>
      <c r="KB12" s="26">
        <f t="shared" si="0"/>
        <v>0</v>
      </c>
      <c r="KC12" s="26">
        <f t="shared" si="9"/>
        <v>0</v>
      </c>
      <c r="KD12" s="2"/>
      <c r="KE12" s="26">
        <f t="shared" si="1"/>
        <v>0</v>
      </c>
      <c r="KF12" s="2"/>
      <c r="KG12" s="4">
        <v>37.700000000000003</v>
      </c>
      <c r="KH12" s="4">
        <v>4</v>
      </c>
      <c r="KI12" s="4">
        <v>3</v>
      </c>
      <c r="KJ12" s="4">
        <v>3</v>
      </c>
      <c r="KZ12" s="17" t="s">
        <v>164</v>
      </c>
      <c r="LA12" s="18"/>
      <c r="LB12" s="18"/>
      <c r="LC12" s="72"/>
      <c r="LD12" s="72">
        <f t="shared" si="23"/>
        <v>0</v>
      </c>
      <c r="LE12" s="18"/>
      <c r="LF12" s="18"/>
      <c r="LG12" s="73" t="str">
        <f>IF(LA12="Yes","36","0")</f>
        <v>0</v>
      </c>
      <c r="LH12" s="19">
        <v>0.4</v>
      </c>
      <c r="LI12" s="19">
        <v>1.5</v>
      </c>
      <c r="LJ12" s="19">
        <v>3</v>
      </c>
      <c r="LK12" s="112" t="str">
        <f>IF(LA12="Yes","6","0")</f>
        <v>0</v>
      </c>
    </row>
    <row r="13" spans="1:324" ht="16.5" thickBot="1" x14ac:dyDescent="0.3">
      <c r="A13" s="11"/>
      <c r="B13" s="12"/>
      <c r="C13" s="52" t="s">
        <v>249</v>
      </c>
      <c r="D13" s="12" t="s">
        <v>118</v>
      </c>
      <c r="E13" s="14"/>
      <c r="F13" s="113"/>
      <c r="G13" s="1"/>
      <c r="H13" s="11"/>
      <c r="I13" s="12"/>
      <c r="J13" s="52" t="s">
        <v>249</v>
      </c>
      <c r="K13" s="12" t="s">
        <v>119</v>
      </c>
      <c r="L13" s="14"/>
      <c r="M13" s="113"/>
      <c r="N13" s="1"/>
      <c r="O13" s="11"/>
      <c r="P13" s="12"/>
      <c r="Q13" s="52" t="s">
        <v>249</v>
      </c>
      <c r="R13" s="12" t="s">
        <v>119</v>
      </c>
      <c r="S13" s="14"/>
      <c r="T13" s="113"/>
      <c r="Y13" s="74" t="s">
        <v>121</v>
      </c>
      <c r="Z13" s="12">
        <v>1</v>
      </c>
      <c r="AA13" s="74" t="s">
        <v>250</v>
      </c>
      <c r="AB13" s="12" t="s">
        <v>123</v>
      </c>
      <c r="AC13" s="116"/>
      <c r="AD13" s="75"/>
      <c r="AE13" s="57"/>
      <c r="AF13" s="58" t="s">
        <v>124</v>
      </c>
      <c r="AG13" s="1"/>
      <c r="AH13" s="59" t="s">
        <v>125</v>
      </c>
      <c r="AI13" s="12">
        <v>1</v>
      </c>
      <c r="AJ13" s="59" t="s">
        <v>251</v>
      </c>
      <c r="AK13" s="12" t="s">
        <v>123</v>
      </c>
      <c r="AL13" s="114"/>
      <c r="AM13" s="61"/>
      <c r="AN13" s="57"/>
      <c r="AO13" s="58" t="s">
        <v>203</v>
      </c>
      <c r="AX13" s="74" t="s">
        <v>121</v>
      </c>
      <c r="AY13" s="12">
        <v>1</v>
      </c>
      <c r="AZ13" s="74" t="s">
        <v>250</v>
      </c>
      <c r="BA13" s="12" t="s">
        <v>128</v>
      </c>
      <c r="BB13" s="75"/>
      <c r="BC13" s="117"/>
      <c r="BD13" s="57"/>
      <c r="BE13" s="59" t="s">
        <v>129</v>
      </c>
      <c r="BF13" s="1"/>
      <c r="BG13" s="59" t="s">
        <v>125</v>
      </c>
      <c r="BH13" s="12">
        <v>1</v>
      </c>
      <c r="BI13" s="59" t="s">
        <v>251</v>
      </c>
      <c r="BJ13" s="64" t="s">
        <v>128</v>
      </c>
      <c r="BK13" s="118">
        <f>BH13*401</f>
        <v>401</v>
      </c>
      <c r="BL13" s="65"/>
      <c r="BM13" s="57">
        <v>45376</v>
      </c>
      <c r="BN13" s="66" t="s">
        <v>129</v>
      </c>
      <c r="BX13" s="74" t="s">
        <v>121</v>
      </c>
      <c r="BY13" s="12">
        <v>1</v>
      </c>
      <c r="BZ13" s="74" t="s">
        <v>250</v>
      </c>
      <c r="CA13" s="64" t="s">
        <v>130</v>
      </c>
      <c r="CB13" s="75"/>
      <c r="CC13" s="75"/>
      <c r="CD13" s="57"/>
      <c r="CE13" s="58" t="s">
        <v>131</v>
      </c>
      <c r="CF13" s="1"/>
      <c r="CG13" s="59" t="s">
        <v>125</v>
      </c>
      <c r="CH13" s="12">
        <v>1</v>
      </c>
      <c r="CI13" s="59" t="s">
        <v>251</v>
      </c>
      <c r="CJ13" s="64" t="s">
        <v>130</v>
      </c>
      <c r="CK13" s="118"/>
      <c r="CL13" s="65"/>
      <c r="CM13" s="57"/>
      <c r="CN13" s="58" t="s">
        <v>131</v>
      </c>
      <c r="CX13" s="92" t="s">
        <v>252</v>
      </c>
      <c r="CY13" s="93" t="s">
        <v>253</v>
      </c>
      <c r="CZ13" s="94">
        <v>1</v>
      </c>
      <c r="DA13" s="95" t="s">
        <v>207</v>
      </c>
      <c r="DB13" s="81">
        <f t="shared" si="20"/>
        <v>4</v>
      </c>
      <c r="DC13" s="105">
        <v>1</v>
      </c>
      <c r="DD13" s="105">
        <v>1</v>
      </c>
      <c r="DE13" s="96">
        <v>1</v>
      </c>
      <c r="DF13" s="84">
        <f t="shared" si="12"/>
        <v>7</v>
      </c>
      <c r="DG13" s="85"/>
      <c r="DH13" s="86">
        <f t="shared" si="18"/>
        <v>5</v>
      </c>
      <c r="DI13" s="105">
        <v>1</v>
      </c>
      <c r="DJ13" s="105">
        <v>1</v>
      </c>
      <c r="DK13" s="97">
        <v>1</v>
      </c>
      <c r="DL13" s="98">
        <f t="shared" si="13"/>
        <v>8</v>
      </c>
      <c r="DM13" s="98"/>
      <c r="DN13" s="86">
        <f t="shared" si="19"/>
        <v>5.5</v>
      </c>
      <c r="DO13" s="99">
        <v>1.5</v>
      </c>
      <c r="DP13" s="105">
        <v>1</v>
      </c>
      <c r="DQ13" s="87">
        <v>1.5</v>
      </c>
      <c r="DR13" s="98">
        <f t="shared" si="14"/>
        <v>9.5</v>
      </c>
      <c r="DS13" s="86">
        <f t="shared" si="21"/>
        <v>7.5</v>
      </c>
      <c r="DT13" s="99">
        <v>2</v>
      </c>
      <c r="DU13" s="105">
        <v>1</v>
      </c>
      <c r="DV13" s="87">
        <v>2</v>
      </c>
      <c r="DW13" s="98">
        <f t="shared" si="16"/>
        <v>12.5</v>
      </c>
      <c r="EB13" s="42"/>
      <c r="EC13" s="43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4"/>
      <c r="ES13" s="17" t="s">
        <v>248</v>
      </c>
      <c r="ET13" s="18"/>
      <c r="EU13" s="18">
        <f t="shared" si="2"/>
        <v>0</v>
      </c>
      <c r="EV13" s="18"/>
      <c r="EW13" s="19">
        <v>7</v>
      </c>
      <c r="EX13" s="19">
        <v>10</v>
      </c>
      <c r="EY13" s="19">
        <v>16</v>
      </c>
      <c r="EZ13" s="20">
        <f t="shared" si="3"/>
        <v>33</v>
      </c>
      <c r="FG13" s="2" t="s">
        <v>254</v>
      </c>
      <c r="FH13" s="2">
        <v>1</v>
      </c>
      <c r="FI13" s="43" t="s">
        <v>93</v>
      </c>
      <c r="FJ13" s="43" t="s">
        <v>94</v>
      </c>
      <c r="FK13" s="43" t="s">
        <v>94</v>
      </c>
      <c r="FL13" s="43"/>
      <c r="FM13" s="2" t="s">
        <v>94</v>
      </c>
      <c r="FN13" s="2" t="s">
        <v>94</v>
      </c>
      <c r="FO13" s="26">
        <f t="shared" si="4"/>
        <v>28</v>
      </c>
      <c r="FP13" s="2"/>
      <c r="FQ13" s="4" t="str">
        <f>IF(FI13=0,"0",IF(FI13="5/16","14",IF(FI13="3/8","16",IF(FI13="1/2","22",IF(FI13="5/8","26",IF(FI13="3/4","28","14"))))))</f>
        <v>14</v>
      </c>
      <c r="FR13" s="4" t="str">
        <f t="shared" si="22"/>
        <v>4</v>
      </c>
      <c r="FS13" s="4" t="str">
        <f t="shared" si="22"/>
        <v>4</v>
      </c>
      <c r="FT13" s="4" t="str">
        <f t="shared" si="6"/>
        <v>2</v>
      </c>
      <c r="FU13" s="4" t="str">
        <f t="shared" si="10"/>
        <v>4</v>
      </c>
      <c r="FV13" s="44" t="str">
        <f t="shared" si="11"/>
        <v>14</v>
      </c>
      <c r="FW13" s="45" t="s">
        <v>254</v>
      </c>
      <c r="FX13" s="2"/>
      <c r="FY13" s="2" t="s">
        <v>223</v>
      </c>
      <c r="FZ13" s="2"/>
      <c r="GA13" s="2"/>
      <c r="GB13" s="2"/>
      <c r="GD13" s="2"/>
      <c r="HB13" s="2" t="s">
        <v>255</v>
      </c>
      <c r="HC13" s="2">
        <v>1</v>
      </c>
      <c r="HD13" s="2">
        <f t="shared" si="7"/>
        <v>30</v>
      </c>
      <c r="HE13" s="2"/>
      <c r="HF13" s="4">
        <v>6</v>
      </c>
      <c r="HG13" s="4">
        <v>6</v>
      </c>
      <c r="HH13" s="4">
        <v>18</v>
      </c>
      <c r="HI13" s="4">
        <f t="shared" si="8"/>
        <v>30</v>
      </c>
      <c r="IC13" s="2"/>
      <c r="ID13" s="2"/>
      <c r="IE13" s="2"/>
      <c r="IF13" s="2"/>
      <c r="IG13" s="2"/>
      <c r="IH13" s="2"/>
      <c r="II13" s="2"/>
      <c r="IJ13" s="2"/>
      <c r="JB13" s="2"/>
      <c r="JC13" s="2"/>
      <c r="JD13" s="2"/>
      <c r="JE13" s="2"/>
      <c r="JF13" s="2"/>
      <c r="JG13" s="2"/>
      <c r="JH13" s="2"/>
      <c r="JZ13" s="2" t="s">
        <v>256</v>
      </c>
      <c r="KA13" s="2"/>
      <c r="KB13" s="26">
        <f t="shared" si="0"/>
        <v>0</v>
      </c>
      <c r="KC13" s="26">
        <f t="shared" si="9"/>
        <v>0</v>
      </c>
      <c r="KD13" s="2"/>
      <c r="KE13" s="26">
        <f t="shared" si="1"/>
        <v>0</v>
      </c>
      <c r="KF13" s="2"/>
      <c r="KG13" s="4">
        <v>40.799999999999997</v>
      </c>
      <c r="KH13" s="4">
        <v>4</v>
      </c>
      <c r="KI13" s="4">
        <v>3</v>
      </c>
      <c r="KJ13" s="4">
        <v>3</v>
      </c>
      <c r="KZ13" s="17" t="s">
        <v>178</v>
      </c>
      <c r="LA13" s="18"/>
      <c r="LB13" s="119"/>
      <c r="LC13" s="72"/>
      <c r="LD13" s="72">
        <f t="shared" si="23"/>
        <v>0</v>
      </c>
      <c r="LE13" s="18"/>
      <c r="LF13" s="18"/>
      <c r="LG13" s="73" t="str">
        <f>IF(LA13="Yes","49","0")</f>
        <v>0</v>
      </c>
      <c r="LH13" s="19">
        <v>0.3</v>
      </c>
      <c r="LI13" s="19">
        <v>1.5</v>
      </c>
      <c r="LJ13" s="19">
        <v>3</v>
      </c>
      <c r="LK13" s="112" t="str">
        <f>IF(LA13="Yes","7","0")</f>
        <v>0</v>
      </c>
    </row>
    <row r="14" spans="1:324" ht="16.5" thickBot="1" x14ac:dyDescent="0.3">
      <c r="A14" s="11"/>
      <c r="B14" s="12"/>
      <c r="C14" s="52"/>
      <c r="D14" s="12"/>
      <c r="E14" s="14"/>
      <c r="F14" s="113"/>
      <c r="G14" s="1"/>
      <c r="H14" s="11"/>
      <c r="I14" s="12"/>
      <c r="J14" s="52"/>
      <c r="K14" s="12"/>
      <c r="L14" s="14"/>
      <c r="M14" s="113"/>
      <c r="N14" s="1"/>
      <c r="O14" s="11"/>
      <c r="P14" s="12"/>
      <c r="Q14" s="52"/>
      <c r="R14" s="12"/>
      <c r="S14" s="14"/>
      <c r="T14" s="113"/>
      <c r="Y14" s="74" t="s">
        <v>121</v>
      </c>
      <c r="Z14" s="12">
        <v>1</v>
      </c>
      <c r="AA14" s="74" t="s">
        <v>257</v>
      </c>
      <c r="AB14" s="12" t="s">
        <v>123</v>
      </c>
      <c r="AC14" s="116"/>
      <c r="AD14" s="75"/>
      <c r="AE14" s="57"/>
      <c r="AF14" s="58" t="s">
        <v>203</v>
      </c>
      <c r="AG14" s="1"/>
      <c r="AH14" s="59" t="s">
        <v>125</v>
      </c>
      <c r="AI14" s="12">
        <v>1</v>
      </c>
      <c r="AJ14" s="59" t="s">
        <v>258</v>
      </c>
      <c r="AK14" s="12" t="s">
        <v>123</v>
      </c>
      <c r="AL14" s="114"/>
      <c r="AM14" s="61"/>
      <c r="AN14" s="57"/>
      <c r="AO14" s="58" t="s">
        <v>203</v>
      </c>
      <c r="AX14" s="74" t="s">
        <v>121</v>
      </c>
      <c r="AY14" s="12">
        <v>1</v>
      </c>
      <c r="AZ14" s="74" t="s">
        <v>257</v>
      </c>
      <c r="BA14" s="12" t="s">
        <v>128</v>
      </c>
      <c r="BB14" s="75">
        <f>AY14*545</f>
        <v>545</v>
      </c>
      <c r="BC14" s="75"/>
      <c r="BD14" s="57">
        <v>45376</v>
      </c>
      <c r="BE14" s="59" t="s">
        <v>129</v>
      </c>
      <c r="BF14" s="1"/>
      <c r="BG14" s="59" t="s">
        <v>125</v>
      </c>
      <c r="BH14" s="12">
        <v>1</v>
      </c>
      <c r="BI14" s="59" t="s">
        <v>258</v>
      </c>
      <c r="BJ14" s="64" t="s">
        <v>128</v>
      </c>
      <c r="BK14" s="118"/>
      <c r="BL14" s="65"/>
      <c r="BM14" s="57"/>
      <c r="BN14" s="66" t="s">
        <v>129</v>
      </c>
      <c r="BX14" s="74" t="s">
        <v>121</v>
      </c>
      <c r="BY14" s="12">
        <v>1</v>
      </c>
      <c r="BZ14" s="74" t="s">
        <v>257</v>
      </c>
      <c r="CA14" s="64" t="s">
        <v>130</v>
      </c>
      <c r="CB14" s="75"/>
      <c r="CC14" s="75"/>
      <c r="CD14" s="57"/>
      <c r="CE14" s="58" t="s">
        <v>131</v>
      </c>
      <c r="CF14" s="1"/>
      <c r="CG14" s="59" t="s">
        <v>125</v>
      </c>
      <c r="CH14" s="12">
        <v>1</v>
      </c>
      <c r="CI14" s="59" t="s">
        <v>258</v>
      </c>
      <c r="CJ14" s="64" t="s">
        <v>130</v>
      </c>
      <c r="CK14" s="118"/>
      <c r="CL14" s="65"/>
      <c r="CM14" s="57"/>
      <c r="CN14" s="58" t="s">
        <v>131</v>
      </c>
      <c r="CX14" s="92" t="s">
        <v>259</v>
      </c>
      <c r="CY14" s="93" t="s">
        <v>260</v>
      </c>
      <c r="CZ14" s="94">
        <v>1</v>
      </c>
      <c r="DA14" s="95" t="s">
        <v>207</v>
      </c>
      <c r="DB14" s="81">
        <f t="shared" si="20"/>
        <v>4</v>
      </c>
      <c r="DC14" s="105">
        <v>1</v>
      </c>
      <c r="DD14" s="105">
        <v>1</v>
      </c>
      <c r="DE14" s="96">
        <v>1</v>
      </c>
      <c r="DF14" s="84">
        <f t="shared" si="12"/>
        <v>7</v>
      </c>
      <c r="DG14" s="85"/>
      <c r="DH14" s="86">
        <f t="shared" si="18"/>
        <v>5</v>
      </c>
      <c r="DI14" s="105">
        <v>1</v>
      </c>
      <c r="DJ14" s="105">
        <v>1</v>
      </c>
      <c r="DK14" s="97">
        <v>1</v>
      </c>
      <c r="DL14" s="98">
        <f t="shared" si="13"/>
        <v>8</v>
      </c>
      <c r="DM14" s="98"/>
      <c r="DN14" s="86">
        <f t="shared" si="19"/>
        <v>5.5</v>
      </c>
      <c r="DO14" s="99">
        <v>1.5</v>
      </c>
      <c r="DP14" s="105">
        <v>1</v>
      </c>
      <c r="DQ14" s="87">
        <v>1.5</v>
      </c>
      <c r="DR14" s="98">
        <f t="shared" si="14"/>
        <v>9.5</v>
      </c>
      <c r="DS14" s="86">
        <f t="shared" si="21"/>
        <v>7.5</v>
      </c>
      <c r="DT14" s="99">
        <v>2</v>
      </c>
      <c r="DU14" s="105">
        <v>1</v>
      </c>
      <c r="DV14" s="87">
        <v>2</v>
      </c>
      <c r="DW14" s="98">
        <f t="shared" si="16"/>
        <v>12.5</v>
      </c>
      <c r="EB14" s="42" t="s">
        <v>261</v>
      </c>
      <c r="EC14" s="43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4"/>
      <c r="ES14" s="17" t="s">
        <v>256</v>
      </c>
      <c r="ET14" s="18"/>
      <c r="EU14" s="18">
        <f t="shared" si="2"/>
        <v>0</v>
      </c>
      <c r="EV14" s="18"/>
      <c r="EW14" s="19">
        <v>8</v>
      </c>
      <c r="EX14" s="19">
        <v>11</v>
      </c>
      <c r="EY14" s="19">
        <v>18</v>
      </c>
      <c r="EZ14" s="20">
        <f t="shared" si="3"/>
        <v>37</v>
      </c>
      <c r="FG14" s="2" t="s">
        <v>262</v>
      </c>
      <c r="FH14" s="2">
        <v>1</v>
      </c>
      <c r="FI14" s="43" t="s">
        <v>93</v>
      </c>
      <c r="FJ14" s="43" t="s">
        <v>94</v>
      </c>
      <c r="FK14" s="43" t="s">
        <v>94</v>
      </c>
      <c r="FL14" s="43"/>
      <c r="FM14" s="2" t="s">
        <v>94</v>
      </c>
      <c r="FN14" s="2" t="s">
        <v>94</v>
      </c>
      <c r="FO14" s="26">
        <f t="shared" si="4"/>
        <v>32</v>
      </c>
      <c r="FP14" s="2"/>
      <c r="FQ14" s="4" t="str">
        <f>IF(FI14=0,"0",IF(FI14="5/16","16",IF(FI14="3/8","18",IF(FI14="1/2","25",IF(FI14="5/8","30",IF(FI14="3/4","32","16"))))))</f>
        <v>16</v>
      </c>
      <c r="FR14" s="4" t="str">
        <f>IF(FJ14="Yes","5","0")</f>
        <v>5</v>
      </c>
      <c r="FS14" s="4" t="str">
        <f>IF(FK14="Yes","5","0")</f>
        <v>5</v>
      </c>
      <c r="FT14" s="4" t="str">
        <f t="shared" si="6"/>
        <v>2</v>
      </c>
      <c r="FU14" s="4" t="str">
        <f t="shared" si="10"/>
        <v>4</v>
      </c>
      <c r="FV14" s="44" t="str">
        <f t="shared" si="11"/>
        <v>16</v>
      </c>
      <c r="FW14" s="45" t="s">
        <v>262</v>
      </c>
      <c r="FX14" s="2"/>
      <c r="FY14" s="2" t="s">
        <v>263</v>
      </c>
      <c r="FZ14" s="2"/>
      <c r="GA14" s="2"/>
      <c r="GB14" s="2"/>
      <c r="GD14" s="2"/>
      <c r="HB14" s="2" t="s">
        <v>264</v>
      </c>
      <c r="HC14" s="2">
        <v>1</v>
      </c>
      <c r="HD14" s="2">
        <f t="shared" si="7"/>
        <v>34.5</v>
      </c>
      <c r="HE14" s="2"/>
      <c r="HF14" s="4">
        <v>7</v>
      </c>
      <c r="HG14" s="4">
        <v>6.5</v>
      </c>
      <c r="HH14" s="4">
        <v>21</v>
      </c>
      <c r="HI14" s="4">
        <f t="shared" si="8"/>
        <v>34.5</v>
      </c>
      <c r="IC14" s="2"/>
      <c r="ID14" s="2"/>
      <c r="IE14" s="2"/>
      <c r="IF14" s="2"/>
      <c r="IG14" s="2"/>
      <c r="IH14" s="2"/>
      <c r="II14" s="2"/>
      <c r="IJ14" s="2"/>
      <c r="JB14" s="2"/>
      <c r="JC14" s="2"/>
      <c r="JD14" s="2"/>
      <c r="JE14" s="2"/>
      <c r="JF14" s="2"/>
      <c r="JG14" s="2"/>
      <c r="JH14" s="2"/>
      <c r="JZ14" s="2" t="s">
        <v>265</v>
      </c>
      <c r="KA14" s="2"/>
      <c r="KB14" s="26">
        <f t="shared" si="0"/>
        <v>0</v>
      </c>
      <c r="KC14" s="26">
        <f t="shared" si="9"/>
        <v>0</v>
      </c>
      <c r="KD14" s="2"/>
      <c r="KE14" s="26">
        <f t="shared" si="1"/>
        <v>0</v>
      </c>
      <c r="KF14" s="2"/>
      <c r="KG14" s="104">
        <v>44</v>
      </c>
      <c r="KH14" s="4">
        <v>4</v>
      </c>
      <c r="KI14" s="4">
        <v>3</v>
      </c>
      <c r="KJ14" s="4">
        <v>3</v>
      </c>
      <c r="KZ14" s="17" t="s">
        <v>193</v>
      </c>
      <c r="LA14" s="18"/>
      <c r="LB14" s="18"/>
      <c r="LC14" s="72"/>
      <c r="LD14" s="72">
        <f t="shared" si="23"/>
        <v>0</v>
      </c>
      <c r="LE14" s="18"/>
      <c r="LF14" s="18"/>
      <c r="LG14" s="73" t="str">
        <f>IF(LA14="Yes","64","0")</f>
        <v>0</v>
      </c>
      <c r="LH14" s="19">
        <v>0.25</v>
      </c>
      <c r="LI14" s="19">
        <v>1.5</v>
      </c>
      <c r="LJ14" s="19">
        <v>3</v>
      </c>
      <c r="LK14" s="112" t="str">
        <f>IF(LA14="Yes","8","0")</f>
        <v>0</v>
      </c>
    </row>
    <row r="15" spans="1:324" ht="16.5" thickBot="1" x14ac:dyDescent="0.3">
      <c r="A15" s="11" t="s">
        <v>266</v>
      </c>
      <c r="B15" s="12">
        <v>4</v>
      </c>
      <c r="C15" s="52" t="s">
        <v>267</v>
      </c>
      <c r="D15" s="12" t="s">
        <v>118</v>
      </c>
      <c r="E15" s="14"/>
      <c r="F15" s="113"/>
      <c r="G15" s="1"/>
      <c r="H15" s="11" t="s">
        <v>266</v>
      </c>
      <c r="I15" s="12">
        <v>4</v>
      </c>
      <c r="J15" s="52" t="s">
        <v>267</v>
      </c>
      <c r="K15" s="12" t="s">
        <v>119</v>
      </c>
      <c r="L15" s="14"/>
      <c r="M15" s="113"/>
      <c r="N15" s="1"/>
      <c r="O15" s="11" t="s">
        <v>266</v>
      </c>
      <c r="P15" s="12">
        <v>4</v>
      </c>
      <c r="Q15" s="52" t="s">
        <v>267</v>
      </c>
      <c r="R15" s="12" t="s">
        <v>120</v>
      </c>
      <c r="S15" s="14"/>
      <c r="T15" s="113"/>
      <c r="Y15" s="74" t="s">
        <v>121</v>
      </c>
      <c r="Z15" s="12">
        <v>1</v>
      </c>
      <c r="AA15" s="74" t="s">
        <v>268</v>
      </c>
      <c r="AB15" s="12" t="s">
        <v>123</v>
      </c>
      <c r="AC15" s="62"/>
      <c r="AD15" s="75"/>
      <c r="AE15" s="57"/>
      <c r="AF15" s="58" t="s">
        <v>124</v>
      </c>
      <c r="AG15" s="1"/>
      <c r="AH15" s="59" t="s">
        <v>125</v>
      </c>
      <c r="AI15" s="12">
        <v>1</v>
      </c>
      <c r="AJ15" s="59" t="s">
        <v>269</v>
      </c>
      <c r="AK15" s="12" t="s">
        <v>123</v>
      </c>
      <c r="AL15" s="100"/>
      <c r="AM15" s="61"/>
      <c r="AN15" s="57"/>
      <c r="AO15" s="58" t="s">
        <v>203</v>
      </c>
      <c r="AX15" s="74" t="s">
        <v>121</v>
      </c>
      <c r="AY15" s="12">
        <v>1</v>
      </c>
      <c r="AZ15" s="74" t="s">
        <v>268</v>
      </c>
      <c r="BA15" s="12" t="s">
        <v>128</v>
      </c>
      <c r="BB15" s="62"/>
      <c r="BC15" s="117"/>
      <c r="BD15" s="57"/>
      <c r="BE15" s="59" t="s">
        <v>129</v>
      </c>
      <c r="BF15" s="1"/>
      <c r="BG15" s="59" t="s">
        <v>125</v>
      </c>
      <c r="BH15" s="12">
        <v>1</v>
      </c>
      <c r="BI15" s="59" t="s">
        <v>269</v>
      </c>
      <c r="BJ15" s="64" t="s">
        <v>128</v>
      </c>
      <c r="BK15" s="100"/>
      <c r="BL15" s="65"/>
      <c r="BM15" s="57"/>
      <c r="BN15" s="66" t="s">
        <v>129</v>
      </c>
      <c r="BX15" s="74" t="s">
        <v>121</v>
      </c>
      <c r="BY15" s="12">
        <v>1</v>
      </c>
      <c r="BZ15" s="74" t="s">
        <v>268</v>
      </c>
      <c r="CA15" s="64" t="s">
        <v>130</v>
      </c>
      <c r="CB15" s="62">
        <f>BY15*750</f>
        <v>750</v>
      </c>
      <c r="CC15" s="75"/>
      <c r="CD15" s="57">
        <v>45376</v>
      </c>
      <c r="CE15" s="58" t="s">
        <v>131</v>
      </c>
      <c r="CF15" s="1"/>
      <c r="CG15" s="59" t="s">
        <v>125</v>
      </c>
      <c r="CH15" s="12">
        <v>1</v>
      </c>
      <c r="CI15" s="59" t="s">
        <v>269</v>
      </c>
      <c r="CJ15" s="64" t="s">
        <v>130</v>
      </c>
      <c r="CK15" s="100"/>
      <c r="CL15" s="65"/>
      <c r="CM15" s="57"/>
      <c r="CN15" s="58" t="s">
        <v>131</v>
      </c>
      <c r="CX15" s="92" t="s">
        <v>270</v>
      </c>
      <c r="CY15" s="93" t="s">
        <v>271</v>
      </c>
      <c r="CZ15" s="94">
        <v>1</v>
      </c>
      <c r="DA15" s="95" t="s">
        <v>272</v>
      </c>
      <c r="DB15" s="81">
        <v>5</v>
      </c>
      <c r="DC15" s="105">
        <v>1</v>
      </c>
      <c r="DD15" s="105">
        <v>1</v>
      </c>
      <c r="DE15" s="96">
        <v>1</v>
      </c>
      <c r="DF15" s="84">
        <f t="shared" si="12"/>
        <v>8</v>
      </c>
      <c r="DG15" s="85"/>
      <c r="DH15" s="86">
        <f t="shared" si="18"/>
        <v>6</v>
      </c>
      <c r="DI15" s="105">
        <v>1</v>
      </c>
      <c r="DJ15" s="105">
        <v>1</v>
      </c>
      <c r="DK15" s="97">
        <v>1</v>
      </c>
      <c r="DL15" s="98">
        <f t="shared" si="13"/>
        <v>9</v>
      </c>
      <c r="DM15" s="98"/>
      <c r="DN15" s="86">
        <f t="shared" si="19"/>
        <v>6.5</v>
      </c>
      <c r="DO15" s="99">
        <v>1.5</v>
      </c>
      <c r="DP15" s="105">
        <v>1</v>
      </c>
      <c r="DQ15" s="87">
        <v>1.5</v>
      </c>
      <c r="DR15" s="98">
        <f t="shared" si="14"/>
        <v>10.5</v>
      </c>
      <c r="DS15" s="86">
        <f>DB15+(3.5*CZ15)</f>
        <v>8.5</v>
      </c>
      <c r="DT15" s="99">
        <v>2</v>
      </c>
      <c r="DU15" s="105">
        <v>1</v>
      </c>
      <c r="DV15" s="87">
        <v>2</v>
      </c>
      <c r="DW15" s="98">
        <f t="shared" si="16"/>
        <v>13.5</v>
      </c>
      <c r="EB15" s="42" t="s">
        <v>273</v>
      </c>
      <c r="EC15" s="43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4"/>
      <c r="ES15" s="17" t="s">
        <v>265</v>
      </c>
      <c r="ET15" s="18"/>
      <c r="EU15" s="18">
        <f t="shared" si="2"/>
        <v>0</v>
      </c>
      <c r="EV15" s="18"/>
      <c r="EW15" s="19">
        <v>8</v>
      </c>
      <c r="EX15" s="19">
        <v>12</v>
      </c>
      <c r="EY15" s="19">
        <v>20</v>
      </c>
      <c r="EZ15" s="20">
        <f t="shared" si="3"/>
        <v>40</v>
      </c>
      <c r="FG15" s="2" t="s">
        <v>274</v>
      </c>
      <c r="FH15" s="2">
        <v>1</v>
      </c>
      <c r="FI15" s="43" t="s">
        <v>93</v>
      </c>
      <c r="FJ15" s="43" t="s">
        <v>94</v>
      </c>
      <c r="FK15" s="43" t="s">
        <v>94</v>
      </c>
      <c r="FL15" s="43"/>
      <c r="FM15" s="2" t="s">
        <v>94</v>
      </c>
      <c r="FN15" s="2" t="s">
        <v>94</v>
      </c>
      <c r="FO15" s="26">
        <f t="shared" si="4"/>
        <v>34</v>
      </c>
      <c r="FP15" s="2"/>
      <c r="FQ15" s="4" t="str">
        <f>IF(FI15=0,"0",IF(FI15="5/16","18",IF(FI15="3/8","20",IF(FI15="1/2","26",IF(FI15="5/8","32",IF(FI15="3/4","34","18"))))))</f>
        <v>18</v>
      </c>
      <c r="FR15" s="4" t="str">
        <f>IF(FJ15="Yes","5","0")</f>
        <v>5</v>
      </c>
      <c r="FS15" s="4" t="str">
        <f>IF(FK15="Yes","5","0")</f>
        <v>5</v>
      </c>
      <c r="FT15" s="4" t="str">
        <f t="shared" si="6"/>
        <v>2</v>
      </c>
      <c r="FU15" s="4" t="str">
        <f t="shared" si="10"/>
        <v>4</v>
      </c>
      <c r="FV15" s="44" t="str">
        <f t="shared" si="11"/>
        <v>18</v>
      </c>
      <c r="FW15" s="45" t="s">
        <v>274</v>
      </c>
      <c r="FX15" s="2"/>
      <c r="FY15" s="2" t="s">
        <v>275</v>
      </c>
      <c r="FZ15" s="2"/>
      <c r="GA15" s="2"/>
      <c r="GB15" s="2"/>
      <c r="GD15" s="2"/>
      <c r="HB15" s="2" t="s">
        <v>276</v>
      </c>
      <c r="HC15" s="2">
        <v>1</v>
      </c>
      <c r="HD15" s="2">
        <f t="shared" si="7"/>
        <v>35</v>
      </c>
      <c r="HE15" s="2"/>
      <c r="HF15" s="4">
        <v>7</v>
      </c>
      <c r="HG15" s="4">
        <v>7</v>
      </c>
      <c r="HH15" s="4">
        <v>21</v>
      </c>
      <c r="HI15" s="4">
        <f t="shared" si="8"/>
        <v>35</v>
      </c>
      <c r="IC15" s="263" t="s">
        <v>277</v>
      </c>
      <c r="ID15" s="264"/>
      <c r="IE15" s="264"/>
      <c r="IF15" s="264"/>
      <c r="IG15" s="264"/>
      <c r="IH15" s="264"/>
      <c r="II15" s="264"/>
      <c r="IJ15" s="264"/>
      <c r="IK15" s="264"/>
      <c r="IL15" s="120"/>
      <c r="JB15" s="3" t="s">
        <v>278</v>
      </c>
      <c r="JC15" s="2"/>
      <c r="JD15" s="2"/>
      <c r="JE15" s="2"/>
      <c r="JF15" s="2"/>
      <c r="JG15" s="2"/>
      <c r="JH15" s="2"/>
      <c r="KZ15" s="17" t="s">
        <v>214</v>
      </c>
      <c r="LA15" s="18"/>
      <c r="LB15" s="18"/>
      <c r="LC15" s="72"/>
      <c r="LD15" s="72">
        <f t="shared" si="23"/>
        <v>0</v>
      </c>
      <c r="LE15" s="18"/>
      <c r="LF15" s="18"/>
      <c r="LG15" s="73" t="str">
        <f>IF(LA15="Yes","81","0")</f>
        <v>0</v>
      </c>
      <c r="LH15" s="19">
        <v>0.24</v>
      </c>
      <c r="LI15" s="19">
        <v>1.5</v>
      </c>
      <c r="LJ15" s="19">
        <v>3</v>
      </c>
      <c r="LK15" s="112" t="str">
        <f>IF(LA15="Yes","9","0")</f>
        <v>0</v>
      </c>
    </row>
    <row r="16" spans="1:324" ht="16.5" thickBot="1" x14ac:dyDescent="0.3">
      <c r="A16" s="11" t="s">
        <v>279</v>
      </c>
      <c r="B16" s="12">
        <v>16</v>
      </c>
      <c r="C16" s="52" t="s">
        <v>280</v>
      </c>
      <c r="D16" s="12" t="s">
        <v>118</v>
      </c>
      <c r="E16" s="14"/>
      <c r="F16" s="113"/>
      <c r="G16" s="1"/>
      <c r="H16" s="11" t="s">
        <v>279</v>
      </c>
      <c r="I16" s="12">
        <v>16</v>
      </c>
      <c r="J16" s="52" t="s">
        <v>280</v>
      </c>
      <c r="K16" s="12" t="s">
        <v>119</v>
      </c>
      <c r="L16" s="14"/>
      <c r="M16" s="113"/>
      <c r="N16" s="1"/>
      <c r="O16" s="11" t="s">
        <v>279</v>
      </c>
      <c r="P16" s="12">
        <v>16</v>
      </c>
      <c r="Q16" s="52" t="s">
        <v>280</v>
      </c>
      <c r="R16" s="12" t="s">
        <v>120</v>
      </c>
      <c r="S16" s="14"/>
      <c r="T16" s="113"/>
      <c r="Y16" s="74" t="s">
        <v>121</v>
      </c>
      <c r="Z16" s="12">
        <v>1</v>
      </c>
      <c r="AA16" s="74" t="s">
        <v>281</v>
      </c>
      <c r="AB16" s="12" t="s">
        <v>123</v>
      </c>
      <c r="AC16" s="116"/>
      <c r="AD16" s="75"/>
      <c r="AE16" s="57"/>
      <c r="AF16" s="58" t="s">
        <v>124</v>
      </c>
      <c r="AG16" s="1"/>
      <c r="AH16" s="59" t="s">
        <v>125</v>
      </c>
      <c r="AI16" s="12">
        <v>1</v>
      </c>
      <c r="AJ16" s="59" t="s">
        <v>282</v>
      </c>
      <c r="AK16" s="12" t="s">
        <v>123</v>
      </c>
      <c r="AL16" s="114"/>
      <c r="AM16" s="61"/>
      <c r="AN16" s="57"/>
      <c r="AO16" s="58" t="s">
        <v>182</v>
      </c>
      <c r="AX16" s="74" t="s">
        <v>121</v>
      </c>
      <c r="AY16" s="12">
        <v>1</v>
      </c>
      <c r="AZ16" s="74" t="s">
        <v>281</v>
      </c>
      <c r="BA16" s="12" t="s">
        <v>128</v>
      </c>
      <c r="BB16" s="75"/>
      <c r="BC16" s="117"/>
      <c r="BD16" s="57"/>
      <c r="BE16" s="59" t="s">
        <v>129</v>
      </c>
      <c r="BF16" s="1"/>
      <c r="BG16" s="59" t="s">
        <v>125</v>
      </c>
      <c r="BH16" s="12">
        <v>1</v>
      </c>
      <c r="BI16" s="59" t="s">
        <v>282</v>
      </c>
      <c r="BJ16" s="64" t="s">
        <v>128</v>
      </c>
      <c r="BK16" s="118"/>
      <c r="BL16" s="65"/>
      <c r="BM16" s="57"/>
      <c r="BN16" s="66" t="s">
        <v>129</v>
      </c>
      <c r="BX16" s="74" t="s">
        <v>121</v>
      </c>
      <c r="BY16" s="12">
        <v>1</v>
      </c>
      <c r="BZ16" s="74" t="s">
        <v>281</v>
      </c>
      <c r="CA16" s="64" t="s">
        <v>130</v>
      </c>
      <c r="CB16" s="75">
        <f>BY16*785</f>
        <v>785</v>
      </c>
      <c r="CC16" s="75"/>
      <c r="CD16" s="57">
        <v>45376</v>
      </c>
      <c r="CE16" s="58" t="s">
        <v>131</v>
      </c>
      <c r="CF16" s="1"/>
      <c r="CG16" s="59" t="s">
        <v>125</v>
      </c>
      <c r="CH16" s="12">
        <v>1</v>
      </c>
      <c r="CI16" s="59" t="s">
        <v>282</v>
      </c>
      <c r="CJ16" s="64" t="s">
        <v>130</v>
      </c>
      <c r="CK16" s="118"/>
      <c r="CL16" s="65"/>
      <c r="CM16" s="57"/>
      <c r="CN16" s="58" t="s">
        <v>131</v>
      </c>
      <c r="CX16" s="92" t="s">
        <v>283</v>
      </c>
      <c r="CY16" s="93" t="s">
        <v>284</v>
      </c>
      <c r="CZ16" s="94">
        <v>1</v>
      </c>
      <c r="DA16" s="95" t="s">
        <v>272</v>
      </c>
      <c r="DB16" s="81">
        <v>5</v>
      </c>
      <c r="DC16" s="105">
        <v>1</v>
      </c>
      <c r="DD16" s="105">
        <v>1</v>
      </c>
      <c r="DE16" s="96">
        <v>1</v>
      </c>
      <c r="DF16" s="84">
        <f t="shared" si="12"/>
        <v>8</v>
      </c>
      <c r="DG16" s="85"/>
      <c r="DH16" s="86">
        <f t="shared" si="18"/>
        <v>6</v>
      </c>
      <c r="DI16" s="105">
        <v>1</v>
      </c>
      <c r="DJ16" s="105">
        <v>1</v>
      </c>
      <c r="DK16" s="97">
        <v>1</v>
      </c>
      <c r="DL16" s="98">
        <f t="shared" si="13"/>
        <v>9</v>
      </c>
      <c r="DM16" s="98"/>
      <c r="DN16" s="86">
        <f t="shared" si="19"/>
        <v>6.5</v>
      </c>
      <c r="DO16" s="99">
        <v>1.5</v>
      </c>
      <c r="DP16" s="105">
        <v>1</v>
      </c>
      <c r="DQ16" s="87">
        <v>1.5</v>
      </c>
      <c r="DR16" s="98">
        <f t="shared" si="14"/>
        <v>10.5</v>
      </c>
      <c r="DS16" s="86">
        <f t="shared" ref="DS16:DS20" si="24">DB16+(3.5*CZ16)</f>
        <v>8.5</v>
      </c>
      <c r="DT16" s="99">
        <v>2</v>
      </c>
      <c r="DU16" s="105">
        <v>1</v>
      </c>
      <c r="DV16" s="87">
        <v>2</v>
      </c>
      <c r="DW16" s="98">
        <f t="shared" si="16"/>
        <v>13.5</v>
      </c>
      <c r="EB16" s="42" t="s">
        <v>285</v>
      </c>
      <c r="EC16" s="43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4"/>
      <c r="ES16" s="284" t="s">
        <v>286</v>
      </c>
      <c r="ET16" s="285"/>
      <c r="EU16" s="285"/>
      <c r="EV16" s="285"/>
      <c r="EW16" s="285"/>
      <c r="EX16" s="285"/>
      <c r="EY16" s="285"/>
      <c r="EZ16" s="286"/>
      <c r="FG16" s="2" t="s">
        <v>287</v>
      </c>
      <c r="FH16" s="2">
        <v>1</v>
      </c>
      <c r="FI16" s="43" t="s">
        <v>93</v>
      </c>
      <c r="FJ16" s="43" t="s">
        <v>94</v>
      </c>
      <c r="FK16" s="43" t="s">
        <v>94</v>
      </c>
      <c r="FL16" s="43"/>
      <c r="FM16" s="2" t="s">
        <v>94</v>
      </c>
      <c r="FN16" s="2" t="s">
        <v>94</v>
      </c>
      <c r="FO16" s="26">
        <f t="shared" si="4"/>
        <v>40</v>
      </c>
      <c r="FP16" s="2"/>
      <c r="FQ16" s="4" t="str">
        <f>IF(FI16=0,"0",IF(FI16="5/16","22",IF(FI16="3/8","24",IF(FI16="1/2","32",IF(FI16="5/8","36",IF(FI16="3/4","38","22"))))))</f>
        <v>22</v>
      </c>
      <c r="FR16" s="4" t="str">
        <f>IF(FJ16="Yes","6","0")</f>
        <v>6</v>
      </c>
      <c r="FS16" s="4" t="str">
        <f>IF(FK16="Yes","6","0")</f>
        <v>6</v>
      </c>
      <c r="FT16" s="4" t="str">
        <f t="shared" si="6"/>
        <v>2</v>
      </c>
      <c r="FU16" s="4" t="str">
        <f t="shared" si="10"/>
        <v>4</v>
      </c>
      <c r="FV16" s="44" t="str">
        <f t="shared" si="11"/>
        <v>22</v>
      </c>
      <c r="FW16" s="45" t="s">
        <v>287</v>
      </c>
      <c r="FX16" s="2"/>
      <c r="FY16" s="2" t="s">
        <v>288</v>
      </c>
      <c r="FZ16" s="2"/>
      <c r="GA16" s="2"/>
      <c r="GB16" s="2"/>
      <c r="GD16" s="2"/>
      <c r="HB16" s="2" t="s">
        <v>289</v>
      </c>
      <c r="HC16" s="2">
        <v>1</v>
      </c>
      <c r="HD16" s="2">
        <f t="shared" si="7"/>
        <v>39.5</v>
      </c>
      <c r="HE16" s="2"/>
      <c r="HF16" s="4">
        <v>8</v>
      </c>
      <c r="HG16" s="4">
        <v>7.5</v>
      </c>
      <c r="HH16" s="4">
        <v>24</v>
      </c>
      <c r="HI16" s="4">
        <f t="shared" si="8"/>
        <v>39.5</v>
      </c>
      <c r="IC16" s="24" t="s">
        <v>62</v>
      </c>
      <c r="ID16" s="18"/>
      <c r="IE16" s="18"/>
      <c r="IF16" s="18"/>
      <c r="IG16" s="18"/>
      <c r="IH16" s="18"/>
      <c r="II16" s="18"/>
      <c r="IJ16" s="18"/>
      <c r="IK16" s="121"/>
      <c r="IL16" s="25"/>
      <c r="JB16" s="9" t="s">
        <v>290</v>
      </c>
      <c r="JC16" s="9" t="s">
        <v>291</v>
      </c>
      <c r="JD16" s="9" t="s">
        <v>63</v>
      </c>
      <c r="JE16" s="9" t="s">
        <v>292</v>
      </c>
      <c r="JF16" s="9" t="s">
        <v>293</v>
      </c>
      <c r="JG16" s="2"/>
      <c r="JH16" s="2"/>
      <c r="KZ16" s="17" t="s">
        <v>225</v>
      </c>
      <c r="LA16" s="18"/>
      <c r="LB16" s="18"/>
      <c r="LC16" s="72"/>
      <c r="LD16" s="72">
        <f t="shared" si="23"/>
        <v>0</v>
      </c>
      <c r="LE16" s="18"/>
      <c r="LF16" s="18"/>
      <c r="LG16" s="73" t="str">
        <f>IF(LA16="Yes","100","0")</f>
        <v>0</v>
      </c>
      <c r="LH16" s="19">
        <v>0.23</v>
      </c>
      <c r="LI16" s="19">
        <v>1.5</v>
      </c>
      <c r="LJ16" s="19">
        <v>3</v>
      </c>
      <c r="LK16" s="112" t="str">
        <f>IF(LA16="Yes","10","0")</f>
        <v>0</v>
      </c>
    </row>
    <row r="17" spans="1:323" ht="16.5" thickBot="1" x14ac:dyDescent="0.3">
      <c r="A17" s="11"/>
      <c r="B17" s="12"/>
      <c r="C17" s="13"/>
      <c r="D17" s="12"/>
      <c r="E17" s="14"/>
      <c r="F17" s="113"/>
      <c r="G17" s="1"/>
      <c r="H17" s="11"/>
      <c r="I17" s="12"/>
      <c r="J17" s="13"/>
      <c r="K17" s="12"/>
      <c r="L17" s="14"/>
      <c r="M17" s="113"/>
      <c r="N17" s="1"/>
      <c r="O17" s="11"/>
      <c r="P17" s="12"/>
      <c r="Q17" s="13"/>
      <c r="R17" s="12"/>
      <c r="S17" s="14"/>
      <c r="T17" s="113"/>
      <c r="Y17" s="74" t="s">
        <v>121</v>
      </c>
      <c r="Z17" s="12">
        <v>1</v>
      </c>
      <c r="AA17" s="74" t="s">
        <v>294</v>
      </c>
      <c r="AB17" s="12" t="s">
        <v>123</v>
      </c>
      <c r="AC17" s="116"/>
      <c r="AD17" s="75"/>
      <c r="AE17" s="57"/>
      <c r="AF17" s="58" t="s">
        <v>124</v>
      </c>
      <c r="AG17" s="1"/>
      <c r="AH17" s="59" t="s">
        <v>125</v>
      </c>
      <c r="AI17" s="12">
        <v>1</v>
      </c>
      <c r="AJ17" s="59" t="s">
        <v>295</v>
      </c>
      <c r="AK17" s="12" t="s">
        <v>123</v>
      </c>
      <c r="AL17" s="114"/>
      <c r="AM17" s="61"/>
      <c r="AN17" s="57"/>
      <c r="AO17" s="58" t="s">
        <v>127</v>
      </c>
      <c r="AX17" s="74" t="s">
        <v>121</v>
      </c>
      <c r="AY17" s="12">
        <v>1</v>
      </c>
      <c r="AZ17" s="74" t="s">
        <v>294</v>
      </c>
      <c r="BA17" s="12" t="s">
        <v>128</v>
      </c>
      <c r="BB17" s="75"/>
      <c r="BC17" s="117"/>
      <c r="BD17" s="57"/>
      <c r="BE17" s="59" t="s">
        <v>129</v>
      </c>
      <c r="BF17" s="1"/>
      <c r="BG17" s="59" t="s">
        <v>125</v>
      </c>
      <c r="BH17" s="12">
        <v>1</v>
      </c>
      <c r="BI17" s="59" t="s">
        <v>295</v>
      </c>
      <c r="BJ17" s="64" t="s">
        <v>128</v>
      </c>
      <c r="BK17" s="118">
        <f>BH17*1500</f>
        <v>1500</v>
      </c>
      <c r="BL17" s="65"/>
      <c r="BM17" s="57">
        <v>45376</v>
      </c>
      <c r="BN17" s="66" t="s">
        <v>129</v>
      </c>
      <c r="BX17" s="74" t="s">
        <v>121</v>
      </c>
      <c r="BY17" s="12">
        <v>1</v>
      </c>
      <c r="BZ17" s="74" t="s">
        <v>294</v>
      </c>
      <c r="CA17" s="64" t="s">
        <v>130</v>
      </c>
      <c r="CB17" s="75"/>
      <c r="CC17" s="75"/>
      <c r="CD17" s="57"/>
      <c r="CE17" s="58" t="s">
        <v>131</v>
      </c>
      <c r="CF17" s="1"/>
      <c r="CG17" s="59" t="s">
        <v>125</v>
      </c>
      <c r="CH17" s="12">
        <v>1</v>
      </c>
      <c r="CI17" s="59" t="s">
        <v>295</v>
      </c>
      <c r="CJ17" s="64" t="s">
        <v>130</v>
      </c>
      <c r="CK17" s="118"/>
      <c r="CL17" s="65"/>
      <c r="CM17" s="57"/>
      <c r="CN17" s="58" t="s">
        <v>131</v>
      </c>
      <c r="CX17" s="92" t="s">
        <v>296</v>
      </c>
      <c r="CY17" s="93" t="s">
        <v>297</v>
      </c>
      <c r="CZ17" s="94">
        <v>1</v>
      </c>
      <c r="DA17" s="95" t="s">
        <v>272</v>
      </c>
      <c r="DB17" s="81">
        <v>5</v>
      </c>
      <c r="DC17" s="105">
        <v>1</v>
      </c>
      <c r="DD17" s="105">
        <v>1</v>
      </c>
      <c r="DE17" s="96">
        <v>1</v>
      </c>
      <c r="DF17" s="84">
        <f t="shared" si="12"/>
        <v>8</v>
      </c>
      <c r="DG17" s="85"/>
      <c r="DH17" s="86">
        <f t="shared" si="18"/>
        <v>6</v>
      </c>
      <c r="DI17" s="105">
        <v>1</v>
      </c>
      <c r="DJ17" s="105">
        <v>1</v>
      </c>
      <c r="DK17" s="97">
        <v>1</v>
      </c>
      <c r="DL17" s="98">
        <f t="shared" si="13"/>
        <v>9</v>
      </c>
      <c r="DM17" s="98"/>
      <c r="DN17" s="86">
        <f t="shared" si="19"/>
        <v>6.5</v>
      </c>
      <c r="DO17" s="99">
        <v>1.5</v>
      </c>
      <c r="DP17" s="105">
        <v>1</v>
      </c>
      <c r="DQ17" s="87">
        <v>1.5</v>
      </c>
      <c r="DR17" s="98">
        <f t="shared" si="14"/>
        <v>10.5</v>
      </c>
      <c r="DS17" s="86">
        <f t="shared" si="24"/>
        <v>8.5</v>
      </c>
      <c r="DT17" s="99">
        <v>2</v>
      </c>
      <c r="DU17" s="105">
        <v>1</v>
      </c>
      <c r="DV17" s="87">
        <v>2</v>
      </c>
      <c r="DW17" s="98">
        <f t="shared" si="16"/>
        <v>13.5</v>
      </c>
      <c r="EB17" s="42"/>
      <c r="EC17" s="43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4"/>
      <c r="ES17" s="287"/>
      <c r="ET17" s="288"/>
      <c r="EU17" s="288"/>
      <c r="EV17" s="288"/>
      <c r="EW17" s="288"/>
      <c r="EX17" s="288"/>
      <c r="EY17" s="288"/>
      <c r="EZ17" s="289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4"/>
      <c r="FU17" s="4"/>
      <c r="FV17" s="4"/>
      <c r="GD17" s="2"/>
      <c r="HB17" s="2" t="s">
        <v>298</v>
      </c>
      <c r="HC17" s="2">
        <v>1</v>
      </c>
      <c r="HD17" s="2">
        <f t="shared" si="7"/>
        <v>40</v>
      </c>
      <c r="HE17" s="2"/>
      <c r="HF17" s="4">
        <v>8</v>
      </c>
      <c r="HG17" s="4">
        <v>8</v>
      </c>
      <c r="HH17" s="4">
        <v>24</v>
      </c>
      <c r="HI17" s="4">
        <f t="shared" si="8"/>
        <v>40</v>
      </c>
      <c r="IC17" s="27" t="s">
        <v>109</v>
      </c>
      <c r="ID17" s="28" t="s">
        <v>110</v>
      </c>
      <c r="IE17" s="28" t="s">
        <v>23</v>
      </c>
      <c r="IF17" s="28" t="s">
        <v>111</v>
      </c>
      <c r="IG17" s="28"/>
      <c r="IH17" s="46" t="s">
        <v>299</v>
      </c>
      <c r="II17" s="46" t="s">
        <v>66</v>
      </c>
      <c r="IJ17" s="46" t="s">
        <v>112</v>
      </c>
      <c r="IK17" s="46" t="s">
        <v>113</v>
      </c>
      <c r="IL17" s="29" t="s">
        <v>69</v>
      </c>
      <c r="JB17" s="2"/>
      <c r="JC17" s="2"/>
      <c r="JD17" s="2"/>
      <c r="JE17" s="2">
        <f>(((JB17*12)/2)*((JC17*12)/2))</f>
        <v>0</v>
      </c>
      <c r="JF17" s="2">
        <f>JD17*JE17</f>
        <v>0</v>
      </c>
      <c r="JG17" s="2"/>
      <c r="JH17" s="2"/>
      <c r="KZ17" s="17" t="s">
        <v>237</v>
      </c>
      <c r="LA17" s="18"/>
      <c r="LB17" s="18"/>
      <c r="LC17" s="72"/>
      <c r="LD17" s="72">
        <f t="shared" si="23"/>
        <v>0</v>
      </c>
      <c r="LE17" s="18"/>
      <c r="LF17" s="18"/>
      <c r="LG17" s="73" t="str">
        <f>IF(LA17="Yes","121","0")</f>
        <v>0</v>
      </c>
      <c r="LH17" s="19">
        <v>0.21</v>
      </c>
      <c r="LI17" s="19">
        <v>1.5</v>
      </c>
      <c r="LJ17" s="19">
        <v>3</v>
      </c>
      <c r="LK17" s="112" t="str">
        <f>IF(LA17="Yes","11","0")</f>
        <v>0</v>
      </c>
    </row>
    <row r="18" spans="1:323" ht="16.5" thickBot="1" x14ac:dyDescent="0.3">
      <c r="A18" s="290" t="s">
        <v>82</v>
      </c>
      <c r="B18" s="290"/>
      <c r="C18" s="290"/>
      <c r="D18" s="290"/>
      <c r="E18" s="290"/>
      <c r="F18" s="290"/>
      <c r="G18" s="290"/>
      <c r="H18" s="290"/>
      <c r="I18" s="290"/>
      <c r="J18" s="290"/>
      <c r="K18" s="290"/>
      <c r="L18" s="290"/>
      <c r="M18" s="290"/>
      <c r="N18" s="290"/>
      <c r="O18" s="290"/>
      <c r="P18" s="290"/>
      <c r="Q18" s="290"/>
      <c r="R18" s="290"/>
      <c r="S18" s="290"/>
      <c r="T18" s="290"/>
      <c r="Y18" s="74" t="s">
        <v>121</v>
      </c>
      <c r="Z18" s="12">
        <v>1</v>
      </c>
      <c r="AA18" s="74" t="s">
        <v>300</v>
      </c>
      <c r="AB18" s="12" t="s">
        <v>123</v>
      </c>
      <c r="AC18" s="116"/>
      <c r="AD18" s="75"/>
      <c r="AE18" s="57"/>
      <c r="AF18" s="58" t="s">
        <v>124</v>
      </c>
      <c r="AG18" s="1"/>
      <c r="AH18" s="59" t="s">
        <v>125</v>
      </c>
      <c r="AI18" s="12">
        <v>1</v>
      </c>
      <c r="AJ18" s="59" t="s">
        <v>301</v>
      </c>
      <c r="AK18" s="12" t="s">
        <v>123</v>
      </c>
      <c r="AL18" s="114"/>
      <c r="AM18" s="61"/>
      <c r="AN18" s="57"/>
      <c r="AO18" s="58" t="s">
        <v>127</v>
      </c>
      <c r="AX18" s="74" t="s">
        <v>121</v>
      </c>
      <c r="AY18" s="12">
        <v>1</v>
      </c>
      <c r="AZ18" s="74" t="s">
        <v>300</v>
      </c>
      <c r="BA18" s="12" t="s">
        <v>128</v>
      </c>
      <c r="BB18" s="75">
        <f>AY18*1085</f>
        <v>1085</v>
      </c>
      <c r="BC18" s="75"/>
      <c r="BD18" s="57">
        <v>45376</v>
      </c>
      <c r="BE18" s="59" t="s">
        <v>129</v>
      </c>
      <c r="BF18" s="1"/>
      <c r="BG18" s="59" t="s">
        <v>125</v>
      </c>
      <c r="BH18" s="12">
        <v>1</v>
      </c>
      <c r="BI18" s="59" t="s">
        <v>301</v>
      </c>
      <c r="BJ18" s="64" t="s">
        <v>128</v>
      </c>
      <c r="BK18" s="118"/>
      <c r="BL18" s="65"/>
      <c r="BM18" s="57"/>
      <c r="BN18" s="66" t="s">
        <v>129</v>
      </c>
      <c r="BX18" s="74" t="s">
        <v>121</v>
      </c>
      <c r="BY18" s="12">
        <v>1</v>
      </c>
      <c r="BZ18" s="74" t="s">
        <v>300</v>
      </c>
      <c r="CA18" s="64" t="s">
        <v>130</v>
      </c>
      <c r="CB18" s="75">
        <v>2125</v>
      </c>
      <c r="CC18" s="75"/>
      <c r="CD18" s="57"/>
      <c r="CE18" s="58" t="s">
        <v>131</v>
      </c>
      <c r="CF18" s="1"/>
      <c r="CG18" s="59" t="s">
        <v>125</v>
      </c>
      <c r="CH18" s="12">
        <v>1</v>
      </c>
      <c r="CI18" s="59" t="s">
        <v>301</v>
      </c>
      <c r="CJ18" s="64" t="s">
        <v>130</v>
      </c>
      <c r="CK18" s="118">
        <f>CH18*2615</f>
        <v>2615</v>
      </c>
      <c r="CL18" s="65"/>
      <c r="CM18" s="57">
        <v>45376</v>
      </c>
      <c r="CN18" s="58" t="s">
        <v>131</v>
      </c>
      <c r="CX18" s="92" t="s">
        <v>302</v>
      </c>
      <c r="CY18" s="93" t="s">
        <v>303</v>
      </c>
      <c r="CZ18" s="94">
        <v>1</v>
      </c>
      <c r="DA18" s="95" t="s">
        <v>272</v>
      </c>
      <c r="DB18" s="81">
        <v>5</v>
      </c>
      <c r="DC18" s="105">
        <v>1</v>
      </c>
      <c r="DD18" s="105">
        <v>1</v>
      </c>
      <c r="DE18" s="96">
        <v>1</v>
      </c>
      <c r="DF18" s="84">
        <f t="shared" si="12"/>
        <v>8</v>
      </c>
      <c r="DG18" s="85"/>
      <c r="DH18" s="86">
        <f t="shared" si="18"/>
        <v>6</v>
      </c>
      <c r="DI18" s="105">
        <v>1</v>
      </c>
      <c r="DJ18" s="105">
        <v>1</v>
      </c>
      <c r="DK18" s="97">
        <v>1</v>
      </c>
      <c r="DL18" s="98">
        <f t="shared" si="13"/>
        <v>9</v>
      </c>
      <c r="DM18" s="98"/>
      <c r="DN18" s="86">
        <f t="shared" si="19"/>
        <v>6.5</v>
      </c>
      <c r="DO18" s="99">
        <v>1.5</v>
      </c>
      <c r="DP18" s="105">
        <v>1</v>
      </c>
      <c r="DQ18" s="87">
        <v>1.5</v>
      </c>
      <c r="DR18" s="98">
        <f t="shared" si="14"/>
        <v>10.5</v>
      </c>
      <c r="DS18" s="86">
        <f t="shared" si="24"/>
        <v>8.5</v>
      </c>
      <c r="DT18" s="99">
        <v>2</v>
      </c>
      <c r="DU18" s="105">
        <v>1</v>
      </c>
      <c r="DV18" s="87">
        <v>2</v>
      </c>
      <c r="DW18" s="98">
        <f t="shared" si="16"/>
        <v>13.5</v>
      </c>
      <c r="EB18" s="2"/>
      <c r="EC18" s="291" t="s">
        <v>304</v>
      </c>
      <c r="ED18" s="292"/>
      <c r="EE18" s="292"/>
      <c r="EF18" s="293"/>
      <c r="EG18" s="294" t="s">
        <v>305</v>
      </c>
      <c r="EH18" s="295"/>
      <c r="EI18" s="295"/>
      <c r="EJ18" s="296"/>
      <c r="EK18" s="297" t="s">
        <v>306</v>
      </c>
      <c r="EL18" s="298"/>
      <c r="EM18" s="299"/>
      <c r="EN18" s="297" t="s">
        <v>307</v>
      </c>
      <c r="EO18" s="298"/>
      <c r="EP18" s="299"/>
      <c r="FG18" s="2"/>
      <c r="FH18" s="2"/>
      <c r="FI18" s="2"/>
      <c r="FJ18" s="2"/>
      <c r="FK18" s="2"/>
      <c r="FL18" s="2"/>
      <c r="FM18" s="2"/>
      <c r="FN18" s="122" t="s">
        <v>308</v>
      </c>
      <c r="FO18" s="123">
        <f>SUM(FO3:FO16)</f>
        <v>327.5</v>
      </c>
      <c r="FP18" s="2"/>
      <c r="FQ18" s="2"/>
      <c r="FR18" s="2"/>
      <c r="FS18" s="2"/>
      <c r="FT18" s="4"/>
      <c r="FU18" s="4"/>
      <c r="FV18" s="4"/>
      <c r="GD18" s="2"/>
      <c r="IC18" s="17"/>
      <c r="ID18" s="18"/>
      <c r="IE18" s="18"/>
      <c r="IF18" s="72">
        <f>IH18+II18+IJ18+IL18</f>
        <v>0</v>
      </c>
      <c r="IG18" s="18"/>
      <c r="IH18" s="73">
        <f>ID18/10</f>
        <v>0</v>
      </c>
      <c r="II18" s="73">
        <f>ID18/10</f>
        <v>0</v>
      </c>
      <c r="IJ18" s="73">
        <f>ID18/2</f>
        <v>0</v>
      </c>
      <c r="IK18" s="73" t="str">
        <f>IF(IC18&lt;=9,"1","1.5")</f>
        <v>1</v>
      </c>
      <c r="IL18" s="20">
        <f>IE18*IK18</f>
        <v>0</v>
      </c>
      <c r="JB18" s="2"/>
      <c r="JC18" s="2"/>
      <c r="JD18" s="2"/>
      <c r="JE18" s="2"/>
      <c r="JF18" s="2"/>
      <c r="JG18" s="2"/>
      <c r="JH18" s="2"/>
      <c r="KZ18" s="17" t="s">
        <v>248</v>
      </c>
      <c r="LA18" s="18"/>
      <c r="LB18" s="18"/>
      <c r="LC18" s="72"/>
      <c r="LD18" s="72">
        <f t="shared" si="23"/>
        <v>0</v>
      </c>
      <c r="LE18" s="18"/>
      <c r="LF18" s="18"/>
      <c r="LG18" s="73" t="str">
        <f>IF(LA18="Yes","144","0")</f>
        <v>0</v>
      </c>
      <c r="LH18" s="19">
        <v>0.19</v>
      </c>
      <c r="LI18" s="19">
        <v>1.5</v>
      </c>
      <c r="LJ18" s="19">
        <v>3</v>
      </c>
      <c r="LK18" s="112" t="str">
        <f>IF(LA18="Yes","12","0")</f>
        <v>0</v>
      </c>
    </row>
    <row r="19" spans="1:323" ht="15.75" x14ac:dyDescent="0.25">
      <c r="A19" s="290"/>
      <c r="B19" s="290"/>
      <c r="C19" s="290"/>
      <c r="D19" s="290"/>
      <c r="E19" s="290"/>
      <c r="F19" s="290"/>
      <c r="G19" s="290"/>
      <c r="H19" s="290"/>
      <c r="I19" s="290"/>
      <c r="J19" s="290"/>
      <c r="K19" s="290"/>
      <c r="L19" s="290"/>
      <c r="M19" s="290"/>
      <c r="N19" s="290"/>
      <c r="O19" s="290"/>
      <c r="P19" s="290"/>
      <c r="Q19" s="290"/>
      <c r="R19" s="290"/>
      <c r="S19" s="290"/>
      <c r="T19" s="290"/>
      <c r="Y19" s="74" t="s">
        <v>121</v>
      </c>
      <c r="Z19" s="12">
        <v>1</v>
      </c>
      <c r="AA19" s="74" t="s">
        <v>309</v>
      </c>
      <c r="AB19" s="12" t="s">
        <v>123</v>
      </c>
      <c r="AC19" s="75"/>
      <c r="AD19" s="117"/>
      <c r="AE19" s="57"/>
      <c r="AF19" s="58" t="s">
        <v>182</v>
      </c>
      <c r="AG19" s="1"/>
      <c r="AH19" s="74" t="s">
        <v>125</v>
      </c>
      <c r="AI19" s="12">
        <v>1</v>
      </c>
      <c r="AJ19" s="74" t="s">
        <v>310</v>
      </c>
      <c r="AK19" s="12" t="s">
        <v>123</v>
      </c>
      <c r="AL19" s="118"/>
      <c r="AM19" s="76"/>
      <c r="AN19" s="57"/>
      <c r="AO19" s="58" t="s">
        <v>182</v>
      </c>
      <c r="AX19" s="74" t="s">
        <v>121</v>
      </c>
      <c r="AY19" s="12">
        <v>1</v>
      </c>
      <c r="AZ19" s="74" t="s">
        <v>309</v>
      </c>
      <c r="BA19" s="12" t="s">
        <v>128</v>
      </c>
      <c r="BB19" s="75"/>
      <c r="BC19" s="117"/>
      <c r="BD19" s="57"/>
      <c r="BE19" s="59"/>
      <c r="BF19" s="1"/>
      <c r="BG19" s="74" t="s">
        <v>125</v>
      </c>
      <c r="BH19" s="12">
        <v>1</v>
      </c>
      <c r="BI19" s="74" t="s">
        <v>310</v>
      </c>
      <c r="BJ19" s="12" t="s">
        <v>128</v>
      </c>
      <c r="BK19" s="118"/>
      <c r="BL19" s="76"/>
      <c r="BM19" s="57"/>
      <c r="BN19" s="59"/>
      <c r="BX19" s="74" t="s">
        <v>121</v>
      </c>
      <c r="BY19" s="12">
        <v>1</v>
      </c>
      <c r="BZ19" s="74" t="s">
        <v>309</v>
      </c>
      <c r="CA19" s="12" t="s">
        <v>130</v>
      </c>
      <c r="CB19" s="75"/>
      <c r="CC19" s="117"/>
      <c r="CD19" s="57"/>
      <c r="CE19" s="58" t="s">
        <v>131</v>
      </c>
      <c r="CF19" s="1"/>
      <c r="CG19" s="74" t="s">
        <v>125</v>
      </c>
      <c r="CH19" s="12">
        <v>1</v>
      </c>
      <c r="CI19" s="74" t="s">
        <v>310</v>
      </c>
      <c r="CJ19" s="12" t="s">
        <v>130</v>
      </c>
      <c r="CK19" s="118"/>
      <c r="CL19" s="76"/>
      <c r="CM19" s="57"/>
      <c r="CN19" s="58" t="s">
        <v>131</v>
      </c>
      <c r="CX19" s="92" t="s">
        <v>311</v>
      </c>
      <c r="CY19" s="93" t="s">
        <v>312</v>
      </c>
      <c r="CZ19" s="94">
        <v>1</v>
      </c>
      <c r="DA19" s="95" t="s">
        <v>272</v>
      </c>
      <c r="DB19" s="81">
        <v>5</v>
      </c>
      <c r="DC19" s="105">
        <v>1</v>
      </c>
      <c r="DD19" s="105">
        <v>1</v>
      </c>
      <c r="DE19" s="96">
        <v>1</v>
      </c>
      <c r="DF19" s="84">
        <f t="shared" si="12"/>
        <v>8</v>
      </c>
      <c r="DG19" s="85"/>
      <c r="DH19" s="86">
        <f t="shared" si="18"/>
        <v>6</v>
      </c>
      <c r="DI19" s="105">
        <v>1</v>
      </c>
      <c r="DJ19" s="105">
        <v>1</v>
      </c>
      <c r="DK19" s="97">
        <v>1</v>
      </c>
      <c r="DL19" s="98">
        <f t="shared" si="13"/>
        <v>9</v>
      </c>
      <c r="DM19" s="98"/>
      <c r="DN19" s="86">
        <f t="shared" si="19"/>
        <v>6.5</v>
      </c>
      <c r="DO19" s="99">
        <v>1.5</v>
      </c>
      <c r="DP19" s="105">
        <v>1</v>
      </c>
      <c r="DQ19" s="87">
        <v>1.5</v>
      </c>
      <c r="DR19" s="98">
        <f t="shared" si="14"/>
        <v>10.5</v>
      </c>
      <c r="DS19" s="86">
        <f t="shared" si="24"/>
        <v>8.5</v>
      </c>
      <c r="DT19" s="99">
        <v>2</v>
      </c>
      <c r="DU19" s="105">
        <v>1</v>
      </c>
      <c r="DV19" s="87">
        <v>2</v>
      </c>
      <c r="DW19" s="98">
        <f t="shared" si="16"/>
        <v>13.5</v>
      </c>
      <c r="EB19" s="2"/>
      <c r="EC19" s="17" t="s">
        <v>313</v>
      </c>
      <c r="ED19" s="18" t="s">
        <v>314</v>
      </c>
      <c r="EE19" s="18" t="s">
        <v>315</v>
      </c>
      <c r="EF19" s="124" t="s">
        <v>316</v>
      </c>
      <c r="EG19" s="17" t="s">
        <v>313</v>
      </c>
      <c r="EH19" s="18" t="s">
        <v>314</v>
      </c>
      <c r="EI19" s="18" t="s">
        <v>315</v>
      </c>
      <c r="EJ19" s="124" t="s">
        <v>316</v>
      </c>
      <c r="EK19" s="17" t="s">
        <v>315</v>
      </c>
      <c r="EL19" s="18" t="s">
        <v>316</v>
      </c>
      <c r="EM19" s="124" t="s">
        <v>92</v>
      </c>
      <c r="EN19" s="17" t="s">
        <v>313</v>
      </c>
      <c r="EO19" s="18" t="s">
        <v>314</v>
      </c>
      <c r="EP19" s="124" t="s">
        <v>317</v>
      </c>
      <c r="ES19" s="266" t="s">
        <v>318</v>
      </c>
      <c r="ET19" s="267"/>
      <c r="EU19" s="267"/>
      <c r="EV19" s="267"/>
      <c r="EW19" s="267"/>
      <c r="EX19" s="267"/>
      <c r="EY19" s="268"/>
      <c r="IC19" s="17"/>
      <c r="ID19" s="18"/>
      <c r="IE19" s="18"/>
      <c r="IF19" s="18"/>
      <c r="IG19" s="18"/>
      <c r="IH19" s="18"/>
      <c r="II19" s="18"/>
      <c r="IJ19" s="18"/>
      <c r="IK19" s="121"/>
      <c r="IL19" s="25"/>
      <c r="JB19" s="2"/>
      <c r="JC19" s="2"/>
      <c r="JD19" s="2"/>
      <c r="JE19" s="2"/>
      <c r="JF19" s="2"/>
      <c r="JG19" s="2"/>
      <c r="JH19" s="2"/>
      <c r="KZ19" s="17" t="s">
        <v>256</v>
      </c>
      <c r="LA19" s="18"/>
      <c r="LB19" s="18"/>
      <c r="LC19" s="72"/>
      <c r="LD19" s="72">
        <f t="shared" si="23"/>
        <v>0</v>
      </c>
      <c r="LE19" s="18"/>
      <c r="LF19" s="18"/>
      <c r="LG19" s="73" t="str">
        <f>IF(LA19="Yes","169","0")</f>
        <v>0</v>
      </c>
      <c r="LH19" s="19">
        <v>0.17</v>
      </c>
      <c r="LI19" s="19">
        <v>1.5</v>
      </c>
      <c r="LJ19" s="19">
        <v>3</v>
      </c>
      <c r="LK19" s="112" t="str">
        <f>IF(LA19="Yes","13","0")</f>
        <v>0</v>
      </c>
    </row>
    <row r="20" spans="1:323" ht="16.5" thickBot="1" x14ac:dyDescent="0.3">
      <c r="A20" s="290"/>
      <c r="B20" s="290"/>
      <c r="C20" s="290"/>
      <c r="D20" s="290"/>
      <c r="E20" s="290"/>
      <c r="F20" s="290"/>
      <c r="G20" s="290"/>
      <c r="H20" s="290"/>
      <c r="I20" s="290"/>
      <c r="J20" s="290"/>
      <c r="K20" s="290"/>
      <c r="L20" s="290"/>
      <c r="M20" s="290"/>
      <c r="N20" s="290"/>
      <c r="O20" s="290"/>
      <c r="P20" s="290"/>
      <c r="Q20" s="290"/>
      <c r="R20" s="290"/>
      <c r="S20" s="290"/>
      <c r="T20" s="290"/>
      <c r="CX20" s="92" t="s">
        <v>319</v>
      </c>
      <c r="CY20" s="93" t="s">
        <v>320</v>
      </c>
      <c r="CZ20" s="94">
        <v>1</v>
      </c>
      <c r="DA20" s="95" t="s">
        <v>272</v>
      </c>
      <c r="DB20" s="81">
        <v>5</v>
      </c>
      <c r="DC20" s="105">
        <v>1</v>
      </c>
      <c r="DD20" s="105">
        <v>1.5</v>
      </c>
      <c r="DE20" s="96">
        <v>1</v>
      </c>
      <c r="DF20" s="84">
        <f t="shared" si="12"/>
        <v>8.5</v>
      </c>
      <c r="DG20" s="85"/>
      <c r="DH20" s="86">
        <f t="shared" si="18"/>
        <v>6</v>
      </c>
      <c r="DI20" s="105">
        <v>1</v>
      </c>
      <c r="DJ20" s="105">
        <v>1.5</v>
      </c>
      <c r="DK20" s="97">
        <v>1</v>
      </c>
      <c r="DL20" s="98">
        <f t="shared" si="13"/>
        <v>9.5</v>
      </c>
      <c r="DM20" s="98"/>
      <c r="DN20" s="86">
        <f t="shared" si="19"/>
        <v>6.5</v>
      </c>
      <c r="DO20" s="99">
        <v>1.5</v>
      </c>
      <c r="DP20" s="105">
        <v>1.5</v>
      </c>
      <c r="DQ20" s="87">
        <v>1.5</v>
      </c>
      <c r="DR20" s="98">
        <f t="shared" si="14"/>
        <v>11</v>
      </c>
      <c r="DS20" s="86">
        <f t="shared" si="24"/>
        <v>8.5</v>
      </c>
      <c r="DT20" s="99">
        <v>2</v>
      </c>
      <c r="DU20" s="105">
        <v>1.5</v>
      </c>
      <c r="DV20" s="87">
        <v>2</v>
      </c>
      <c r="DW20" s="98">
        <f t="shared" si="16"/>
        <v>14</v>
      </c>
      <c r="EB20" s="2" t="s">
        <v>43</v>
      </c>
      <c r="EC20" s="17">
        <v>4</v>
      </c>
      <c r="ED20" s="18">
        <v>5</v>
      </c>
      <c r="EE20" s="18">
        <v>6</v>
      </c>
      <c r="EF20" s="124">
        <v>7</v>
      </c>
      <c r="EG20" s="17">
        <v>5</v>
      </c>
      <c r="EH20" s="18">
        <v>6</v>
      </c>
      <c r="EI20" s="18">
        <v>7</v>
      </c>
      <c r="EJ20" s="124">
        <v>8</v>
      </c>
      <c r="EK20" s="17">
        <v>3</v>
      </c>
      <c r="EL20" s="18">
        <v>3</v>
      </c>
      <c r="EM20" s="124">
        <v>3</v>
      </c>
      <c r="EN20" s="17">
        <v>6</v>
      </c>
      <c r="EO20" s="18">
        <v>9</v>
      </c>
      <c r="EP20" s="124">
        <v>11</v>
      </c>
      <c r="ES20" s="284"/>
      <c r="ET20" s="285"/>
      <c r="EU20" s="285"/>
      <c r="EV20" s="285"/>
      <c r="EW20" s="285"/>
      <c r="EX20" s="285"/>
      <c r="EY20" s="286"/>
      <c r="IC20" s="17"/>
      <c r="ID20" s="18"/>
      <c r="IE20" s="18"/>
      <c r="IF20" s="18"/>
      <c r="IG20" s="18"/>
      <c r="IH20" s="18"/>
      <c r="II20" s="18"/>
      <c r="IJ20" s="18"/>
      <c r="IK20" s="121"/>
      <c r="IL20" s="25"/>
      <c r="JB20" s="3" t="s">
        <v>321</v>
      </c>
      <c r="JC20" s="2"/>
      <c r="JD20" s="2"/>
      <c r="JE20" s="2"/>
      <c r="JF20" s="2"/>
      <c r="JG20" s="2"/>
      <c r="JH20" s="2"/>
      <c r="KZ20" s="48" t="s">
        <v>265</v>
      </c>
      <c r="LA20" s="49" t="s">
        <v>94</v>
      </c>
      <c r="LB20" s="49"/>
      <c r="LC20" s="50"/>
      <c r="LD20" s="50">
        <f t="shared" si="23"/>
        <v>43.4</v>
      </c>
      <c r="LE20" s="49"/>
      <c r="LF20" s="49"/>
      <c r="LG20" s="125" t="str">
        <f>IF(LA20="Yes","196","0")</f>
        <v>196</v>
      </c>
      <c r="LH20" s="126">
        <v>0.15</v>
      </c>
      <c r="LI20" s="126">
        <v>1.5</v>
      </c>
      <c r="LJ20" s="126">
        <v>3</v>
      </c>
      <c r="LK20" s="127" t="str">
        <f>IF(LA20="Yes","14","0")</f>
        <v>14</v>
      </c>
    </row>
    <row r="21" spans="1:323" ht="64.5" x14ac:dyDescent="0.55000000000000004">
      <c r="A21" s="290"/>
      <c r="B21" s="290"/>
      <c r="C21" s="290"/>
      <c r="D21" s="290"/>
      <c r="E21" s="290"/>
      <c r="F21" s="290"/>
      <c r="G21" s="290"/>
      <c r="H21" s="290"/>
      <c r="I21" s="290"/>
      <c r="J21" s="290"/>
      <c r="K21" s="290"/>
      <c r="L21" s="290"/>
      <c r="M21" s="290"/>
      <c r="N21" s="290"/>
      <c r="O21" s="290"/>
      <c r="P21" s="290"/>
      <c r="Q21" s="290"/>
      <c r="R21" s="290"/>
      <c r="S21" s="290"/>
      <c r="T21" s="290"/>
      <c r="Y21" s="269" t="s">
        <v>322</v>
      </c>
      <c r="Z21" s="269"/>
      <c r="AA21" s="269"/>
      <c r="AB21" s="269"/>
      <c r="AC21" s="269"/>
      <c r="AD21" s="269"/>
      <c r="AE21" s="269"/>
      <c r="AF21" s="269"/>
      <c r="AH21" s="269" t="s">
        <v>322</v>
      </c>
      <c r="AI21" s="269"/>
      <c r="AJ21" s="269"/>
      <c r="AK21" s="269"/>
      <c r="AL21" s="269"/>
      <c r="AM21" s="269"/>
      <c r="AN21" s="269"/>
      <c r="AO21" s="269"/>
      <c r="AX21" s="269" t="s">
        <v>322</v>
      </c>
      <c r="AY21" s="269"/>
      <c r="AZ21" s="269"/>
      <c r="BA21" s="269"/>
      <c r="BB21" s="269"/>
      <c r="BC21" s="269"/>
      <c r="BD21" s="269"/>
      <c r="BE21" s="269"/>
      <c r="BG21" s="269" t="s">
        <v>322</v>
      </c>
      <c r="BH21" s="269"/>
      <c r="BI21" s="269"/>
      <c r="BJ21" s="269"/>
      <c r="BK21" s="269"/>
      <c r="BL21" s="269"/>
      <c r="BM21" s="269"/>
      <c r="BN21" s="269"/>
      <c r="BX21" s="269" t="s">
        <v>322</v>
      </c>
      <c r="BY21" s="269"/>
      <c r="BZ21" s="269"/>
      <c r="CA21" s="269"/>
      <c r="CB21" s="269"/>
      <c r="CC21" s="269"/>
      <c r="CD21" s="269"/>
      <c r="CE21" s="269"/>
      <c r="CG21" s="269" t="s">
        <v>322</v>
      </c>
      <c r="CH21" s="269"/>
      <c r="CI21" s="269"/>
      <c r="CJ21" s="269"/>
      <c r="CK21" s="269"/>
      <c r="CL21" s="269"/>
      <c r="CM21" s="269"/>
      <c r="CN21" s="269"/>
      <c r="CX21" s="92" t="s">
        <v>323</v>
      </c>
      <c r="CY21" s="93" t="s">
        <v>324</v>
      </c>
      <c r="CZ21" s="128">
        <v>2</v>
      </c>
      <c r="DA21" s="95"/>
      <c r="DB21" s="81">
        <f>DB8+DB9</f>
        <v>6</v>
      </c>
      <c r="DC21" s="105">
        <v>1</v>
      </c>
      <c r="DD21" s="105">
        <v>1.5</v>
      </c>
      <c r="DE21" s="96">
        <v>1</v>
      </c>
      <c r="DF21" s="84">
        <f t="shared" si="12"/>
        <v>9.5</v>
      </c>
      <c r="DG21" s="85"/>
      <c r="DH21" s="86">
        <f t="shared" si="18"/>
        <v>8</v>
      </c>
      <c r="DI21" s="105">
        <v>1</v>
      </c>
      <c r="DJ21" s="105">
        <v>1.5</v>
      </c>
      <c r="DK21" s="97">
        <v>1</v>
      </c>
      <c r="DL21" s="98">
        <f t="shared" si="13"/>
        <v>11.5</v>
      </c>
      <c r="DM21" s="98"/>
      <c r="DN21" s="86">
        <f t="shared" si="19"/>
        <v>9</v>
      </c>
      <c r="DO21" s="99">
        <v>1.5</v>
      </c>
      <c r="DP21" s="105">
        <v>1.5</v>
      </c>
      <c r="DQ21" s="87">
        <v>1.5</v>
      </c>
      <c r="DR21" s="98">
        <f t="shared" si="14"/>
        <v>13.5</v>
      </c>
      <c r="DS21" s="86">
        <f t="shared" si="15"/>
        <v>10</v>
      </c>
      <c r="DT21" s="99">
        <v>2</v>
      </c>
      <c r="DU21" s="105">
        <v>1.5</v>
      </c>
      <c r="DV21" s="87">
        <v>2</v>
      </c>
      <c r="DW21" s="98">
        <f t="shared" si="16"/>
        <v>15.5</v>
      </c>
      <c r="EB21" s="2" t="s">
        <v>91</v>
      </c>
      <c r="EC21" s="17">
        <v>4</v>
      </c>
      <c r="ED21" s="18">
        <v>5</v>
      </c>
      <c r="EE21" s="18">
        <v>6</v>
      </c>
      <c r="EF21" s="124">
        <v>7</v>
      </c>
      <c r="EG21" s="17">
        <v>5</v>
      </c>
      <c r="EH21" s="18">
        <v>6</v>
      </c>
      <c r="EI21" s="18">
        <v>7</v>
      </c>
      <c r="EJ21" s="124">
        <v>8</v>
      </c>
      <c r="EK21" s="17">
        <v>3</v>
      </c>
      <c r="EL21" s="18">
        <v>3</v>
      </c>
      <c r="EM21" s="124">
        <v>3</v>
      </c>
      <c r="EN21" s="17">
        <v>6</v>
      </c>
      <c r="EO21" s="18">
        <v>9</v>
      </c>
      <c r="EP21" s="124">
        <v>11</v>
      </c>
      <c r="ES21" s="106" t="s">
        <v>5</v>
      </c>
      <c r="ET21" s="107" t="s">
        <v>325</v>
      </c>
      <c r="EU21" s="107" t="s">
        <v>326</v>
      </c>
      <c r="EV21" s="107" t="s">
        <v>327</v>
      </c>
      <c r="EW21" s="107"/>
      <c r="EX21" s="109" t="s">
        <v>328</v>
      </c>
      <c r="EY21" s="110" t="s">
        <v>329</v>
      </c>
      <c r="FG21" s="262" t="s">
        <v>314</v>
      </c>
      <c r="FH21" s="262"/>
      <c r="FI21" s="262"/>
      <c r="FJ21" s="262"/>
      <c r="FK21" s="262"/>
      <c r="FL21" s="262"/>
      <c r="FM21" s="262"/>
      <c r="FN21" s="262"/>
      <c r="FO21" s="262"/>
      <c r="FP21" s="262"/>
      <c r="FQ21" s="262"/>
      <c r="FR21" s="262"/>
      <c r="FS21" s="262"/>
      <c r="FT21" s="262"/>
      <c r="FU21" s="262"/>
      <c r="FV21" s="262"/>
      <c r="FW21" s="262"/>
      <c r="FX21" s="262"/>
      <c r="FY21" s="262"/>
      <c r="FZ21" s="262"/>
      <c r="GA21" s="262"/>
      <c r="GB21" s="262"/>
      <c r="GC21" s="262"/>
      <c r="GD21" s="262"/>
      <c r="IC21" s="17"/>
      <c r="ID21" s="18"/>
      <c r="IE21" s="18"/>
      <c r="IF21" s="18"/>
      <c r="IG21" s="18"/>
      <c r="IH21" s="18"/>
      <c r="II21" s="18"/>
      <c r="IJ21" s="18"/>
      <c r="IK21" s="121"/>
      <c r="IL21" s="25"/>
      <c r="JB21" s="9" t="s">
        <v>290</v>
      </c>
      <c r="JC21" s="9" t="s">
        <v>291</v>
      </c>
      <c r="JD21" s="9" t="s">
        <v>63</v>
      </c>
      <c r="JE21" s="9" t="s">
        <v>292</v>
      </c>
      <c r="JF21" s="9" t="s">
        <v>293</v>
      </c>
      <c r="JG21" s="2"/>
      <c r="JH21" s="2"/>
    </row>
    <row r="22" spans="1:323" ht="30.75" thickBot="1" x14ac:dyDescent="0.3">
      <c r="A22" s="290"/>
      <c r="B22" s="290"/>
      <c r="C22" s="290"/>
      <c r="D22" s="290"/>
      <c r="E22" s="290"/>
      <c r="F22" s="290"/>
      <c r="G22" s="290"/>
      <c r="H22" s="290"/>
      <c r="I22" s="290"/>
      <c r="J22" s="290"/>
      <c r="K22" s="290"/>
      <c r="L22" s="290"/>
      <c r="M22" s="290"/>
      <c r="N22" s="290"/>
      <c r="O22" s="290"/>
      <c r="P22" s="290"/>
      <c r="Q22" s="290"/>
      <c r="R22" s="290"/>
      <c r="S22" s="290"/>
      <c r="T22" s="290"/>
      <c r="Y22" s="35" t="s">
        <v>34</v>
      </c>
      <c r="Z22" s="36" t="s">
        <v>35</v>
      </c>
      <c r="AA22" s="36" t="s">
        <v>36</v>
      </c>
      <c r="AB22" s="36" t="s">
        <v>37</v>
      </c>
      <c r="AC22" s="37" t="s">
        <v>38</v>
      </c>
      <c r="AD22" s="38" t="s">
        <v>39</v>
      </c>
      <c r="AE22" s="31" t="s">
        <v>80</v>
      </c>
      <c r="AF22" s="34" t="s">
        <v>81</v>
      </c>
      <c r="AH22" s="35" t="s">
        <v>34</v>
      </c>
      <c r="AI22" s="36" t="s">
        <v>35</v>
      </c>
      <c r="AJ22" s="36" t="s">
        <v>36</v>
      </c>
      <c r="AK22" s="36" t="s">
        <v>37</v>
      </c>
      <c r="AL22" s="37" t="s">
        <v>38</v>
      </c>
      <c r="AM22" s="38" t="s">
        <v>39</v>
      </c>
      <c r="AN22" s="31" t="s">
        <v>80</v>
      </c>
      <c r="AO22" s="34" t="s">
        <v>81</v>
      </c>
      <c r="AX22" s="35" t="s">
        <v>34</v>
      </c>
      <c r="AY22" s="36" t="s">
        <v>35</v>
      </c>
      <c r="AZ22" s="36" t="s">
        <v>36</v>
      </c>
      <c r="BA22" s="36" t="s">
        <v>37</v>
      </c>
      <c r="BB22" s="37" t="s">
        <v>38</v>
      </c>
      <c r="BC22" s="38" t="s">
        <v>39</v>
      </c>
      <c r="BD22" s="31" t="s">
        <v>80</v>
      </c>
      <c r="BE22" s="34" t="s">
        <v>81</v>
      </c>
      <c r="BG22" s="35" t="s">
        <v>34</v>
      </c>
      <c r="BH22" s="36" t="s">
        <v>35</v>
      </c>
      <c r="BI22" s="36" t="s">
        <v>36</v>
      </c>
      <c r="BJ22" s="36" t="s">
        <v>37</v>
      </c>
      <c r="BK22" s="37" t="s">
        <v>38</v>
      </c>
      <c r="BL22" s="38" t="s">
        <v>39</v>
      </c>
      <c r="BM22" s="31" t="s">
        <v>80</v>
      </c>
      <c r="BN22" s="34" t="s">
        <v>81</v>
      </c>
      <c r="BX22" s="35" t="s">
        <v>34</v>
      </c>
      <c r="BY22" s="36" t="s">
        <v>35</v>
      </c>
      <c r="BZ22" s="36" t="s">
        <v>36</v>
      </c>
      <c r="CA22" s="36" t="s">
        <v>37</v>
      </c>
      <c r="CB22" s="37" t="s">
        <v>38</v>
      </c>
      <c r="CC22" s="38" t="s">
        <v>39</v>
      </c>
      <c r="CD22" s="39" t="s">
        <v>80</v>
      </c>
      <c r="CE22" s="34" t="s">
        <v>81</v>
      </c>
      <c r="CG22" s="35" t="s">
        <v>34</v>
      </c>
      <c r="CH22" s="36" t="s">
        <v>35</v>
      </c>
      <c r="CI22" s="36" t="s">
        <v>36</v>
      </c>
      <c r="CJ22" s="36" t="s">
        <v>37</v>
      </c>
      <c r="CK22" s="37" t="s">
        <v>38</v>
      </c>
      <c r="CL22" s="38" t="s">
        <v>39</v>
      </c>
      <c r="CM22" s="39" t="s">
        <v>80</v>
      </c>
      <c r="CN22" s="34" t="s">
        <v>81</v>
      </c>
      <c r="CX22" s="92" t="s">
        <v>330</v>
      </c>
      <c r="CY22" s="93" t="s">
        <v>331</v>
      </c>
      <c r="CZ22" s="128">
        <v>2</v>
      </c>
      <c r="DA22" s="95"/>
      <c r="DB22" s="81">
        <f>DB21</f>
        <v>6</v>
      </c>
      <c r="DC22" s="105">
        <v>1</v>
      </c>
      <c r="DD22" s="105">
        <v>1.5</v>
      </c>
      <c r="DE22" s="96">
        <v>1</v>
      </c>
      <c r="DF22" s="84">
        <f t="shared" si="12"/>
        <v>9.5</v>
      </c>
      <c r="DG22" s="85"/>
      <c r="DH22" s="86">
        <f t="shared" si="18"/>
        <v>8</v>
      </c>
      <c r="DI22" s="105">
        <v>1</v>
      </c>
      <c r="DJ22" s="105">
        <v>1.5</v>
      </c>
      <c r="DK22" s="97">
        <v>1</v>
      </c>
      <c r="DL22" s="98">
        <f t="shared" si="13"/>
        <v>11.5</v>
      </c>
      <c r="DM22" s="98"/>
      <c r="DN22" s="86">
        <f t="shared" si="19"/>
        <v>9</v>
      </c>
      <c r="DO22" s="99">
        <v>1.5</v>
      </c>
      <c r="DP22" s="105">
        <v>1.5</v>
      </c>
      <c r="DQ22" s="87">
        <v>1.5</v>
      </c>
      <c r="DR22" s="98">
        <f t="shared" si="14"/>
        <v>13.5</v>
      </c>
      <c r="DS22" s="86">
        <f t="shared" si="15"/>
        <v>10</v>
      </c>
      <c r="DT22" s="99">
        <v>2</v>
      </c>
      <c r="DU22" s="105">
        <v>1.5</v>
      </c>
      <c r="DV22" s="87">
        <v>2</v>
      </c>
      <c r="DW22" s="98">
        <f t="shared" si="16"/>
        <v>15.5</v>
      </c>
      <c r="EB22" s="2" t="s">
        <v>114</v>
      </c>
      <c r="EC22" s="17">
        <v>4</v>
      </c>
      <c r="ED22" s="18">
        <v>5</v>
      </c>
      <c r="EE22" s="18">
        <v>6</v>
      </c>
      <c r="EF22" s="124">
        <v>6</v>
      </c>
      <c r="EG22" s="17">
        <v>5</v>
      </c>
      <c r="EH22" s="18">
        <v>6</v>
      </c>
      <c r="EI22" s="18">
        <v>7</v>
      </c>
      <c r="EJ22" s="124">
        <v>8</v>
      </c>
      <c r="EK22" s="17">
        <v>3</v>
      </c>
      <c r="EL22" s="18">
        <v>3</v>
      </c>
      <c r="EM22" s="124">
        <v>3</v>
      </c>
      <c r="EN22" s="17">
        <v>6</v>
      </c>
      <c r="EO22" s="18">
        <v>9</v>
      </c>
      <c r="EP22" s="124">
        <v>11</v>
      </c>
      <c r="ES22" s="17" t="s">
        <v>43</v>
      </c>
      <c r="ET22" s="18"/>
      <c r="EU22" s="18"/>
      <c r="EV22" s="72">
        <f>EX22+(EY22*EU22)</f>
        <v>0</v>
      </c>
      <c r="EW22" s="18"/>
      <c r="EX22" s="19" t="str">
        <f>IF(ET22=0,"0",IF(ET22=1,"3","6"))</f>
        <v>0</v>
      </c>
      <c r="EY22" s="20">
        <f>4</f>
        <v>4</v>
      </c>
      <c r="FG22" s="9" t="s">
        <v>44</v>
      </c>
      <c r="FH22" s="9" t="s">
        <v>45</v>
      </c>
      <c r="FI22" s="9" t="s">
        <v>46</v>
      </c>
      <c r="FJ22" s="9" t="s">
        <v>47</v>
      </c>
      <c r="FK22" s="9" t="s">
        <v>48</v>
      </c>
      <c r="FL22" s="9" t="s">
        <v>49</v>
      </c>
      <c r="FM22" s="9" t="s">
        <v>50</v>
      </c>
      <c r="FN22" s="9" t="s">
        <v>51</v>
      </c>
      <c r="FO22" s="9" t="s">
        <v>52</v>
      </c>
      <c r="FP22" s="9"/>
      <c r="FQ22" s="10" t="s">
        <v>53</v>
      </c>
      <c r="FR22" s="10" t="s">
        <v>54</v>
      </c>
      <c r="FS22" s="10" t="s">
        <v>55</v>
      </c>
      <c r="FT22" s="10" t="s">
        <v>56</v>
      </c>
      <c r="FU22" s="10" t="s">
        <v>57</v>
      </c>
      <c r="FV22" s="21" t="s">
        <v>58</v>
      </c>
      <c r="FW22" s="9" t="s">
        <v>44</v>
      </c>
      <c r="FX22" s="9"/>
      <c r="FY22" s="22" t="s">
        <v>59</v>
      </c>
      <c r="FZ22" s="9"/>
      <c r="GA22" s="9"/>
      <c r="GB22" s="9"/>
      <c r="GD22" s="23" t="s">
        <v>53</v>
      </c>
      <c r="IC22" s="24" t="s">
        <v>191</v>
      </c>
      <c r="ID22" s="18"/>
      <c r="IE22" s="18"/>
      <c r="IF22" s="18"/>
      <c r="IG22" s="18"/>
      <c r="IH22" s="18"/>
      <c r="II22" s="18"/>
      <c r="IJ22" s="18"/>
      <c r="IK22" s="121"/>
      <c r="IL22" s="25"/>
      <c r="JB22" s="2"/>
      <c r="JC22" s="2"/>
      <c r="JD22" s="2"/>
      <c r="JE22" s="2">
        <f>(((JB22*12)/3)*((JC22*12)/3))</f>
        <v>0</v>
      </c>
      <c r="JF22" s="2">
        <f>JD22*JE22</f>
        <v>0</v>
      </c>
      <c r="JG22" s="2"/>
      <c r="JH22" s="2"/>
    </row>
    <row r="23" spans="1:323" ht="16.5" thickBot="1" x14ac:dyDescent="0.3">
      <c r="A23" s="129"/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Y23" s="53" t="s">
        <v>121</v>
      </c>
      <c r="Z23" s="54">
        <v>1</v>
      </c>
      <c r="AA23" s="53" t="s">
        <v>332</v>
      </c>
      <c r="AB23" s="12" t="s">
        <v>123</v>
      </c>
      <c r="AC23" s="60"/>
      <c r="AD23" s="61"/>
      <c r="AE23" s="57"/>
      <c r="AF23" s="58" t="s">
        <v>127</v>
      </c>
      <c r="AH23" s="53" t="s">
        <v>121</v>
      </c>
      <c r="AI23" s="54">
        <v>1</v>
      </c>
      <c r="AJ23" s="53" t="s">
        <v>333</v>
      </c>
      <c r="AK23" s="12" t="s">
        <v>123</v>
      </c>
      <c r="AL23" s="60"/>
      <c r="AM23" s="61"/>
      <c r="AN23" s="57"/>
      <c r="AO23" s="58" t="s">
        <v>127</v>
      </c>
      <c r="AX23" s="53" t="s">
        <v>121</v>
      </c>
      <c r="AY23" s="54">
        <v>1</v>
      </c>
      <c r="AZ23" s="53" t="s">
        <v>332</v>
      </c>
      <c r="BA23" s="12" t="s">
        <v>128</v>
      </c>
      <c r="BB23" s="60">
        <f>AY23*22</f>
        <v>22</v>
      </c>
      <c r="BC23" s="76"/>
      <c r="BD23" s="57">
        <v>45376</v>
      </c>
      <c r="BE23" s="59" t="s">
        <v>129</v>
      </c>
      <c r="BG23" s="53" t="s">
        <v>121</v>
      </c>
      <c r="BH23" s="54">
        <v>1</v>
      </c>
      <c r="BI23" s="53" t="s">
        <v>333</v>
      </c>
      <c r="BJ23" s="12" t="s">
        <v>128</v>
      </c>
      <c r="BK23" s="60">
        <f>BH23*22</f>
        <v>22</v>
      </c>
      <c r="BL23" s="76"/>
      <c r="BM23" s="57">
        <v>45376</v>
      </c>
      <c r="BN23" s="59" t="s">
        <v>129</v>
      </c>
      <c r="BX23" s="53" t="s">
        <v>121</v>
      </c>
      <c r="BY23" s="54">
        <v>1</v>
      </c>
      <c r="BZ23" s="53" t="s">
        <v>332</v>
      </c>
      <c r="CA23" s="12" t="s">
        <v>130</v>
      </c>
      <c r="CB23" s="60"/>
      <c r="CC23" s="76"/>
      <c r="CD23" s="57"/>
      <c r="CE23" s="58" t="s">
        <v>131</v>
      </c>
      <c r="CG23" s="53" t="s">
        <v>121</v>
      </c>
      <c r="CH23" s="54">
        <v>1</v>
      </c>
      <c r="CI23" s="53" t="s">
        <v>333</v>
      </c>
      <c r="CJ23" s="12" t="s">
        <v>130</v>
      </c>
      <c r="CK23" s="60">
        <f>CH23*32</f>
        <v>32</v>
      </c>
      <c r="CL23" s="76"/>
      <c r="CM23" s="57">
        <v>45376</v>
      </c>
      <c r="CN23" s="58" t="s">
        <v>131</v>
      </c>
      <c r="CX23" s="92" t="s">
        <v>334</v>
      </c>
      <c r="CY23" s="93" t="s">
        <v>335</v>
      </c>
      <c r="CZ23" s="128">
        <v>2</v>
      </c>
      <c r="DA23" s="95"/>
      <c r="DB23" s="81">
        <f t="shared" ref="DB23:DB26" si="25">DB22</f>
        <v>6</v>
      </c>
      <c r="DC23" s="105">
        <v>1</v>
      </c>
      <c r="DD23" s="105">
        <v>1.5</v>
      </c>
      <c r="DE23" s="96">
        <v>1</v>
      </c>
      <c r="DF23" s="84">
        <f t="shared" si="12"/>
        <v>9.5</v>
      </c>
      <c r="DG23" s="85"/>
      <c r="DH23" s="86">
        <f t="shared" si="18"/>
        <v>8</v>
      </c>
      <c r="DI23" s="105">
        <v>1</v>
      </c>
      <c r="DJ23" s="105">
        <v>1.5</v>
      </c>
      <c r="DK23" s="97">
        <v>1</v>
      </c>
      <c r="DL23" s="98">
        <f t="shared" si="13"/>
        <v>11.5</v>
      </c>
      <c r="DM23" s="98"/>
      <c r="DN23" s="86">
        <f t="shared" si="19"/>
        <v>9</v>
      </c>
      <c r="DO23" s="99">
        <v>1.5</v>
      </c>
      <c r="DP23" s="105">
        <v>1.5</v>
      </c>
      <c r="DQ23" s="87">
        <v>1.5</v>
      </c>
      <c r="DR23" s="98">
        <f t="shared" si="14"/>
        <v>13.5</v>
      </c>
      <c r="DS23" s="86">
        <f t="shared" si="15"/>
        <v>10</v>
      </c>
      <c r="DT23" s="99">
        <v>2</v>
      </c>
      <c r="DU23" s="105">
        <v>1.5</v>
      </c>
      <c r="DV23" s="87">
        <v>2</v>
      </c>
      <c r="DW23" s="98">
        <f t="shared" si="16"/>
        <v>15.5</v>
      </c>
      <c r="EB23" s="2" t="s">
        <v>142</v>
      </c>
      <c r="EC23" s="17">
        <v>3</v>
      </c>
      <c r="ED23" s="18">
        <v>4</v>
      </c>
      <c r="EE23" s="18">
        <v>5</v>
      </c>
      <c r="EF23" s="124">
        <v>6</v>
      </c>
      <c r="EG23" s="17">
        <v>4</v>
      </c>
      <c r="EH23" s="18">
        <v>5</v>
      </c>
      <c r="EI23" s="18">
        <v>6</v>
      </c>
      <c r="EJ23" s="124">
        <v>7</v>
      </c>
      <c r="EK23" s="17">
        <v>3</v>
      </c>
      <c r="EL23" s="18">
        <v>3</v>
      </c>
      <c r="EM23" s="124">
        <v>3</v>
      </c>
      <c r="EN23" s="17">
        <v>6</v>
      </c>
      <c r="EO23" s="18">
        <v>9</v>
      </c>
      <c r="EP23" s="124">
        <v>11</v>
      </c>
      <c r="ES23" s="17" t="s">
        <v>91</v>
      </c>
      <c r="ET23" s="18"/>
      <c r="EU23" s="18"/>
      <c r="EV23" s="72">
        <f t="shared" ref="EV23:EV35" si="26">EX23+(EY23*EU23)</f>
        <v>0</v>
      </c>
      <c r="EW23" s="18"/>
      <c r="EX23" s="19" t="str">
        <f>IF(ET23=0,"0",IF(ET23=1,"3","6"))</f>
        <v>0</v>
      </c>
      <c r="EY23" s="20">
        <f>4</f>
        <v>4</v>
      </c>
      <c r="FG23" s="2" t="s">
        <v>92</v>
      </c>
      <c r="FH23" s="2">
        <v>1</v>
      </c>
      <c r="FI23" s="43" t="s">
        <v>162</v>
      </c>
      <c r="FJ23" s="43" t="s">
        <v>94</v>
      </c>
      <c r="FK23" s="43" t="s">
        <v>94</v>
      </c>
      <c r="FL23" s="43"/>
      <c r="FM23" s="2" t="s">
        <v>94</v>
      </c>
      <c r="FN23" s="2" t="s">
        <v>94</v>
      </c>
      <c r="FO23" s="26">
        <f t="shared" ref="FO23:FO36" si="27">(FH23*FV23)+FR23+FS23+FT23+FU23</f>
        <v>15.3</v>
      </c>
      <c r="FP23" s="2"/>
      <c r="FQ23" s="4" t="str">
        <f>IF(FI23=0,"0",IF(FI23="5/16","3",IF(FI23="3/8","3.3",IF(FI23="1/2","4",IF(FI23="5/8","5",IF(FI23="3/4","5.5","3"))))))</f>
        <v>3.3</v>
      </c>
      <c r="FR23" s="4" t="str">
        <f t="shared" ref="FR23:FS29" si="28">IF(FJ23="Yes","3","0")</f>
        <v>3</v>
      </c>
      <c r="FS23" s="4" t="str">
        <f t="shared" si="28"/>
        <v>3</v>
      </c>
      <c r="FT23" s="4" t="str">
        <f t="shared" ref="FT23:FT36" si="29">IF(FM23="Yes","2","0")</f>
        <v>2</v>
      </c>
      <c r="FU23" s="4" t="str">
        <f>IF(FN23="Yes","4","0")</f>
        <v>4</v>
      </c>
      <c r="FV23" s="44" t="str">
        <f>IF(FL23="Yes",FQ23*2,FQ23)</f>
        <v>3.3</v>
      </c>
      <c r="FW23" s="45" t="s">
        <v>92</v>
      </c>
      <c r="FX23" s="2"/>
      <c r="FY23" s="2" t="s">
        <v>95</v>
      </c>
      <c r="FZ23" s="2"/>
      <c r="GA23" s="2"/>
      <c r="GB23" s="2"/>
      <c r="GD23" s="43" t="s">
        <v>96</v>
      </c>
      <c r="IC23" s="27" t="s">
        <v>109</v>
      </c>
      <c r="ID23" s="28" t="s">
        <v>110</v>
      </c>
      <c r="IE23" s="28" t="s">
        <v>23</v>
      </c>
      <c r="IF23" s="28" t="s">
        <v>336</v>
      </c>
      <c r="IG23" s="28"/>
      <c r="IH23" s="46" t="s">
        <v>299</v>
      </c>
      <c r="II23" s="46" t="s">
        <v>213</v>
      </c>
      <c r="IJ23" s="46" t="s">
        <v>66</v>
      </c>
      <c r="IK23" s="46" t="s">
        <v>112</v>
      </c>
      <c r="IL23" s="29" t="s">
        <v>69</v>
      </c>
      <c r="JB23" s="2"/>
      <c r="JC23" s="2"/>
      <c r="JD23" s="2"/>
      <c r="JE23" s="2"/>
      <c r="JF23" s="2"/>
      <c r="JG23" s="2"/>
      <c r="JH23" s="2"/>
    </row>
    <row r="24" spans="1:323" ht="16.5" thickBot="1" x14ac:dyDescent="0.3">
      <c r="A24" s="130" t="s">
        <v>337</v>
      </c>
      <c r="B24" s="54">
        <v>1</v>
      </c>
      <c r="C24" s="53" t="s">
        <v>338</v>
      </c>
      <c r="D24" s="12" t="s">
        <v>119</v>
      </c>
      <c r="E24" s="14">
        <f>B24*10*36*11.16/144*2.09</f>
        <v>58.310999999999993</v>
      </c>
      <c r="F24" s="131">
        <v>40</v>
      </c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Y24" s="53" t="s">
        <v>121</v>
      </c>
      <c r="Z24" s="54">
        <v>1</v>
      </c>
      <c r="AA24" s="53" t="s">
        <v>339</v>
      </c>
      <c r="AB24" s="12" t="s">
        <v>123</v>
      </c>
      <c r="AC24" s="60"/>
      <c r="AD24" s="61"/>
      <c r="AE24" s="57"/>
      <c r="AF24" s="58" t="s">
        <v>182</v>
      </c>
      <c r="AH24" s="53" t="s">
        <v>121</v>
      </c>
      <c r="AI24" s="54">
        <v>1</v>
      </c>
      <c r="AJ24" s="53" t="s">
        <v>340</v>
      </c>
      <c r="AK24" s="12" t="s">
        <v>123</v>
      </c>
      <c r="AL24" s="60"/>
      <c r="AM24" s="61"/>
      <c r="AN24" s="57"/>
      <c r="AO24" s="58" t="s">
        <v>127</v>
      </c>
      <c r="AX24" s="53" t="s">
        <v>121</v>
      </c>
      <c r="AY24" s="54">
        <v>1</v>
      </c>
      <c r="AZ24" s="53" t="s">
        <v>339</v>
      </c>
      <c r="BA24" s="12" t="s">
        <v>128</v>
      </c>
      <c r="BB24" s="60"/>
      <c r="BC24" s="76"/>
      <c r="BD24" s="57"/>
      <c r="BE24" s="59" t="s">
        <v>129</v>
      </c>
      <c r="BG24" s="53" t="s">
        <v>121</v>
      </c>
      <c r="BH24" s="54">
        <v>1</v>
      </c>
      <c r="BI24" s="53" t="s">
        <v>340</v>
      </c>
      <c r="BJ24" s="12" t="s">
        <v>128</v>
      </c>
      <c r="BK24" s="60"/>
      <c r="BL24" s="76"/>
      <c r="BM24" s="57"/>
      <c r="BN24" s="59" t="s">
        <v>129</v>
      </c>
      <c r="BX24" s="53" t="s">
        <v>121</v>
      </c>
      <c r="BY24" s="54">
        <v>1</v>
      </c>
      <c r="BZ24" s="53" t="s">
        <v>339</v>
      </c>
      <c r="CA24" s="12" t="s">
        <v>130</v>
      </c>
      <c r="CB24" s="60"/>
      <c r="CC24" s="76"/>
      <c r="CD24" s="57"/>
      <c r="CE24" s="58" t="s">
        <v>131</v>
      </c>
      <c r="CG24" s="53" t="s">
        <v>121</v>
      </c>
      <c r="CH24" s="54">
        <v>1</v>
      </c>
      <c r="CI24" s="53" t="s">
        <v>340</v>
      </c>
      <c r="CJ24" s="12" t="s">
        <v>130</v>
      </c>
      <c r="CK24" s="60">
        <f>CH24*44</f>
        <v>44</v>
      </c>
      <c r="CL24" s="76"/>
      <c r="CM24" s="57">
        <v>45376</v>
      </c>
      <c r="CN24" s="58" t="s">
        <v>131</v>
      </c>
      <c r="CX24" s="92" t="s">
        <v>341</v>
      </c>
      <c r="CY24" s="93" t="s">
        <v>342</v>
      </c>
      <c r="CZ24" s="128">
        <v>2</v>
      </c>
      <c r="DA24" s="95"/>
      <c r="DB24" s="81">
        <f t="shared" si="25"/>
        <v>6</v>
      </c>
      <c r="DC24" s="105">
        <v>1</v>
      </c>
      <c r="DD24" s="105">
        <v>1.5</v>
      </c>
      <c r="DE24" s="96">
        <v>1</v>
      </c>
      <c r="DF24" s="84">
        <f t="shared" si="12"/>
        <v>9.5</v>
      </c>
      <c r="DG24" s="85"/>
      <c r="DH24" s="86">
        <f t="shared" si="18"/>
        <v>8</v>
      </c>
      <c r="DI24" s="105">
        <v>1</v>
      </c>
      <c r="DJ24" s="105">
        <v>1.5</v>
      </c>
      <c r="DK24" s="97">
        <v>1</v>
      </c>
      <c r="DL24" s="98">
        <f t="shared" si="13"/>
        <v>11.5</v>
      </c>
      <c r="DM24" s="98"/>
      <c r="DN24" s="86">
        <f t="shared" si="19"/>
        <v>9</v>
      </c>
      <c r="DO24" s="99">
        <v>1.5</v>
      </c>
      <c r="DP24" s="105">
        <v>1.5</v>
      </c>
      <c r="DQ24" s="87">
        <v>1.5</v>
      </c>
      <c r="DR24" s="98">
        <f t="shared" si="14"/>
        <v>13.5</v>
      </c>
      <c r="DS24" s="86">
        <f t="shared" si="15"/>
        <v>10</v>
      </c>
      <c r="DT24" s="99">
        <v>2</v>
      </c>
      <c r="DU24" s="105">
        <v>1.5</v>
      </c>
      <c r="DV24" s="87">
        <v>2</v>
      </c>
      <c r="DW24" s="98">
        <f t="shared" si="16"/>
        <v>15.5</v>
      </c>
      <c r="EB24" s="2" t="s">
        <v>154</v>
      </c>
      <c r="EC24" s="17">
        <v>3</v>
      </c>
      <c r="ED24" s="18">
        <v>4</v>
      </c>
      <c r="EE24" s="18">
        <v>5</v>
      </c>
      <c r="EF24" s="124">
        <v>6</v>
      </c>
      <c r="EG24" s="17">
        <v>4</v>
      </c>
      <c r="EH24" s="18">
        <v>5</v>
      </c>
      <c r="EI24" s="18">
        <v>6</v>
      </c>
      <c r="EJ24" s="124">
        <v>7</v>
      </c>
      <c r="EK24" s="17">
        <v>3</v>
      </c>
      <c r="EL24" s="18">
        <v>3</v>
      </c>
      <c r="EM24" s="124">
        <v>3</v>
      </c>
      <c r="EN24" s="17">
        <v>9</v>
      </c>
      <c r="EO24" s="18">
        <v>9</v>
      </c>
      <c r="EP24" s="124">
        <v>11</v>
      </c>
      <c r="ES24" s="17" t="s">
        <v>114</v>
      </c>
      <c r="ET24" s="18"/>
      <c r="EU24" s="18"/>
      <c r="EV24" s="72">
        <f t="shared" si="26"/>
        <v>0</v>
      </c>
      <c r="EW24" s="18"/>
      <c r="EX24" s="19" t="str">
        <f>IF(ET24=0,"0",IF(ET24=1,"3","6"))</f>
        <v>0</v>
      </c>
      <c r="EY24" s="20">
        <f>4</f>
        <v>4</v>
      </c>
      <c r="FG24" s="2" t="s">
        <v>140</v>
      </c>
      <c r="FH24" s="2">
        <v>1</v>
      </c>
      <c r="FI24" s="43" t="s">
        <v>162</v>
      </c>
      <c r="FJ24" s="43" t="s">
        <v>94</v>
      </c>
      <c r="FK24" s="43" t="s">
        <v>94</v>
      </c>
      <c r="FL24" s="43"/>
      <c r="FM24" s="2" t="s">
        <v>94</v>
      </c>
      <c r="FN24" s="2" t="s">
        <v>94</v>
      </c>
      <c r="FO24" s="26">
        <f t="shared" si="27"/>
        <v>15.3</v>
      </c>
      <c r="FP24" s="2"/>
      <c r="FQ24" s="4" t="str">
        <f>IF(FI24=0,"0",IF(FI24="5/16","3",IF(FI24="3/8","3.3",IF(FI24="1/2","4",IF(FI24="5/8","5",IF(FI24="3/4","5.5","3"))))))</f>
        <v>3.3</v>
      </c>
      <c r="FR24" s="4" t="str">
        <f t="shared" si="28"/>
        <v>3</v>
      </c>
      <c r="FS24" s="4" t="str">
        <f t="shared" si="28"/>
        <v>3</v>
      </c>
      <c r="FT24" s="4" t="str">
        <f t="shared" si="29"/>
        <v>2</v>
      </c>
      <c r="FU24" s="4" t="str">
        <f t="shared" ref="FU24:FU36" si="30">IF(FN24="Yes","4","0")</f>
        <v>4</v>
      </c>
      <c r="FV24" s="44" t="str">
        <f t="shared" ref="FV24:FV36" si="31">IF(FL24="Yes",FQ24*2,FQ24)</f>
        <v>3.3</v>
      </c>
      <c r="FW24" s="45" t="s">
        <v>140</v>
      </c>
      <c r="FX24" s="2"/>
      <c r="FY24" s="2" t="s">
        <v>95</v>
      </c>
      <c r="FZ24" s="2"/>
      <c r="GA24" s="2"/>
      <c r="GB24" s="2"/>
      <c r="GD24" s="43" t="s">
        <v>93</v>
      </c>
      <c r="IC24" s="17"/>
      <c r="ID24" s="18"/>
      <c r="IE24" s="18"/>
      <c r="IF24" s="72">
        <f>IH24+II24+IJ24+IK24+IL24</f>
        <v>0</v>
      </c>
      <c r="IG24" s="18"/>
      <c r="IH24" s="73">
        <f>ID24/10</f>
        <v>0</v>
      </c>
      <c r="II24" s="73">
        <f>ID24/10</f>
        <v>0</v>
      </c>
      <c r="IJ24" s="73">
        <f>ID24/10</f>
        <v>0</v>
      </c>
      <c r="IK24" s="73">
        <f>ID24/1.5</f>
        <v>0</v>
      </c>
      <c r="IL24" s="20">
        <f>IE24*1</f>
        <v>0</v>
      </c>
      <c r="JB24" s="2"/>
      <c r="JC24" s="2"/>
      <c r="JD24" s="2"/>
      <c r="JE24" s="2"/>
      <c r="JF24" s="2"/>
      <c r="JG24" s="2"/>
      <c r="JH24" s="2"/>
    </row>
    <row r="25" spans="1:323" ht="16.5" thickBot="1" x14ac:dyDescent="0.3">
      <c r="A25" s="130" t="s">
        <v>343</v>
      </c>
      <c r="B25" s="54">
        <v>1</v>
      </c>
      <c r="C25" s="53" t="s">
        <v>344</v>
      </c>
      <c r="D25" s="12" t="s">
        <v>119</v>
      </c>
      <c r="E25" s="132">
        <f>B25*10*84*11.16/144*2.09</f>
        <v>136.05899999999997</v>
      </c>
      <c r="F25" s="131" t="s">
        <v>345</v>
      </c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Y25" s="53" t="s">
        <v>121</v>
      </c>
      <c r="Z25" s="54">
        <v>1</v>
      </c>
      <c r="AA25" s="53" t="s">
        <v>346</v>
      </c>
      <c r="AB25" s="12" t="s">
        <v>123</v>
      </c>
      <c r="AC25" s="60"/>
      <c r="AD25" s="61"/>
      <c r="AE25" s="57"/>
      <c r="AF25" s="58" t="s">
        <v>347</v>
      </c>
      <c r="AH25" s="53" t="s">
        <v>121</v>
      </c>
      <c r="AI25" s="54">
        <v>1</v>
      </c>
      <c r="AJ25" s="53" t="s">
        <v>348</v>
      </c>
      <c r="AK25" s="12" t="s">
        <v>123</v>
      </c>
      <c r="AL25" s="60"/>
      <c r="AM25" s="61"/>
      <c r="AN25" s="57"/>
      <c r="AO25" s="58" t="s">
        <v>347</v>
      </c>
      <c r="AX25" s="53" t="s">
        <v>121</v>
      </c>
      <c r="AY25" s="54">
        <v>1</v>
      </c>
      <c r="AZ25" s="53" t="s">
        <v>346</v>
      </c>
      <c r="BA25" s="12" t="s">
        <v>128</v>
      </c>
      <c r="BB25" s="60">
        <f>AY25*33</f>
        <v>33</v>
      </c>
      <c r="BC25" s="76"/>
      <c r="BD25" s="57">
        <v>45376</v>
      </c>
      <c r="BE25" s="59" t="s">
        <v>129</v>
      </c>
      <c r="BG25" s="53" t="s">
        <v>121</v>
      </c>
      <c r="BH25" s="54">
        <v>1</v>
      </c>
      <c r="BI25" s="53" t="s">
        <v>348</v>
      </c>
      <c r="BJ25" s="12" t="s">
        <v>128</v>
      </c>
      <c r="BK25" s="60">
        <f>BH25*35</f>
        <v>35</v>
      </c>
      <c r="BL25" s="76"/>
      <c r="BM25" s="57">
        <v>45376</v>
      </c>
      <c r="BN25" s="59" t="s">
        <v>129</v>
      </c>
      <c r="BX25" s="53" t="s">
        <v>121</v>
      </c>
      <c r="BY25" s="54">
        <v>1</v>
      </c>
      <c r="BZ25" s="53" t="s">
        <v>346</v>
      </c>
      <c r="CA25" s="12" t="s">
        <v>130</v>
      </c>
      <c r="CB25" s="60"/>
      <c r="CC25" s="76"/>
      <c r="CD25" s="57"/>
      <c r="CE25" s="58" t="s">
        <v>131</v>
      </c>
      <c r="CG25" s="53" t="s">
        <v>121</v>
      </c>
      <c r="CH25" s="54">
        <v>1</v>
      </c>
      <c r="CI25" s="53" t="s">
        <v>348</v>
      </c>
      <c r="CJ25" s="12" t="s">
        <v>130</v>
      </c>
      <c r="CK25" s="60">
        <f>CH25*48</f>
        <v>48</v>
      </c>
      <c r="CL25" s="76"/>
      <c r="CM25" s="57">
        <v>45376</v>
      </c>
      <c r="CN25" s="58" t="s">
        <v>131</v>
      </c>
      <c r="CX25" s="92" t="s">
        <v>349</v>
      </c>
      <c r="CY25" s="93" t="s">
        <v>350</v>
      </c>
      <c r="CZ25" s="128">
        <v>2</v>
      </c>
      <c r="DA25" s="95"/>
      <c r="DB25" s="81">
        <f t="shared" si="25"/>
        <v>6</v>
      </c>
      <c r="DC25" s="105">
        <v>1</v>
      </c>
      <c r="DD25" s="105">
        <v>1.5</v>
      </c>
      <c r="DE25" s="96">
        <v>1</v>
      </c>
      <c r="DF25" s="84">
        <f t="shared" si="12"/>
        <v>9.5</v>
      </c>
      <c r="DG25" s="85"/>
      <c r="DH25" s="86">
        <f t="shared" si="18"/>
        <v>8</v>
      </c>
      <c r="DI25" s="105">
        <v>1</v>
      </c>
      <c r="DJ25" s="105">
        <v>1.5</v>
      </c>
      <c r="DK25" s="97">
        <v>1</v>
      </c>
      <c r="DL25" s="98">
        <f t="shared" si="13"/>
        <v>11.5</v>
      </c>
      <c r="DM25" s="98"/>
      <c r="DN25" s="86">
        <f t="shared" si="19"/>
        <v>9</v>
      </c>
      <c r="DO25" s="99">
        <v>1.5</v>
      </c>
      <c r="DP25" s="105">
        <v>1.5</v>
      </c>
      <c r="DQ25" s="87">
        <v>1.5</v>
      </c>
      <c r="DR25" s="98">
        <f t="shared" si="14"/>
        <v>13.5</v>
      </c>
      <c r="DS25" s="86">
        <f t="shared" si="15"/>
        <v>10</v>
      </c>
      <c r="DT25" s="99">
        <v>2</v>
      </c>
      <c r="DU25" s="105">
        <v>1.5</v>
      </c>
      <c r="DV25" s="87">
        <v>2</v>
      </c>
      <c r="DW25" s="98">
        <f t="shared" si="16"/>
        <v>15.5</v>
      </c>
      <c r="EB25" s="2" t="s">
        <v>164</v>
      </c>
      <c r="EC25" s="17">
        <v>3</v>
      </c>
      <c r="ED25" s="18">
        <v>4</v>
      </c>
      <c r="EE25" s="18">
        <v>5</v>
      </c>
      <c r="EF25" s="124">
        <v>6</v>
      </c>
      <c r="EG25" s="17">
        <v>4</v>
      </c>
      <c r="EH25" s="18">
        <v>5</v>
      </c>
      <c r="EI25" s="18">
        <v>6</v>
      </c>
      <c r="EJ25" s="124">
        <v>7</v>
      </c>
      <c r="EK25" s="17">
        <v>5</v>
      </c>
      <c r="EL25" s="18">
        <v>6</v>
      </c>
      <c r="EM25" s="124">
        <v>7</v>
      </c>
      <c r="EN25" s="17">
        <v>9</v>
      </c>
      <c r="EO25" s="18">
        <v>9</v>
      </c>
      <c r="EP25" s="124">
        <v>11</v>
      </c>
      <c r="ES25" s="17" t="s">
        <v>142</v>
      </c>
      <c r="ET25" s="18"/>
      <c r="EU25" s="18"/>
      <c r="EV25" s="72">
        <f t="shared" si="26"/>
        <v>0</v>
      </c>
      <c r="EW25" s="18"/>
      <c r="EX25" s="19" t="str">
        <f>IF(ET25=0,"0",IF(ET25=1,"3","6"))</f>
        <v>0</v>
      </c>
      <c r="EY25" s="20">
        <f>4</f>
        <v>4</v>
      </c>
      <c r="FG25" s="2" t="s">
        <v>151</v>
      </c>
      <c r="FH25" s="2">
        <v>1</v>
      </c>
      <c r="FI25" s="43" t="s">
        <v>162</v>
      </c>
      <c r="FJ25" s="43" t="s">
        <v>94</v>
      </c>
      <c r="FK25" s="43" t="s">
        <v>94</v>
      </c>
      <c r="FL25" s="43"/>
      <c r="FM25" s="2" t="s">
        <v>94</v>
      </c>
      <c r="FN25" s="2" t="s">
        <v>94</v>
      </c>
      <c r="FO25" s="26">
        <f t="shared" si="27"/>
        <v>15.3</v>
      </c>
      <c r="FP25" s="2"/>
      <c r="FQ25" s="4" t="str">
        <f>IF(FI25=0,"0",IF(FI25="5/16","3",IF(FI25="3/8","3.3",IF(FI25="1/2","4",IF(FI25="5/8","5",IF(FI25="3/4","5.5","3"))))))</f>
        <v>3.3</v>
      </c>
      <c r="FR25" s="4" t="str">
        <f t="shared" si="28"/>
        <v>3</v>
      </c>
      <c r="FS25" s="4" t="str">
        <f t="shared" si="28"/>
        <v>3</v>
      </c>
      <c r="FT25" s="4" t="str">
        <f t="shared" si="29"/>
        <v>2</v>
      </c>
      <c r="FU25" s="4" t="str">
        <f t="shared" si="30"/>
        <v>4</v>
      </c>
      <c r="FV25" s="44" t="str">
        <f t="shared" si="31"/>
        <v>3.3</v>
      </c>
      <c r="FW25" s="45" t="s">
        <v>151</v>
      </c>
      <c r="FX25" s="2"/>
      <c r="FY25" s="2" t="s">
        <v>95</v>
      </c>
      <c r="FZ25" s="2"/>
      <c r="GA25" s="2"/>
      <c r="GB25" s="2"/>
      <c r="GD25" s="43" t="s">
        <v>152</v>
      </c>
      <c r="IC25" s="17"/>
      <c r="ID25" s="18"/>
      <c r="IE25" s="18"/>
      <c r="IF25" s="18"/>
      <c r="IG25" s="18"/>
      <c r="IH25" s="18"/>
      <c r="II25" s="18"/>
      <c r="IJ25" s="18"/>
      <c r="IK25" s="121"/>
      <c r="IL25" s="25"/>
      <c r="JB25" s="2"/>
      <c r="JC25" s="2"/>
      <c r="JD25" s="2"/>
      <c r="JE25" s="2"/>
      <c r="JF25" s="2"/>
      <c r="JG25" s="2"/>
      <c r="JH25" s="2"/>
    </row>
    <row r="26" spans="1:323" ht="15.75" customHeight="1" thickBot="1" x14ac:dyDescent="0.3">
      <c r="A26" s="130" t="s">
        <v>351</v>
      </c>
      <c r="B26" s="54">
        <v>1</v>
      </c>
      <c r="C26" s="53" t="s">
        <v>352</v>
      </c>
      <c r="D26" s="12" t="s">
        <v>119</v>
      </c>
      <c r="E26" s="100">
        <f>B26*48*96*26.83/144*2.69</f>
        <v>2309.5263999999997</v>
      </c>
      <c r="F26" s="131" t="s">
        <v>345</v>
      </c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Y26" s="53" t="s">
        <v>121</v>
      </c>
      <c r="Z26" s="54">
        <v>1</v>
      </c>
      <c r="AA26" s="53" t="s">
        <v>353</v>
      </c>
      <c r="AB26" s="12" t="s">
        <v>123</v>
      </c>
      <c r="AC26" s="100"/>
      <c r="AD26" s="101"/>
      <c r="AE26" s="57"/>
      <c r="AF26" s="58" t="s">
        <v>347</v>
      </c>
      <c r="AH26" s="53" t="s">
        <v>121</v>
      </c>
      <c r="AI26" s="54">
        <v>1</v>
      </c>
      <c r="AJ26" s="53" t="s">
        <v>354</v>
      </c>
      <c r="AK26" s="12" t="s">
        <v>123</v>
      </c>
      <c r="AL26" s="100"/>
      <c r="AM26" s="101"/>
      <c r="AN26" s="57"/>
      <c r="AO26" s="58" t="s">
        <v>347</v>
      </c>
      <c r="AX26" s="53" t="s">
        <v>121</v>
      </c>
      <c r="AY26" s="54">
        <v>1</v>
      </c>
      <c r="AZ26" s="53" t="s">
        <v>353</v>
      </c>
      <c r="BA26" s="12" t="s">
        <v>128</v>
      </c>
      <c r="BB26" s="100">
        <f>AY26*54</f>
        <v>54</v>
      </c>
      <c r="BC26" s="102"/>
      <c r="BD26" s="57">
        <v>45376</v>
      </c>
      <c r="BE26" s="59" t="s">
        <v>129</v>
      </c>
      <c r="BG26" s="53" t="s">
        <v>121</v>
      </c>
      <c r="BH26" s="54">
        <v>1</v>
      </c>
      <c r="BI26" s="53" t="s">
        <v>354</v>
      </c>
      <c r="BJ26" s="12" t="s">
        <v>128</v>
      </c>
      <c r="BK26" s="100">
        <f>BH26*57</f>
        <v>57</v>
      </c>
      <c r="BL26" s="102"/>
      <c r="BM26" s="57">
        <v>45376</v>
      </c>
      <c r="BN26" s="59" t="s">
        <v>129</v>
      </c>
      <c r="BX26" s="53" t="s">
        <v>121</v>
      </c>
      <c r="BY26" s="54">
        <v>1</v>
      </c>
      <c r="BZ26" s="53" t="s">
        <v>353</v>
      </c>
      <c r="CA26" s="12" t="s">
        <v>130</v>
      </c>
      <c r="CB26" s="100"/>
      <c r="CC26" s="60"/>
      <c r="CD26" s="57"/>
      <c r="CE26" s="58" t="s">
        <v>131</v>
      </c>
      <c r="CG26" s="53" t="s">
        <v>121</v>
      </c>
      <c r="CH26" s="54">
        <v>1</v>
      </c>
      <c r="CI26" s="53" t="s">
        <v>354</v>
      </c>
      <c r="CJ26" s="12" t="s">
        <v>130</v>
      </c>
      <c r="CK26" s="100">
        <f>CH26*77</f>
        <v>77</v>
      </c>
      <c r="CL26" s="60"/>
      <c r="CM26" s="57">
        <v>45376</v>
      </c>
      <c r="CN26" s="58" t="s">
        <v>131</v>
      </c>
      <c r="CX26" s="92" t="s">
        <v>355</v>
      </c>
      <c r="CY26" s="93" t="s">
        <v>356</v>
      </c>
      <c r="CZ26" s="128">
        <v>2</v>
      </c>
      <c r="DA26" s="95"/>
      <c r="DB26" s="81">
        <f t="shared" si="25"/>
        <v>6</v>
      </c>
      <c r="DC26" s="105">
        <v>1</v>
      </c>
      <c r="DD26" s="105">
        <v>1.5</v>
      </c>
      <c r="DE26" s="96">
        <v>1</v>
      </c>
      <c r="DF26" s="84">
        <f t="shared" si="12"/>
        <v>9.5</v>
      </c>
      <c r="DG26" s="85"/>
      <c r="DH26" s="86">
        <f t="shared" si="18"/>
        <v>8</v>
      </c>
      <c r="DI26" s="105">
        <v>1</v>
      </c>
      <c r="DJ26" s="105">
        <v>1.5</v>
      </c>
      <c r="DK26" s="97">
        <v>1</v>
      </c>
      <c r="DL26" s="98">
        <f t="shared" si="13"/>
        <v>11.5</v>
      </c>
      <c r="DM26" s="98"/>
      <c r="DN26" s="86">
        <f t="shared" si="19"/>
        <v>9</v>
      </c>
      <c r="DO26" s="99">
        <v>1.5</v>
      </c>
      <c r="DP26" s="105">
        <v>1.5</v>
      </c>
      <c r="DQ26" s="87">
        <v>1.5</v>
      </c>
      <c r="DR26" s="98">
        <f t="shared" si="14"/>
        <v>13.5</v>
      </c>
      <c r="DS26" s="86">
        <f t="shared" si="15"/>
        <v>10</v>
      </c>
      <c r="DT26" s="99">
        <v>2</v>
      </c>
      <c r="DU26" s="105">
        <v>1.5</v>
      </c>
      <c r="DV26" s="87">
        <v>2</v>
      </c>
      <c r="DW26" s="98">
        <f t="shared" si="16"/>
        <v>15.5</v>
      </c>
      <c r="EB26" s="2" t="s">
        <v>178</v>
      </c>
      <c r="EC26" s="17">
        <v>3</v>
      </c>
      <c r="ED26" s="18">
        <v>4</v>
      </c>
      <c r="EE26" s="18">
        <v>5</v>
      </c>
      <c r="EF26" s="124">
        <v>6</v>
      </c>
      <c r="EG26" s="17">
        <v>6</v>
      </c>
      <c r="EH26" s="18">
        <v>7</v>
      </c>
      <c r="EI26" s="18">
        <v>9</v>
      </c>
      <c r="EJ26" s="124">
        <v>10</v>
      </c>
      <c r="EK26" s="17">
        <v>6</v>
      </c>
      <c r="EL26" s="18">
        <v>7</v>
      </c>
      <c r="EM26" s="124">
        <v>8</v>
      </c>
      <c r="EN26" s="17">
        <v>9</v>
      </c>
      <c r="EO26" s="18">
        <v>9</v>
      </c>
      <c r="EP26" s="124">
        <v>11</v>
      </c>
      <c r="ES26" s="17" t="s">
        <v>154</v>
      </c>
      <c r="ET26" s="18"/>
      <c r="EU26" s="18"/>
      <c r="EV26" s="72">
        <f t="shared" si="26"/>
        <v>0</v>
      </c>
      <c r="EW26" s="18"/>
      <c r="EX26" s="19" t="str">
        <f>IF(ET26=0,"0",IF(ET26=1,"3","6"))</f>
        <v>0</v>
      </c>
      <c r="EY26" s="20">
        <f>4</f>
        <v>4</v>
      </c>
      <c r="FG26" s="2" t="s">
        <v>161</v>
      </c>
      <c r="FH26" s="2">
        <v>1</v>
      </c>
      <c r="FI26" s="43" t="s">
        <v>162</v>
      </c>
      <c r="FJ26" s="43" t="s">
        <v>94</v>
      </c>
      <c r="FK26" s="43" t="s">
        <v>94</v>
      </c>
      <c r="FL26" s="43"/>
      <c r="FM26" s="2" t="s">
        <v>94</v>
      </c>
      <c r="FN26" s="2" t="s">
        <v>94</v>
      </c>
      <c r="FO26" s="26">
        <f t="shared" si="27"/>
        <v>16</v>
      </c>
      <c r="FP26" s="2"/>
      <c r="FQ26" s="4" t="str">
        <f>IF(FI26=0,"0",IF(FI26="5/16","3.5",IF(FI26="3/8","4",IF(FI26="1/2","5.5",IF(FI26="5/8","6",IF(FI26="3/4","6.5","3.5"))))))</f>
        <v>4</v>
      </c>
      <c r="FR26" s="4" t="str">
        <f t="shared" si="28"/>
        <v>3</v>
      </c>
      <c r="FS26" s="4" t="str">
        <f t="shared" si="28"/>
        <v>3</v>
      </c>
      <c r="FT26" s="4" t="str">
        <f t="shared" si="29"/>
        <v>2</v>
      </c>
      <c r="FU26" s="4" t="str">
        <f t="shared" si="30"/>
        <v>4</v>
      </c>
      <c r="FV26" s="44" t="str">
        <f t="shared" si="31"/>
        <v>4</v>
      </c>
      <c r="FW26" s="45" t="s">
        <v>161</v>
      </c>
      <c r="FX26" s="2"/>
      <c r="FY26" s="2" t="s">
        <v>95</v>
      </c>
      <c r="FZ26" s="2"/>
      <c r="GA26" s="2"/>
      <c r="GB26" s="2"/>
      <c r="GD26" s="43" t="s">
        <v>162</v>
      </c>
      <c r="IC26" s="48"/>
      <c r="ID26" s="49"/>
      <c r="IE26" s="49"/>
      <c r="IF26" s="49"/>
      <c r="IG26" s="49"/>
      <c r="IH26" s="49"/>
      <c r="II26" s="49"/>
      <c r="IJ26" s="49"/>
      <c r="IK26" s="133"/>
      <c r="IL26" s="115"/>
      <c r="JB26" s="2"/>
      <c r="JC26" s="2"/>
      <c r="JD26" s="2"/>
      <c r="JE26" s="2"/>
      <c r="JF26" s="2"/>
      <c r="JG26" s="2"/>
      <c r="JH26" s="2"/>
    </row>
    <row r="27" spans="1:323" ht="15.75" customHeight="1" thickBot="1" x14ac:dyDescent="0.3">
      <c r="A27" s="130" t="s">
        <v>357</v>
      </c>
      <c r="B27" s="54">
        <v>1</v>
      </c>
      <c r="C27" s="53" t="s">
        <v>358</v>
      </c>
      <c r="D27" s="12" t="s">
        <v>119</v>
      </c>
      <c r="E27" s="100">
        <v>0</v>
      </c>
      <c r="F27" s="134" t="s">
        <v>345</v>
      </c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Y27" s="53" t="s">
        <v>121</v>
      </c>
      <c r="Z27" s="54">
        <v>1</v>
      </c>
      <c r="AA27" s="53" t="s">
        <v>359</v>
      </c>
      <c r="AB27" s="12" t="s">
        <v>123</v>
      </c>
      <c r="AC27" s="100"/>
      <c r="AD27" s="101"/>
      <c r="AE27" s="57"/>
      <c r="AF27" s="58" t="s">
        <v>347</v>
      </c>
      <c r="AH27" s="53" t="s">
        <v>121</v>
      </c>
      <c r="AI27" s="54">
        <v>1</v>
      </c>
      <c r="AJ27" s="53" t="s">
        <v>360</v>
      </c>
      <c r="AK27" s="12" t="s">
        <v>123</v>
      </c>
      <c r="AL27" s="100"/>
      <c r="AM27" s="101"/>
      <c r="AN27" s="57"/>
      <c r="AO27" s="58" t="s">
        <v>347</v>
      </c>
      <c r="AX27" s="53" t="s">
        <v>121</v>
      </c>
      <c r="AY27" s="54">
        <v>1</v>
      </c>
      <c r="AZ27" s="53" t="s">
        <v>359</v>
      </c>
      <c r="BA27" s="12" t="s">
        <v>128</v>
      </c>
      <c r="BB27" s="100">
        <f>AY27*75</f>
        <v>75</v>
      </c>
      <c r="BC27" s="102"/>
      <c r="BD27" s="57">
        <v>45376</v>
      </c>
      <c r="BE27" s="59" t="s">
        <v>129</v>
      </c>
      <c r="BG27" s="53" t="s">
        <v>121</v>
      </c>
      <c r="BH27" s="54">
        <v>1</v>
      </c>
      <c r="BI27" s="53" t="s">
        <v>360</v>
      </c>
      <c r="BJ27" s="12" t="s">
        <v>128</v>
      </c>
      <c r="BK27" s="100"/>
      <c r="BL27" s="102"/>
      <c r="BM27" s="57"/>
      <c r="BN27" s="59" t="s">
        <v>129</v>
      </c>
      <c r="BX27" s="53" t="s">
        <v>121</v>
      </c>
      <c r="BY27" s="54">
        <v>1</v>
      </c>
      <c r="BZ27" s="53" t="s">
        <v>359</v>
      </c>
      <c r="CA27" s="12" t="s">
        <v>130</v>
      </c>
      <c r="CB27" s="100"/>
      <c r="CC27" s="60"/>
      <c r="CD27" s="57"/>
      <c r="CE27" s="58" t="s">
        <v>131</v>
      </c>
      <c r="CG27" s="53" t="s">
        <v>121</v>
      </c>
      <c r="CH27" s="54">
        <v>1</v>
      </c>
      <c r="CI27" s="53" t="s">
        <v>360</v>
      </c>
      <c r="CJ27" s="12" t="s">
        <v>130</v>
      </c>
      <c r="CK27" s="100">
        <f>CH27*114</f>
        <v>114</v>
      </c>
      <c r="CL27" s="60"/>
      <c r="CM27" s="57">
        <v>45376</v>
      </c>
      <c r="CN27" s="58" t="s">
        <v>131</v>
      </c>
      <c r="CX27" s="92" t="s">
        <v>361</v>
      </c>
      <c r="CY27" s="93" t="s">
        <v>362</v>
      </c>
      <c r="CZ27" s="128">
        <v>2</v>
      </c>
      <c r="DA27" s="95"/>
      <c r="DB27" s="81">
        <f>DB9*2</f>
        <v>8</v>
      </c>
      <c r="DC27" s="105">
        <v>1</v>
      </c>
      <c r="DD27" s="105">
        <v>1.5</v>
      </c>
      <c r="DE27" s="96">
        <v>1</v>
      </c>
      <c r="DF27" s="84">
        <f t="shared" si="12"/>
        <v>11.5</v>
      </c>
      <c r="DG27" s="85"/>
      <c r="DH27" s="86">
        <f t="shared" si="18"/>
        <v>10</v>
      </c>
      <c r="DI27" s="105">
        <v>1</v>
      </c>
      <c r="DJ27" s="105">
        <v>1.5</v>
      </c>
      <c r="DK27" s="97">
        <v>1</v>
      </c>
      <c r="DL27" s="98">
        <f t="shared" si="13"/>
        <v>13.5</v>
      </c>
      <c r="DM27" s="98"/>
      <c r="DN27" s="86">
        <f t="shared" si="19"/>
        <v>11</v>
      </c>
      <c r="DO27" s="99">
        <v>1.5</v>
      </c>
      <c r="DP27" s="105">
        <v>1.5</v>
      </c>
      <c r="DQ27" s="87">
        <v>1.5</v>
      </c>
      <c r="DR27" s="98">
        <f t="shared" si="14"/>
        <v>15.5</v>
      </c>
      <c r="DS27" s="86">
        <f>DB27+(2*CZ27)</f>
        <v>12</v>
      </c>
      <c r="DT27" s="99">
        <v>2</v>
      </c>
      <c r="DU27" s="105">
        <v>1.5</v>
      </c>
      <c r="DV27" s="87">
        <v>2</v>
      </c>
      <c r="DW27" s="98">
        <f>SUM(DS27:DV27)</f>
        <v>17.5</v>
      </c>
      <c r="EB27" s="2" t="s">
        <v>193</v>
      </c>
      <c r="EC27" s="17">
        <v>3</v>
      </c>
      <c r="ED27" s="18">
        <v>4</v>
      </c>
      <c r="EE27" s="18">
        <v>5</v>
      </c>
      <c r="EF27" s="124">
        <v>6</v>
      </c>
      <c r="EG27" s="17">
        <v>6</v>
      </c>
      <c r="EH27" s="18">
        <v>8</v>
      </c>
      <c r="EI27" s="18">
        <v>9</v>
      </c>
      <c r="EJ27" s="124">
        <v>11</v>
      </c>
      <c r="EK27" s="17">
        <v>7</v>
      </c>
      <c r="EL27" s="18">
        <v>8</v>
      </c>
      <c r="EM27" s="124">
        <v>9</v>
      </c>
      <c r="EN27" s="17">
        <v>9</v>
      </c>
      <c r="EO27" s="18">
        <v>9</v>
      </c>
      <c r="EP27" s="124">
        <v>11</v>
      </c>
      <c r="ES27" s="17" t="s">
        <v>164</v>
      </c>
      <c r="ET27" s="18"/>
      <c r="EU27" s="18"/>
      <c r="EV27" s="72">
        <f t="shared" si="26"/>
        <v>0</v>
      </c>
      <c r="EW27" s="18"/>
      <c r="EX27" s="19" t="str">
        <f>IF(ET27=0,"0",IF(ET27=1,"5","10"))</f>
        <v>0</v>
      </c>
      <c r="EY27" s="20">
        <f>4</f>
        <v>4</v>
      </c>
      <c r="FG27" s="2" t="s">
        <v>172</v>
      </c>
      <c r="FH27" s="2">
        <v>1</v>
      </c>
      <c r="FI27" s="43" t="s">
        <v>162</v>
      </c>
      <c r="FJ27" s="43" t="s">
        <v>94</v>
      </c>
      <c r="FK27" s="43" t="s">
        <v>94</v>
      </c>
      <c r="FL27" s="43"/>
      <c r="FM27" s="2" t="s">
        <v>94</v>
      </c>
      <c r="FN27" s="2" t="s">
        <v>94</v>
      </c>
      <c r="FO27" s="26">
        <f t="shared" si="27"/>
        <v>17.5</v>
      </c>
      <c r="FP27" s="2"/>
      <c r="FQ27" s="4" t="str">
        <f>IF(FI27=0,"0",IF(FI27="5/16","5",IF(FI27="3/8","5.5",IF(FI27="1/2","7.5",IF(FI27="5/8","8.5",IF(FI27="3/4","9","5"))))))</f>
        <v>5.5</v>
      </c>
      <c r="FR27" s="4" t="str">
        <f t="shared" si="28"/>
        <v>3</v>
      </c>
      <c r="FS27" s="4" t="str">
        <f t="shared" si="28"/>
        <v>3</v>
      </c>
      <c r="FT27" s="4" t="str">
        <f t="shared" si="29"/>
        <v>2</v>
      </c>
      <c r="FU27" s="4" t="str">
        <f t="shared" si="30"/>
        <v>4</v>
      </c>
      <c r="FV27" s="44" t="str">
        <f t="shared" si="31"/>
        <v>5.5</v>
      </c>
      <c r="FW27" s="45" t="s">
        <v>172</v>
      </c>
      <c r="FX27" s="2"/>
      <c r="FY27" s="2" t="s">
        <v>363</v>
      </c>
      <c r="FZ27" s="2"/>
      <c r="GA27" s="2"/>
      <c r="GB27" s="2"/>
      <c r="GD27" s="43" t="s">
        <v>174</v>
      </c>
      <c r="JB27" s="2"/>
      <c r="JC27" s="2"/>
      <c r="JD27" s="2"/>
      <c r="JE27" s="2" t="s">
        <v>364</v>
      </c>
      <c r="JF27" s="2">
        <f>SUM(JF22:JF25)</f>
        <v>0</v>
      </c>
      <c r="JG27" s="2"/>
      <c r="JH27" s="2"/>
    </row>
    <row r="28" spans="1:323" ht="15.75" customHeight="1" thickBot="1" x14ac:dyDescent="0.3">
      <c r="A28" s="130" t="s">
        <v>365</v>
      </c>
      <c r="B28" s="54">
        <v>1</v>
      </c>
      <c r="C28" s="53" t="s">
        <v>216</v>
      </c>
      <c r="D28" s="12" t="s">
        <v>119</v>
      </c>
      <c r="E28" s="100">
        <v>450</v>
      </c>
      <c r="F28" s="134">
        <v>6</v>
      </c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Y28" s="53" t="s">
        <v>121</v>
      </c>
      <c r="Z28" s="54">
        <v>1</v>
      </c>
      <c r="AA28" s="53" t="s">
        <v>366</v>
      </c>
      <c r="AB28" s="12" t="s">
        <v>123</v>
      </c>
      <c r="AC28" s="100"/>
      <c r="AD28" s="101"/>
      <c r="AE28" s="57"/>
      <c r="AF28" s="58" t="s">
        <v>347</v>
      </c>
      <c r="AH28" s="53" t="s">
        <v>121</v>
      </c>
      <c r="AI28" s="54">
        <v>1</v>
      </c>
      <c r="AJ28" s="53" t="s">
        <v>367</v>
      </c>
      <c r="AK28" s="12" t="s">
        <v>123</v>
      </c>
      <c r="AL28" s="100"/>
      <c r="AM28" s="101"/>
      <c r="AN28" s="57"/>
      <c r="AO28" s="58" t="s">
        <v>347</v>
      </c>
      <c r="AX28" s="53" t="s">
        <v>121</v>
      </c>
      <c r="AY28" s="54">
        <v>1</v>
      </c>
      <c r="AZ28" s="53" t="s">
        <v>366</v>
      </c>
      <c r="BA28" s="12" t="s">
        <v>128</v>
      </c>
      <c r="BB28" s="100"/>
      <c r="BC28" s="102"/>
      <c r="BD28" s="57"/>
      <c r="BE28" s="59" t="s">
        <v>129</v>
      </c>
      <c r="BG28" s="53" t="s">
        <v>121</v>
      </c>
      <c r="BH28" s="54">
        <v>1</v>
      </c>
      <c r="BI28" s="53" t="s">
        <v>367</v>
      </c>
      <c r="BJ28" s="12" t="s">
        <v>128</v>
      </c>
      <c r="BK28" s="100"/>
      <c r="BL28" s="102"/>
      <c r="BM28" s="57"/>
      <c r="BN28" s="59" t="s">
        <v>129</v>
      </c>
      <c r="BX28" s="53" t="s">
        <v>121</v>
      </c>
      <c r="BY28" s="54">
        <v>1</v>
      </c>
      <c r="BZ28" s="53" t="s">
        <v>366</v>
      </c>
      <c r="CA28" s="12" t="s">
        <v>130</v>
      </c>
      <c r="CB28" s="100"/>
      <c r="CC28" s="101"/>
      <c r="CD28" s="57"/>
      <c r="CE28" s="58" t="s">
        <v>131</v>
      </c>
      <c r="CG28" s="53" t="s">
        <v>121</v>
      </c>
      <c r="CH28" s="54">
        <v>1</v>
      </c>
      <c r="CI28" s="53" t="s">
        <v>367</v>
      </c>
      <c r="CJ28" s="12" t="s">
        <v>130</v>
      </c>
      <c r="CK28" s="100"/>
      <c r="CL28" s="101"/>
      <c r="CM28" s="57"/>
      <c r="CN28" s="58" t="s">
        <v>131</v>
      </c>
      <c r="CX28" s="92"/>
      <c r="CY28" s="93"/>
      <c r="CZ28" s="94"/>
      <c r="DA28" s="95"/>
      <c r="DB28" s="135"/>
      <c r="DC28" s="136"/>
      <c r="DD28" s="136"/>
      <c r="DE28" s="137"/>
      <c r="DF28" s="138"/>
      <c r="DG28" s="139"/>
      <c r="DH28" s="86">
        <f t="shared" si="18"/>
        <v>0</v>
      </c>
      <c r="DI28" s="140"/>
      <c r="DJ28" s="140"/>
      <c r="DK28" s="141"/>
      <c r="DL28" s="142"/>
      <c r="DM28" s="142"/>
      <c r="DN28" s="143"/>
      <c r="DO28" s="140"/>
      <c r="DP28" s="140"/>
      <c r="DQ28" s="97"/>
      <c r="DR28" s="142"/>
      <c r="DS28" s="143"/>
      <c r="DT28" s="140"/>
      <c r="DU28" s="140"/>
      <c r="DV28" s="97"/>
      <c r="DW28" s="142"/>
      <c r="EB28" s="2" t="s">
        <v>214</v>
      </c>
      <c r="EC28" s="17">
        <v>3</v>
      </c>
      <c r="ED28" s="18">
        <v>4</v>
      </c>
      <c r="EE28" s="18">
        <v>5</v>
      </c>
      <c r="EF28" s="124">
        <v>6</v>
      </c>
      <c r="EG28" s="17">
        <v>7</v>
      </c>
      <c r="EH28" s="18">
        <v>9</v>
      </c>
      <c r="EI28" s="18">
        <v>11</v>
      </c>
      <c r="EJ28" s="124">
        <v>13</v>
      </c>
      <c r="EK28" s="17">
        <v>8</v>
      </c>
      <c r="EL28" s="18">
        <v>9</v>
      </c>
      <c r="EM28" s="124">
        <v>10</v>
      </c>
      <c r="EN28" s="17">
        <v>9</v>
      </c>
      <c r="EO28" s="18">
        <v>9</v>
      </c>
      <c r="EP28" s="124">
        <v>11</v>
      </c>
      <c r="ES28" s="17" t="s">
        <v>178</v>
      </c>
      <c r="ET28" s="18"/>
      <c r="EU28" s="18"/>
      <c r="EV28" s="72">
        <f t="shared" si="26"/>
        <v>0</v>
      </c>
      <c r="EW28" s="18"/>
      <c r="EX28" s="19" t="str">
        <f>IF(ET28=0,"0",IF(ET28=1,"6","12"))</f>
        <v>0</v>
      </c>
      <c r="EY28" s="20">
        <f>4</f>
        <v>4</v>
      </c>
      <c r="FG28" s="2" t="s">
        <v>186</v>
      </c>
      <c r="FH28" s="2">
        <v>1</v>
      </c>
      <c r="FI28" s="43" t="s">
        <v>162</v>
      </c>
      <c r="FJ28" s="43" t="s">
        <v>94</v>
      </c>
      <c r="FK28" s="43" t="s">
        <v>94</v>
      </c>
      <c r="FL28" s="43"/>
      <c r="FM28" s="2" t="s">
        <v>94</v>
      </c>
      <c r="FN28" s="2" t="s">
        <v>94</v>
      </c>
      <c r="FO28" s="26">
        <f t="shared" si="27"/>
        <v>19.5</v>
      </c>
      <c r="FP28" s="2"/>
      <c r="FQ28" s="4" t="str">
        <f>IF(FI28=0,"0",IF(FI28="5/16","7",IF(FI28="3/8","7.5",IF(FI28="1/2","9",IF(FI28="5/8","10.5",IF(FI28="3/4","11.5","7"))))))</f>
        <v>7.5</v>
      </c>
      <c r="FR28" s="4" t="str">
        <f t="shared" si="28"/>
        <v>3</v>
      </c>
      <c r="FS28" s="4" t="str">
        <f t="shared" si="28"/>
        <v>3</v>
      </c>
      <c r="FT28" s="4" t="str">
        <f t="shared" si="29"/>
        <v>2</v>
      </c>
      <c r="FU28" s="4" t="str">
        <f t="shared" si="30"/>
        <v>4</v>
      </c>
      <c r="FV28" s="44" t="str">
        <f t="shared" si="31"/>
        <v>7.5</v>
      </c>
      <c r="FW28" s="45" t="s">
        <v>186</v>
      </c>
      <c r="FX28" s="2"/>
      <c r="FY28" s="2" t="s">
        <v>368</v>
      </c>
      <c r="FZ28" s="2"/>
      <c r="GA28" s="2"/>
      <c r="GB28" s="2"/>
      <c r="GD28" s="43" t="s">
        <v>188</v>
      </c>
    </row>
    <row r="29" spans="1:323" ht="15.75" customHeight="1" thickBot="1" x14ac:dyDescent="0.3">
      <c r="A29" s="24" t="s">
        <v>369</v>
      </c>
      <c r="B29" s="12">
        <v>1</v>
      </c>
      <c r="C29" s="74" t="s">
        <v>370</v>
      </c>
      <c r="D29" s="12"/>
      <c r="E29" s="100">
        <f>B29*350</f>
        <v>350</v>
      </c>
      <c r="F29" s="134">
        <f>B29*2</f>
        <v>2</v>
      </c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Y29" s="53" t="s">
        <v>121</v>
      </c>
      <c r="Z29" s="54">
        <v>1</v>
      </c>
      <c r="AA29" s="53" t="s">
        <v>371</v>
      </c>
      <c r="AB29" s="12" t="s">
        <v>123</v>
      </c>
      <c r="AC29" s="100"/>
      <c r="AD29" s="101"/>
      <c r="AE29" s="57"/>
      <c r="AF29" s="58" t="s">
        <v>347</v>
      </c>
      <c r="AH29" s="53" t="s">
        <v>121</v>
      </c>
      <c r="AI29" s="54">
        <v>1</v>
      </c>
      <c r="AJ29" s="53" t="s">
        <v>372</v>
      </c>
      <c r="AK29" s="12" t="s">
        <v>123</v>
      </c>
      <c r="AL29" s="100"/>
      <c r="AM29" s="101"/>
      <c r="AN29" s="57"/>
      <c r="AO29" s="58" t="s">
        <v>347</v>
      </c>
      <c r="AX29" s="53" t="s">
        <v>121</v>
      </c>
      <c r="AY29" s="54">
        <v>1</v>
      </c>
      <c r="AZ29" s="53" t="s">
        <v>371</v>
      </c>
      <c r="BA29" s="12" t="s">
        <v>128</v>
      </c>
      <c r="BB29" s="100">
        <f>AY29*129</f>
        <v>129</v>
      </c>
      <c r="BC29" s="102"/>
      <c r="BD29" s="57">
        <v>45376</v>
      </c>
      <c r="BE29" s="59" t="s">
        <v>129</v>
      </c>
      <c r="BG29" s="53" t="s">
        <v>121</v>
      </c>
      <c r="BH29" s="54">
        <v>1</v>
      </c>
      <c r="BI29" s="53" t="s">
        <v>372</v>
      </c>
      <c r="BJ29" s="12" t="s">
        <v>128</v>
      </c>
      <c r="BK29" s="100">
        <f>BH29*138</f>
        <v>138</v>
      </c>
      <c r="BL29" s="102"/>
      <c r="BM29" s="57">
        <v>45376</v>
      </c>
      <c r="BN29" s="59" t="s">
        <v>129</v>
      </c>
      <c r="BX29" s="53" t="s">
        <v>121</v>
      </c>
      <c r="BY29" s="54">
        <v>1</v>
      </c>
      <c r="BZ29" s="53" t="s">
        <v>371</v>
      </c>
      <c r="CA29" s="12" t="s">
        <v>130</v>
      </c>
      <c r="CB29" s="100"/>
      <c r="CC29" s="60"/>
      <c r="CD29" s="57"/>
      <c r="CE29" s="58" t="s">
        <v>131</v>
      </c>
      <c r="CG29" s="53" t="s">
        <v>121</v>
      </c>
      <c r="CH29" s="54">
        <v>1</v>
      </c>
      <c r="CI29" s="53" t="s">
        <v>372</v>
      </c>
      <c r="CJ29" s="12" t="s">
        <v>130</v>
      </c>
      <c r="CK29" s="100">
        <f>CH29*196</f>
        <v>196</v>
      </c>
      <c r="CL29" s="60"/>
      <c r="CM29" s="57">
        <v>45376</v>
      </c>
      <c r="CN29" s="58" t="s">
        <v>131</v>
      </c>
      <c r="CX29" s="144"/>
      <c r="CY29" s="145"/>
      <c r="CZ29" s="146"/>
      <c r="DA29" s="147"/>
      <c r="DB29" s="148"/>
      <c r="DC29" s="149"/>
      <c r="DD29" s="149"/>
      <c r="DE29" s="150"/>
      <c r="DF29" s="151"/>
      <c r="DG29" s="152"/>
      <c r="DH29" s="153"/>
      <c r="DI29" s="154"/>
      <c r="DJ29" s="154"/>
      <c r="DK29" s="155"/>
      <c r="DL29" s="156"/>
      <c r="DM29" s="157"/>
      <c r="DN29" s="153"/>
      <c r="DO29" s="154"/>
      <c r="DP29" s="154"/>
      <c r="DQ29" s="155"/>
      <c r="DR29" s="156"/>
      <c r="DS29" s="153"/>
      <c r="DT29" s="154"/>
      <c r="DU29" s="154"/>
      <c r="DV29" s="155"/>
      <c r="DW29" s="156"/>
      <c r="EB29" s="2" t="s">
        <v>225</v>
      </c>
      <c r="EC29" s="17">
        <v>5</v>
      </c>
      <c r="ED29" s="18">
        <v>7</v>
      </c>
      <c r="EE29" s="18">
        <v>9</v>
      </c>
      <c r="EF29" s="124">
        <v>11</v>
      </c>
      <c r="EG29" s="17">
        <v>8</v>
      </c>
      <c r="EH29" s="18">
        <v>10</v>
      </c>
      <c r="EI29" s="18">
        <v>12</v>
      </c>
      <c r="EJ29" s="124">
        <v>14</v>
      </c>
      <c r="EK29" s="17">
        <v>9</v>
      </c>
      <c r="EL29" s="18">
        <v>10</v>
      </c>
      <c r="EM29" s="124">
        <v>11</v>
      </c>
      <c r="EN29" s="17">
        <v>10</v>
      </c>
      <c r="EO29" s="18">
        <v>10</v>
      </c>
      <c r="EP29" s="124">
        <v>12</v>
      </c>
      <c r="ES29" s="17" t="s">
        <v>193</v>
      </c>
      <c r="ET29" s="18"/>
      <c r="EU29" s="18"/>
      <c r="EV29" s="72">
        <f t="shared" si="26"/>
        <v>0</v>
      </c>
      <c r="EW29" s="18"/>
      <c r="EX29" s="19" t="str">
        <f>IF(ET29=0,"0",IF(ET29=1,"7","14"))</f>
        <v>0</v>
      </c>
      <c r="EY29" s="20">
        <f>4</f>
        <v>4</v>
      </c>
      <c r="FG29" s="2" t="s">
        <v>209</v>
      </c>
      <c r="FH29" s="2">
        <v>1</v>
      </c>
      <c r="FI29" s="43" t="s">
        <v>162</v>
      </c>
      <c r="FJ29" s="43" t="s">
        <v>94</v>
      </c>
      <c r="FK29" s="43" t="s">
        <v>94</v>
      </c>
      <c r="FL29" s="43"/>
      <c r="FM29" s="2" t="s">
        <v>94</v>
      </c>
      <c r="FN29" s="2" t="s">
        <v>94</v>
      </c>
      <c r="FO29" s="26">
        <f t="shared" si="27"/>
        <v>20.5</v>
      </c>
      <c r="FP29" s="2"/>
      <c r="FQ29" s="4" t="str">
        <f>IF(FI29=0,"0",IF(FI29="5/16","8",IF(FI29="3/8","8.5",IF(FI29="1/2","11",IF(FI29="5/8","13",IF(FI29="3/4","14","8"))))))</f>
        <v>8.5</v>
      </c>
      <c r="FR29" s="4" t="str">
        <f t="shared" si="28"/>
        <v>3</v>
      </c>
      <c r="FS29" s="4" t="str">
        <f t="shared" si="28"/>
        <v>3</v>
      </c>
      <c r="FT29" s="4" t="str">
        <f t="shared" si="29"/>
        <v>2</v>
      </c>
      <c r="FU29" s="4" t="str">
        <f t="shared" si="30"/>
        <v>4</v>
      </c>
      <c r="FV29" s="44" t="str">
        <f t="shared" si="31"/>
        <v>8.5</v>
      </c>
      <c r="FW29" s="45" t="s">
        <v>209</v>
      </c>
      <c r="FX29" s="2"/>
      <c r="FY29" s="2" t="s">
        <v>235</v>
      </c>
      <c r="FZ29" s="2"/>
      <c r="GA29" s="2"/>
      <c r="GB29" s="2"/>
      <c r="GD29" s="43" t="s">
        <v>211</v>
      </c>
    </row>
    <row r="30" spans="1:323" ht="15.75" customHeight="1" thickBot="1" x14ac:dyDescent="0.3">
      <c r="A30" s="130" t="s">
        <v>373</v>
      </c>
      <c r="B30" s="54">
        <v>1</v>
      </c>
      <c r="C30" s="53" t="s">
        <v>374</v>
      </c>
      <c r="D30" s="12" t="s">
        <v>119</v>
      </c>
      <c r="E30" s="100">
        <f>48*96*11.16/144*2.09</f>
        <v>746.38079999999991</v>
      </c>
      <c r="F30" s="134">
        <f>B30*10</f>
        <v>10</v>
      </c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Y30" s="53" t="s">
        <v>121</v>
      </c>
      <c r="Z30" s="54">
        <v>1</v>
      </c>
      <c r="AA30" s="53" t="s">
        <v>375</v>
      </c>
      <c r="AB30" s="12" t="s">
        <v>123</v>
      </c>
      <c r="AC30" s="114"/>
      <c r="AD30" s="61"/>
      <c r="AE30" s="57"/>
      <c r="AF30" s="58" t="s">
        <v>347</v>
      </c>
      <c r="AH30" s="53" t="s">
        <v>121</v>
      </c>
      <c r="AI30" s="54">
        <v>1</v>
      </c>
      <c r="AJ30" s="53" t="s">
        <v>376</v>
      </c>
      <c r="AK30" s="12" t="s">
        <v>123</v>
      </c>
      <c r="AL30" s="114"/>
      <c r="AM30" s="61"/>
      <c r="AN30" s="57"/>
      <c r="AO30" s="58" t="s">
        <v>347</v>
      </c>
      <c r="AX30" s="53" t="s">
        <v>121</v>
      </c>
      <c r="AY30" s="54">
        <v>1</v>
      </c>
      <c r="AZ30" s="53" t="s">
        <v>375</v>
      </c>
      <c r="BA30" s="12" t="s">
        <v>128</v>
      </c>
      <c r="BB30" s="114">
        <f>AY30*217</f>
        <v>217</v>
      </c>
      <c r="BC30" s="76"/>
      <c r="BD30" s="57">
        <v>45376</v>
      </c>
      <c r="BE30" s="59" t="s">
        <v>129</v>
      </c>
      <c r="BG30" s="53" t="s">
        <v>121</v>
      </c>
      <c r="BH30" s="54">
        <v>1</v>
      </c>
      <c r="BI30" s="53" t="s">
        <v>376</v>
      </c>
      <c r="BJ30" s="12" t="s">
        <v>128</v>
      </c>
      <c r="BK30" s="114">
        <f>BH30*233</f>
        <v>233</v>
      </c>
      <c r="BL30" s="76"/>
      <c r="BM30" s="57">
        <v>45376</v>
      </c>
      <c r="BN30" s="59" t="s">
        <v>129</v>
      </c>
      <c r="BX30" s="53" t="s">
        <v>121</v>
      </c>
      <c r="BY30" s="54">
        <v>1</v>
      </c>
      <c r="BZ30" s="53" t="s">
        <v>375</v>
      </c>
      <c r="CA30" s="12" t="s">
        <v>130</v>
      </c>
      <c r="CB30" s="114"/>
      <c r="CC30" s="65"/>
      <c r="CD30" s="57"/>
      <c r="CE30" s="58" t="s">
        <v>131</v>
      </c>
      <c r="CG30" s="53" t="s">
        <v>121</v>
      </c>
      <c r="CH30" s="54">
        <v>1</v>
      </c>
      <c r="CI30" s="53" t="s">
        <v>376</v>
      </c>
      <c r="CJ30" s="12" t="s">
        <v>130</v>
      </c>
      <c r="CK30" s="114">
        <f>CH30*323</f>
        <v>323</v>
      </c>
      <c r="CL30" s="65"/>
      <c r="CM30" s="57">
        <v>45376</v>
      </c>
      <c r="CN30" s="58" t="s">
        <v>131</v>
      </c>
      <c r="EB30" s="2" t="s">
        <v>237</v>
      </c>
      <c r="EC30" s="17">
        <v>5</v>
      </c>
      <c r="ED30" s="18">
        <v>7</v>
      </c>
      <c r="EE30" s="18">
        <v>9</v>
      </c>
      <c r="EF30" s="124">
        <v>11</v>
      </c>
      <c r="EG30" s="17">
        <v>8</v>
      </c>
      <c r="EH30" s="18">
        <v>10</v>
      </c>
      <c r="EI30" s="18">
        <v>12</v>
      </c>
      <c r="EJ30" s="124">
        <v>14</v>
      </c>
      <c r="EK30" s="17">
        <v>10</v>
      </c>
      <c r="EL30" s="18">
        <v>11</v>
      </c>
      <c r="EM30" s="124">
        <v>12</v>
      </c>
      <c r="EN30" s="17">
        <v>12</v>
      </c>
      <c r="EO30" s="18">
        <v>12</v>
      </c>
      <c r="EP30" s="124">
        <v>15</v>
      </c>
      <c r="ES30" s="17" t="s">
        <v>214</v>
      </c>
      <c r="ET30" s="18"/>
      <c r="EU30" s="18"/>
      <c r="EV30" s="72">
        <f t="shared" si="26"/>
        <v>0</v>
      </c>
      <c r="EW30" s="18"/>
      <c r="EX30" s="19" t="str">
        <f>IF(ET30=0,"0",IF(ET30=1,"9","18"))</f>
        <v>0</v>
      </c>
      <c r="EY30" s="20">
        <f>4</f>
        <v>4</v>
      </c>
      <c r="FG30" s="2" t="s">
        <v>222</v>
      </c>
      <c r="FH30" s="2">
        <v>1</v>
      </c>
      <c r="FI30" s="43" t="s">
        <v>162</v>
      </c>
      <c r="FJ30" s="43" t="s">
        <v>94</v>
      </c>
      <c r="FK30" s="43" t="s">
        <v>94</v>
      </c>
      <c r="FL30" s="43"/>
      <c r="FM30" s="2" t="s">
        <v>94</v>
      </c>
      <c r="FN30" s="2" t="s">
        <v>94</v>
      </c>
      <c r="FO30" s="26">
        <f t="shared" si="27"/>
        <v>24.5</v>
      </c>
      <c r="FP30" s="2"/>
      <c r="FQ30" s="4" t="str">
        <f>IF(FI30=0,"0",IF(FI30="5/16","10",IF(FI30="3/8","10.5",IF(FI30="1/2","13.5",IF(FI30="5/8","15.5",IF(FI30="3/4","16","10"))))))</f>
        <v>10.5</v>
      </c>
      <c r="FR30" s="4" t="str">
        <f t="shared" ref="FR30:FS33" si="32">IF(FJ30="Yes","4","0")</f>
        <v>4</v>
      </c>
      <c r="FS30" s="4" t="str">
        <f t="shared" si="32"/>
        <v>4</v>
      </c>
      <c r="FT30" s="4" t="str">
        <f t="shared" si="29"/>
        <v>2</v>
      </c>
      <c r="FU30" s="4" t="str">
        <f t="shared" si="30"/>
        <v>4</v>
      </c>
      <c r="FV30" s="44" t="str">
        <f t="shared" si="31"/>
        <v>10.5</v>
      </c>
      <c r="FW30" s="45" t="s">
        <v>222</v>
      </c>
      <c r="FX30" s="2"/>
      <c r="FY30" s="2" t="s">
        <v>377</v>
      </c>
      <c r="FZ30" s="2"/>
      <c r="GA30" s="2"/>
      <c r="GB30" s="2"/>
      <c r="GD30" s="43"/>
    </row>
    <row r="31" spans="1:323" ht="15.75" thickBot="1" x14ac:dyDescent="0.3">
      <c r="A31" s="129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Y31" s="53" t="s">
        <v>121</v>
      </c>
      <c r="Z31" s="54">
        <v>1</v>
      </c>
      <c r="AA31" s="53" t="s">
        <v>378</v>
      </c>
      <c r="AB31" s="12" t="s">
        <v>123</v>
      </c>
      <c r="AC31" s="100"/>
      <c r="AD31" s="61"/>
      <c r="AE31" s="57"/>
      <c r="AF31" s="58" t="s">
        <v>347</v>
      </c>
      <c r="AH31" s="53" t="s">
        <v>121</v>
      </c>
      <c r="AI31" s="54">
        <v>1</v>
      </c>
      <c r="AJ31" s="53" t="s">
        <v>379</v>
      </c>
      <c r="AK31" s="12" t="s">
        <v>123</v>
      </c>
      <c r="AL31" s="100"/>
      <c r="AM31" s="61"/>
      <c r="AN31" s="57"/>
      <c r="AO31" s="58" t="s">
        <v>347</v>
      </c>
      <c r="AX31" s="53" t="s">
        <v>121</v>
      </c>
      <c r="AY31" s="54">
        <v>1</v>
      </c>
      <c r="AZ31" s="53" t="s">
        <v>378</v>
      </c>
      <c r="BA31" s="12" t="s">
        <v>128</v>
      </c>
      <c r="BB31" s="100">
        <f>AY31*321</f>
        <v>321</v>
      </c>
      <c r="BC31" s="76"/>
      <c r="BD31" s="57">
        <v>45376</v>
      </c>
      <c r="BE31" s="59" t="s">
        <v>129</v>
      </c>
      <c r="BG31" s="53" t="s">
        <v>121</v>
      </c>
      <c r="BH31" s="54">
        <v>1</v>
      </c>
      <c r="BI31" s="53" t="s">
        <v>379</v>
      </c>
      <c r="BJ31" s="12" t="s">
        <v>128</v>
      </c>
      <c r="BK31" s="100">
        <f>BH31*344</f>
        <v>344</v>
      </c>
      <c r="BL31" s="76"/>
      <c r="BM31" s="57">
        <v>45376</v>
      </c>
      <c r="BN31" s="59" t="s">
        <v>129</v>
      </c>
      <c r="BX31" s="53" t="s">
        <v>121</v>
      </c>
      <c r="BY31" s="54">
        <v>1</v>
      </c>
      <c r="BZ31" s="53" t="s">
        <v>378</v>
      </c>
      <c r="CA31" s="12" t="s">
        <v>130</v>
      </c>
      <c r="CB31" s="100"/>
      <c r="CC31" s="65"/>
      <c r="CD31" s="57"/>
      <c r="CE31" s="58" t="s">
        <v>131</v>
      </c>
      <c r="CG31" s="53" t="s">
        <v>121</v>
      </c>
      <c r="CH31" s="54">
        <v>1</v>
      </c>
      <c r="CI31" s="53" t="s">
        <v>379</v>
      </c>
      <c r="CJ31" s="12" t="s">
        <v>130</v>
      </c>
      <c r="CK31" s="100"/>
      <c r="CL31" s="65"/>
      <c r="CM31" s="57"/>
      <c r="CN31" s="58" t="s">
        <v>131</v>
      </c>
      <c r="EB31" s="2" t="s">
        <v>248</v>
      </c>
      <c r="EC31" s="17">
        <v>5</v>
      </c>
      <c r="ED31" s="18">
        <v>7</v>
      </c>
      <c r="EE31" s="18">
        <v>9</v>
      </c>
      <c r="EF31" s="124">
        <v>11</v>
      </c>
      <c r="EG31" s="17">
        <v>8</v>
      </c>
      <c r="EH31" s="18">
        <v>10</v>
      </c>
      <c r="EI31" s="18">
        <v>12</v>
      </c>
      <c r="EJ31" s="124">
        <v>14</v>
      </c>
      <c r="EK31" s="17">
        <v>11</v>
      </c>
      <c r="EL31" s="18">
        <v>12</v>
      </c>
      <c r="EM31" s="124">
        <v>13</v>
      </c>
      <c r="EN31" s="17">
        <v>12</v>
      </c>
      <c r="EO31" s="18">
        <v>12</v>
      </c>
      <c r="EP31" s="124">
        <v>15</v>
      </c>
      <c r="ES31" s="17" t="s">
        <v>225</v>
      </c>
      <c r="ET31" s="18"/>
      <c r="EU31" s="18"/>
      <c r="EV31" s="72">
        <f t="shared" si="26"/>
        <v>0</v>
      </c>
      <c r="EW31" s="18"/>
      <c r="EX31" s="19" t="str">
        <f>IF(ET31=0,"0",IF(ET31=1,"10","20"))</f>
        <v>0</v>
      </c>
      <c r="EY31" s="20">
        <f>4</f>
        <v>4</v>
      </c>
      <c r="FG31" s="2" t="s">
        <v>234</v>
      </c>
      <c r="FH31" s="2">
        <v>1</v>
      </c>
      <c r="FI31" s="43" t="s">
        <v>162</v>
      </c>
      <c r="FJ31" s="43" t="s">
        <v>94</v>
      </c>
      <c r="FK31" s="43" t="s">
        <v>94</v>
      </c>
      <c r="FL31" s="43"/>
      <c r="FM31" s="2" t="s">
        <v>94</v>
      </c>
      <c r="FN31" s="2" t="s">
        <v>94</v>
      </c>
      <c r="FO31" s="26">
        <f t="shared" si="27"/>
        <v>27</v>
      </c>
      <c r="FP31" s="2"/>
      <c r="FQ31" s="4" t="str">
        <f>IF(FI31=0,"0",IF(FI31="5/16","12",IF(FI31="3/8","13",IF(FI31="1/2","17",IF(FI31="5/8","20",IF(FI31="3/4","22","12"))))))</f>
        <v>13</v>
      </c>
      <c r="FR31" s="4" t="str">
        <f t="shared" si="32"/>
        <v>4</v>
      </c>
      <c r="FS31" s="4" t="str">
        <f t="shared" si="32"/>
        <v>4</v>
      </c>
      <c r="FT31" s="4" t="str">
        <f t="shared" si="29"/>
        <v>2</v>
      </c>
      <c r="FU31" s="4" t="str">
        <f t="shared" si="30"/>
        <v>4</v>
      </c>
      <c r="FV31" s="44" t="str">
        <f t="shared" si="31"/>
        <v>13</v>
      </c>
      <c r="FW31" s="45" t="s">
        <v>234</v>
      </c>
      <c r="FX31" s="2"/>
      <c r="FY31" s="2" t="s">
        <v>246</v>
      </c>
      <c r="FZ31" s="2"/>
      <c r="GA31" s="2"/>
      <c r="GB31" s="2"/>
      <c r="GD31" s="43"/>
    </row>
    <row r="32" spans="1:323" ht="15.75" thickBot="1" x14ac:dyDescent="0.3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Y32" s="53" t="s">
        <v>121</v>
      </c>
      <c r="Z32" s="54">
        <v>1</v>
      </c>
      <c r="AA32" s="53" t="s">
        <v>380</v>
      </c>
      <c r="AB32" s="12" t="s">
        <v>123</v>
      </c>
      <c r="AC32" s="118"/>
      <c r="AD32" s="61"/>
      <c r="AE32" s="57"/>
      <c r="AF32" s="58" t="s">
        <v>347</v>
      </c>
      <c r="AH32" s="53" t="s">
        <v>121</v>
      </c>
      <c r="AI32" s="54">
        <v>1</v>
      </c>
      <c r="AJ32" s="53" t="s">
        <v>381</v>
      </c>
      <c r="AK32" s="12" t="s">
        <v>123</v>
      </c>
      <c r="AL32" s="118"/>
      <c r="AM32" s="61"/>
      <c r="AN32" s="57"/>
      <c r="AO32" s="58" t="s">
        <v>347</v>
      </c>
      <c r="AX32" s="53" t="s">
        <v>121</v>
      </c>
      <c r="AY32" s="54">
        <v>1</v>
      </c>
      <c r="AZ32" s="53" t="s">
        <v>380</v>
      </c>
      <c r="BA32" s="12" t="s">
        <v>128</v>
      </c>
      <c r="BB32" s="114">
        <f>AY32*500</f>
        <v>500</v>
      </c>
      <c r="BC32" s="76"/>
      <c r="BD32" s="57">
        <v>45376</v>
      </c>
      <c r="BE32" s="59" t="s">
        <v>129</v>
      </c>
      <c r="BG32" s="53" t="s">
        <v>121</v>
      </c>
      <c r="BH32" s="54">
        <v>1</v>
      </c>
      <c r="BI32" s="53" t="s">
        <v>381</v>
      </c>
      <c r="BJ32" s="12" t="s">
        <v>128</v>
      </c>
      <c r="BK32" s="114"/>
      <c r="BL32" s="76"/>
      <c r="BM32" s="57"/>
      <c r="BN32" s="59" t="s">
        <v>129</v>
      </c>
      <c r="BX32" s="53" t="s">
        <v>121</v>
      </c>
      <c r="BY32" s="54">
        <v>1</v>
      </c>
      <c r="BZ32" s="53" t="s">
        <v>380</v>
      </c>
      <c r="CA32" s="12" t="s">
        <v>130</v>
      </c>
      <c r="CB32" s="118"/>
      <c r="CC32" s="65"/>
      <c r="CD32" s="57"/>
      <c r="CE32" s="58" t="s">
        <v>131</v>
      </c>
      <c r="CG32" s="53" t="s">
        <v>121</v>
      </c>
      <c r="CH32" s="54">
        <v>1</v>
      </c>
      <c r="CI32" s="53" t="s">
        <v>381</v>
      </c>
      <c r="CJ32" s="12" t="s">
        <v>130</v>
      </c>
      <c r="CK32" s="118"/>
      <c r="CL32" s="65"/>
      <c r="CM32" s="57"/>
      <c r="CN32" s="58" t="s">
        <v>131</v>
      </c>
      <c r="EB32" s="2" t="s">
        <v>256</v>
      </c>
      <c r="EC32" s="17">
        <v>5</v>
      </c>
      <c r="ED32" s="18">
        <v>7</v>
      </c>
      <c r="EE32" s="18">
        <v>9</v>
      </c>
      <c r="EF32" s="124">
        <v>11</v>
      </c>
      <c r="EG32" s="17">
        <v>8</v>
      </c>
      <c r="EH32" s="18">
        <v>10</v>
      </c>
      <c r="EI32" s="18">
        <v>12</v>
      </c>
      <c r="EJ32" s="124">
        <v>14</v>
      </c>
      <c r="EK32" s="17">
        <v>12</v>
      </c>
      <c r="EL32" s="18">
        <v>13</v>
      </c>
      <c r="EM32" s="124">
        <v>14</v>
      </c>
      <c r="EN32" s="17">
        <v>13</v>
      </c>
      <c r="EO32" s="18">
        <v>13</v>
      </c>
      <c r="EP32" s="124">
        <v>16</v>
      </c>
      <c r="ES32" s="17" t="s">
        <v>237</v>
      </c>
      <c r="ET32" s="18"/>
      <c r="EU32" s="18"/>
      <c r="EV32" s="72">
        <f t="shared" si="26"/>
        <v>0</v>
      </c>
      <c r="EW32" s="18"/>
      <c r="EX32" s="19" t="str">
        <f>IF(ET32=0,"0",IF(ET32=1,"11","22"))</f>
        <v>0</v>
      </c>
      <c r="EY32" s="20">
        <f>4</f>
        <v>4</v>
      </c>
      <c r="FG32" s="2" t="s">
        <v>245</v>
      </c>
      <c r="FH32" s="2">
        <v>1</v>
      </c>
      <c r="FI32" s="43" t="s">
        <v>162</v>
      </c>
      <c r="FJ32" s="43" t="s">
        <v>94</v>
      </c>
      <c r="FK32" s="43" t="s">
        <v>94</v>
      </c>
      <c r="FL32" s="43"/>
      <c r="FM32" s="2" t="s">
        <v>94</v>
      </c>
      <c r="FN32" s="2" t="s">
        <v>94</v>
      </c>
      <c r="FO32" s="26">
        <f t="shared" si="27"/>
        <v>29</v>
      </c>
      <c r="FP32" s="2"/>
      <c r="FQ32" s="4" t="str">
        <f>IF(FI32=0,"0",IF(FI32="5/16","13",IF(FI32="3/8","15",IF(FI32="1/2","20",IF(FI32="5/8","24",IF(FI32="3/4","26","13"))))))</f>
        <v>15</v>
      </c>
      <c r="FR32" s="4" t="str">
        <f t="shared" si="32"/>
        <v>4</v>
      </c>
      <c r="FS32" s="4" t="str">
        <f t="shared" si="32"/>
        <v>4</v>
      </c>
      <c r="FT32" s="4" t="str">
        <f t="shared" si="29"/>
        <v>2</v>
      </c>
      <c r="FU32" s="4" t="str">
        <f t="shared" si="30"/>
        <v>4</v>
      </c>
      <c r="FV32" s="44" t="str">
        <f t="shared" si="31"/>
        <v>15</v>
      </c>
      <c r="FW32" s="45" t="s">
        <v>245</v>
      </c>
      <c r="FX32" s="2"/>
      <c r="FY32" s="2" t="s">
        <v>382</v>
      </c>
      <c r="FZ32" s="2"/>
      <c r="GA32" s="2"/>
      <c r="GB32" s="2"/>
      <c r="GD32" s="2"/>
    </row>
    <row r="33" spans="1:205" ht="15.75" thickBot="1" x14ac:dyDescent="0.3">
      <c r="A33" s="129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Y33" s="53" t="s">
        <v>121</v>
      </c>
      <c r="Z33" s="54">
        <v>1</v>
      </c>
      <c r="AA33" s="53" t="s">
        <v>383</v>
      </c>
      <c r="AB33" s="12" t="s">
        <v>123</v>
      </c>
      <c r="AC33" s="118"/>
      <c r="AD33" s="61"/>
      <c r="AE33" s="57"/>
      <c r="AF33" s="58" t="s">
        <v>347</v>
      </c>
      <c r="AH33" s="53" t="s">
        <v>121</v>
      </c>
      <c r="AI33" s="54">
        <v>1</v>
      </c>
      <c r="AJ33" s="53" t="s">
        <v>384</v>
      </c>
      <c r="AK33" s="12" t="s">
        <v>123</v>
      </c>
      <c r="AL33" s="118"/>
      <c r="AM33" s="61"/>
      <c r="AN33" s="57"/>
      <c r="AO33" s="58" t="s">
        <v>347</v>
      </c>
      <c r="AX33" s="53" t="s">
        <v>121</v>
      </c>
      <c r="AY33" s="54">
        <v>1</v>
      </c>
      <c r="AZ33" s="53" t="s">
        <v>383</v>
      </c>
      <c r="BA33" s="12" t="s">
        <v>128</v>
      </c>
      <c r="BB33" s="118"/>
      <c r="BC33" s="76"/>
      <c r="BD33" s="57"/>
      <c r="BE33" s="59" t="s">
        <v>129</v>
      </c>
      <c r="BG33" s="53" t="s">
        <v>121</v>
      </c>
      <c r="BH33" s="54">
        <v>1</v>
      </c>
      <c r="BI33" s="53" t="s">
        <v>384</v>
      </c>
      <c r="BJ33" s="12" t="s">
        <v>128</v>
      </c>
      <c r="BK33" s="118"/>
      <c r="BL33" s="76"/>
      <c r="BM33" s="57"/>
      <c r="BN33" s="59" t="s">
        <v>129</v>
      </c>
      <c r="BX33" s="53" t="s">
        <v>121</v>
      </c>
      <c r="BY33" s="54">
        <v>1</v>
      </c>
      <c r="BZ33" s="53" t="s">
        <v>383</v>
      </c>
      <c r="CA33" s="12" t="s">
        <v>130</v>
      </c>
      <c r="CB33" s="118"/>
      <c r="CC33" s="65"/>
      <c r="CD33" s="57"/>
      <c r="CE33" s="58" t="s">
        <v>131</v>
      </c>
      <c r="CG33" s="53" t="s">
        <v>121</v>
      </c>
      <c r="CH33" s="54">
        <v>1</v>
      </c>
      <c r="CI33" s="53" t="s">
        <v>384</v>
      </c>
      <c r="CJ33" s="12" t="s">
        <v>130</v>
      </c>
      <c r="CK33" s="118"/>
      <c r="CL33" s="65"/>
      <c r="CM33" s="57"/>
      <c r="CN33" s="58" t="s">
        <v>131</v>
      </c>
      <c r="EB33" s="2" t="s">
        <v>265</v>
      </c>
      <c r="EC33" s="17">
        <v>5</v>
      </c>
      <c r="ED33" s="18">
        <v>7</v>
      </c>
      <c r="EE33" s="18">
        <v>9</v>
      </c>
      <c r="EF33" s="124">
        <v>11</v>
      </c>
      <c r="EG33" s="17">
        <v>10</v>
      </c>
      <c r="EH33" s="18">
        <v>12</v>
      </c>
      <c r="EI33" s="18">
        <v>14</v>
      </c>
      <c r="EJ33" s="124">
        <v>16</v>
      </c>
      <c r="EK33" s="17">
        <v>13</v>
      </c>
      <c r="EL33" s="18">
        <v>14</v>
      </c>
      <c r="EM33" s="124">
        <v>15</v>
      </c>
      <c r="EN33" s="17">
        <v>13</v>
      </c>
      <c r="EO33" s="18">
        <v>13</v>
      </c>
      <c r="EP33" s="124">
        <v>16</v>
      </c>
      <c r="ES33" s="17" t="s">
        <v>248</v>
      </c>
      <c r="ET33" s="18"/>
      <c r="EU33" s="18"/>
      <c r="EV33" s="72">
        <f t="shared" si="26"/>
        <v>0</v>
      </c>
      <c r="EW33" s="18"/>
      <c r="EX33" s="19" t="str">
        <f>IF(ET33=0,"0",IF(ET33=1,"13","26"))</f>
        <v>0</v>
      </c>
      <c r="EY33" s="20">
        <f>4</f>
        <v>4</v>
      </c>
      <c r="FG33" s="2" t="s">
        <v>254</v>
      </c>
      <c r="FH33" s="2">
        <v>1</v>
      </c>
      <c r="FI33" s="43" t="s">
        <v>162</v>
      </c>
      <c r="FJ33" s="43" t="s">
        <v>94</v>
      </c>
      <c r="FK33" s="43" t="s">
        <v>94</v>
      </c>
      <c r="FL33" s="43"/>
      <c r="FM33" s="2" t="s">
        <v>94</v>
      </c>
      <c r="FN33" s="2" t="s">
        <v>94</v>
      </c>
      <c r="FO33" s="26">
        <f t="shared" si="27"/>
        <v>30</v>
      </c>
      <c r="FP33" s="2"/>
      <c r="FQ33" s="4" t="str">
        <f>IF(FI33=0,"0",IF(FI33="5/16","14",IF(FI33="3/8","16",IF(FI33="1/2","22",IF(FI33="5/8","26",IF(FI33="3/4","28","14"))))))</f>
        <v>16</v>
      </c>
      <c r="FR33" s="4" t="str">
        <f t="shared" si="32"/>
        <v>4</v>
      </c>
      <c r="FS33" s="4" t="str">
        <f t="shared" si="32"/>
        <v>4</v>
      </c>
      <c r="FT33" s="4" t="str">
        <f t="shared" si="29"/>
        <v>2</v>
      </c>
      <c r="FU33" s="4" t="str">
        <f t="shared" si="30"/>
        <v>4</v>
      </c>
      <c r="FV33" s="44" t="str">
        <f t="shared" si="31"/>
        <v>16</v>
      </c>
      <c r="FW33" s="45" t="s">
        <v>254</v>
      </c>
      <c r="FX33" s="2"/>
      <c r="FY33" s="2" t="s">
        <v>263</v>
      </c>
      <c r="FZ33" s="2"/>
      <c r="GA33" s="2"/>
      <c r="GB33" s="2"/>
      <c r="GD33" s="2"/>
    </row>
    <row r="34" spans="1:205" ht="15.75" thickBot="1" x14ac:dyDescent="0.3">
      <c r="A34" s="129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Y34" s="53" t="s">
        <v>121</v>
      </c>
      <c r="Z34" s="54">
        <v>1</v>
      </c>
      <c r="AA34" s="53" t="s">
        <v>385</v>
      </c>
      <c r="AB34" s="12" t="s">
        <v>123</v>
      </c>
      <c r="AC34" s="100"/>
      <c r="AD34" s="61"/>
      <c r="AE34" s="57"/>
      <c r="AF34" s="58" t="s">
        <v>347</v>
      </c>
      <c r="AH34" s="53" t="s">
        <v>121</v>
      </c>
      <c r="AI34" s="54">
        <v>1</v>
      </c>
      <c r="AJ34" s="53" t="s">
        <v>386</v>
      </c>
      <c r="AK34" s="12" t="s">
        <v>123</v>
      </c>
      <c r="AL34" s="100"/>
      <c r="AM34" s="61"/>
      <c r="AN34" s="57"/>
      <c r="AO34" s="58" t="s">
        <v>347</v>
      </c>
      <c r="AX34" s="53" t="s">
        <v>121</v>
      </c>
      <c r="AY34" s="54">
        <v>1</v>
      </c>
      <c r="AZ34" s="53" t="s">
        <v>385</v>
      </c>
      <c r="BA34" s="12" t="s">
        <v>128</v>
      </c>
      <c r="BB34" s="100">
        <f>AY34*695</f>
        <v>695</v>
      </c>
      <c r="BC34" s="76"/>
      <c r="BD34" s="57">
        <v>45376</v>
      </c>
      <c r="BE34" s="59" t="s">
        <v>129</v>
      </c>
      <c r="BG34" s="53" t="s">
        <v>121</v>
      </c>
      <c r="BH34" s="54">
        <v>1</v>
      </c>
      <c r="BI34" s="53" t="s">
        <v>386</v>
      </c>
      <c r="BJ34" s="12" t="s">
        <v>128</v>
      </c>
      <c r="BK34" s="100"/>
      <c r="BL34" s="76"/>
      <c r="BM34" s="57"/>
      <c r="BN34" s="59" t="s">
        <v>129</v>
      </c>
      <c r="BX34" s="53" t="s">
        <v>121</v>
      </c>
      <c r="BY34" s="54">
        <v>1</v>
      </c>
      <c r="BZ34" s="53" t="s">
        <v>385</v>
      </c>
      <c r="CA34" s="12" t="s">
        <v>130</v>
      </c>
      <c r="CB34" s="100"/>
      <c r="CC34" s="65"/>
      <c r="CD34" s="57"/>
      <c r="CE34" s="58" t="s">
        <v>131</v>
      </c>
      <c r="CG34" s="53" t="s">
        <v>121</v>
      </c>
      <c r="CH34" s="54">
        <v>1</v>
      </c>
      <c r="CI34" s="53" t="s">
        <v>386</v>
      </c>
      <c r="CJ34" s="12" t="s">
        <v>130</v>
      </c>
      <c r="CK34" s="100"/>
      <c r="CL34" s="65"/>
      <c r="CM34" s="57"/>
      <c r="CN34" s="58" t="s">
        <v>131</v>
      </c>
      <c r="EB34" s="2" t="s">
        <v>387</v>
      </c>
      <c r="EC34" s="17">
        <v>5</v>
      </c>
      <c r="ED34" s="18">
        <v>7</v>
      </c>
      <c r="EE34" s="18">
        <v>9</v>
      </c>
      <c r="EF34" s="124">
        <v>11</v>
      </c>
      <c r="EG34" s="17">
        <v>10</v>
      </c>
      <c r="EH34" s="18">
        <v>12</v>
      </c>
      <c r="EI34" s="18">
        <v>14</v>
      </c>
      <c r="EJ34" s="124">
        <v>16</v>
      </c>
      <c r="EK34" s="17">
        <v>14</v>
      </c>
      <c r="EL34" s="18">
        <v>15</v>
      </c>
      <c r="EM34" s="124">
        <v>16</v>
      </c>
      <c r="EN34" s="17">
        <v>14</v>
      </c>
      <c r="EO34" s="18">
        <v>14</v>
      </c>
      <c r="EP34" s="124">
        <v>17</v>
      </c>
      <c r="ES34" s="17" t="s">
        <v>256</v>
      </c>
      <c r="ET34" s="18"/>
      <c r="EU34" s="18"/>
      <c r="EV34" s="72">
        <f t="shared" si="26"/>
        <v>0</v>
      </c>
      <c r="EW34" s="18"/>
      <c r="EX34" s="19" t="str">
        <f>IF(ET34=0,"0",IF(ET34=1,"14","28"))</f>
        <v>0</v>
      </c>
      <c r="EY34" s="20">
        <f>4</f>
        <v>4</v>
      </c>
      <c r="FG34" s="2" t="s">
        <v>262</v>
      </c>
      <c r="FH34" s="2">
        <v>1</v>
      </c>
      <c r="FI34" s="43" t="s">
        <v>162</v>
      </c>
      <c r="FJ34" s="43" t="s">
        <v>94</v>
      </c>
      <c r="FK34" s="43" t="s">
        <v>94</v>
      </c>
      <c r="FL34" s="43"/>
      <c r="FM34" s="2" t="s">
        <v>94</v>
      </c>
      <c r="FN34" s="2" t="s">
        <v>94</v>
      </c>
      <c r="FO34" s="26">
        <f t="shared" si="27"/>
        <v>34</v>
      </c>
      <c r="FP34" s="2"/>
      <c r="FQ34" s="4" t="str">
        <f>IF(FI34=0,"0",IF(FI34="5/16","16",IF(FI34="3/8","18",IF(FI34="1/2","25",IF(FI34="5/8","30",IF(FI34="3/4","32","16"))))))</f>
        <v>18</v>
      </c>
      <c r="FR34" s="4" t="str">
        <f>IF(FJ34="Yes","5","0")</f>
        <v>5</v>
      </c>
      <c r="FS34" s="4" t="str">
        <f>IF(FK34="Yes","5","0")</f>
        <v>5</v>
      </c>
      <c r="FT34" s="4" t="str">
        <f t="shared" si="29"/>
        <v>2</v>
      </c>
      <c r="FU34" s="4" t="str">
        <f t="shared" si="30"/>
        <v>4</v>
      </c>
      <c r="FV34" s="44" t="str">
        <f t="shared" si="31"/>
        <v>18</v>
      </c>
      <c r="FW34" s="45" t="s">
        <v>262</v>
      </c>
      <c r="FX34" s="2"/>
      <c r="FY34" s="2" t="s">
        <v>275</v>
      </c>
      <c r="FZ34" s="2"/>
      <c r="GA34" s="2"/>
      <c r="GB34" s="2"/>
      <c r="GD34" s="2"/>
    </row>
    <row r="35" spans="1:205" ht="15.75" thickBot="1" x14ac:dyDescent="0.3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Y35" s="53" t="s">
        <v>121</v>
      </c>
      <c r="Z35" s="54">
        <v>1</v>
      </c>
      <c r="AA35" s="53" t="s">
        <v>388</v>
      </c>
      <c r="AB35" s="12" t="s">
        <v>123</v>
      </c>
      <c r="AC35" s="118"/>
      <c r="AD35" s="61"/>
      <c r="AE35" s="57"/>
      <c r="AF35" s="58" t="s">
        <v>127</v>
      </c>
      <c r="AH35" s="53" t="s">
        <v>121</v>
      </c>
      <c r="AI35" s="54">
        <v>1</v>
      </c>
      <c r="AJ35" s="53" t="s">
        <v>389</v>
      </c>
      <c r="AK35" s="12" t="s">
        <v>123</v>
      </c>
      <c r="AL35" s="118"/>
      <c r="AM35" s="61"/>
      <c r="AN35" s="57"/>
      <c r="AO35" s="58" t="s">
        <v>347</v>
      </c>
      <c r="AX35" s="53" t="s">
        <v>121</v>
      </c>
      <c r="AY35" s="54">
        <v>1</v>
      </c>
      <c r="AZ35" s="53" t="s">
        <v>388</v>
      </c>
      <c r="BA35" s="12" t="s">
        <v>128</v>
      </c>
      <c r="BB35" s="118"/>
      <c r="BC35" s="76"/>
      <c r="BD35" s="57"/>
      <c r="BE35" s="59" t="s">
        <v>129</v>
      </c>
      <c r="BG35" s="53" t="s">
        <v>121</v>
      </c>
      <c r="BH35" s="54">
        <v>1</v>
      </c>
      <c r="BI35" s="53" t="s">
        <v>389</v>
      </c>
      <c r="BJ35" s="12" t="s">
        <v>128</v>
      </c>
      <c r="BK35" s="118"/>
      <c r="BL35" s="76"/>
      <c r="BM35" s="57"/>
      <c r="BN35" s="59" t="s">
        <v>129</v>
      </c>
      <c r="BX35" s="53" t="s">
        <v>121</v>
      </c>
      <c r="BY35" s="54">
        <v>1</v>
      </c>
      <c r="BZ35" s="53" t="s">
        <v>388</v>
      </c>
      <c r="CA35" s="12" t="s">
        <v>130</v>
      </c>
      <c r="CB35" s="118"/>
      <c r="CC35" s="65"/>
      <c r="CD35" s="57"/>
      <c r="CE35" s="58" t="s">
        <v>131</v>
      </c>
      <c r="CG35" s="53" t="s">
        <v>121</v>
      </c>
      <c r="CH35" s="54">
        <v>1</v>
      </c>
      <c r="CI35" s="53" t="s">
        <v>389</v>
      </c>
      <c r="CJ35" s="12" t="s">
        <v>130</v>
      </c>
      <c r="CK35" s="118"/>
      <c r="CL35" s="65"/>
      <c r="CM35" s="57"/>
      <c r="CN35" s="58" t="s">
        <v>131</v>
      </c>
      <c r="EB35" s="2" t="s">
        <v>390</v>
      </c>
      <c r="EC35" s="48">
        <v>5</v>
      </c>
      <c r="ED35" s="49">
        <v>7</v>
      </c>
      <c r="EE35" s="49">
        <v>9</v>
      </c>
      <c r="EF35" s="158">
        <v>11</v>
      </c>
      <c r="EG35" s="48">
        <v>12</v>
      </c>
      <c r="EH35" s="49">
        <v>14</v>
      </c>
      <c r="EI35" s="49">
        <v>16</v>
      </c>
      <c r="EJ35" s="158">
        <v>18</v>
      </c>
      <c r="EK35" s="48">
        <v>15</v>
      </c>
      <c r="EL35" s="49">
        <v>16</v>
      </c>
      <c r="EM35" s="158">
        <v>17</v>
      </c>
      <c r="EN35" s="48">
        <v>14</v>
      </c>
      <c r="EO35" s="49">
        <v>14</v>
      </c>
      <c r="EP35" s="158">
        <v>17</v>
      </c>
      <c r="ES35" s="48" t="s">
        <v>265</v>
      </c>
      <c r="ET35" s="49"/>
      <c r="EU35" s="49"/>
      <c r="EV35" s="50">
        <f t="shared" si="26"/>
        <v>0</v>
      </c>
      <c r="EW35" s="49"/>
      <c r="EX35" s="126" t="str">
        <f>IF(ET35=0,"0",IF(ET35=1,"15","30"))</f>
        <v>0</v>
      </c>
      <c r="EY35" s="51">
        <f>4</f>
        <v>4</v>
      </c>
      <c r="FG35" s="2" t="s">
        <v>274</v>
      </c>
      <c r="FH35" s="2">
        <v>1</v>
      </c>
      <c r="FI35" s="43" t="s">
        <v>162</v>
      </c>
      <c r="FJ35" s="43" t="s">
        <v>94</v>
      </c>
      <c r="FK35" s="43" t="s">
        <v>94</v>
      </c>
      <c r="FL35" s="43"/>
      <c r="FM35" s="2" t="s">
        <v>94</v>
      </c>
      <c r="FN35" s="2" t="s">
        <v>94</v>
      </c>
      <c r="FO35" s="26">
        <f t="shared" si="27"/>
        <v>36</v>
      </c>
      <c r="FP35" s="2"/>
      <c r="FQ35" s="4" t="str">
        <f>IF(FI35=0,"0",IF(FI35="5/16","18",IF(FI35="3/8","20",IF(FI35="1/2","26",IF(FI35="5/8","32",IF(FI35="3/4","34","18"))))))</f>
        <v>20</v>
      </c>
      <c r="FR35" s="4" t="str">
        <f>IF(FJ35="Yes","5","0")</f>
        <v>5</v>
      </c>
      <c r="FS35" s="4" t="str">
        <f>IF(FK35="Yes","5","0")</f>
        <v>5</v>
      </c>
      <c r="FT35" s="4" t="str">
        <f t="shared" si="29"/>
        <v>2</v>
      </c>
      <c r="FU35" s="4" t="str">
        <f t="shared" si="30"/>
        <v>4</v>
      </c>
      <c r="FV35" s="44" t="str">
        <f t="shared" si="31"/>
        <v>20</v>
      </c>
      <c r="FW35" s="45" t="s">
        <v>274</v>
      </c>
      <c r="FX35" s="2"/>
      <c r="FY35" s="2" t="s">
        <v>391</v>
      </c>
      <c r="FZ35" s="2"/>
      <c r="GA35" s="2"/>
      <c r="GB35" s="2"/>
      <c r="GD35" s="2"/>
    </row>
    <row r="36" spans="1:205" ht="15.75" thickBot="1" x14ac:dyDescent="0.3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Y36" s="53" t="s">
        <v>121</v>
      </c>
      <c r="Z36" s="54">
        <v>1</v>
      </c>
      <c r="AA36" s="53" t="s">
        <v>392</v>
      </c>
      <c r="AB36" s="12" t="s">
        <v>123</v>
      </c>
      <c r="AC36" s="118"/>
      <c r="AD36" s="61"/>
      <c r="AE36" s="57"/>
      <c r="AF36" s="58" t="s">
        <v>347</v>
      </c>
      <c r="AH36" s="53" t="s">
        <v>121</v>
      </c>
      <c r="AI36" s="54">
        <v>1</v>
      </c>
      <c r="AJ36" s="53" t="s">
        <v>393</v>
      </c>
      <c r="AK36" s="12" t="s">
        <v>123</v>
      </c>
      <c r="AL36" s="118"/>
      <c r="AM36" s="61"/>
      <c r="AN36" s="57"/>
      <c r="AO36" s="58" t="s">
        <v>347</v>
      </c>
      <c r="AX36" s="53" t="s">
        <v>121</v>
      </c>
      <c r="AY36" s="54">
        <v>1</v>
      </c>
      <c r="AZ36" s="53" t="s">
        <v>392</v>
      </c>
      <c r="BA36" s="12" t="s">
        <v>128</v>
      </c>
      <c r="BB36" s="118"/>
      <c r="BC36" s="76"/>
      <c r="BD36" s="57"/>
      <c r="BE36" s="59" t="s">
        <v>129</v>
      </c>
      <c r="BG36" s="53" t="s">
        <v>121</v>
      </c>
      <c r="BH36" s="54">
        <v>1</v>
      </c>
      <c r="BI36" s="53" t="s">
        <v>393</v>
      </c>
      <c r="BJ36" s="12" t="s">
        <v>128</v>
      </c>
      <c r="BK36" s="118"/>
      <c r="BL36" s="76"/>
      <c r="BM36" s="57"/>
      <c r="BN36" s="59" t="s">
        <v>129</v>
      </c>
      <c r="BX36" s="53" t="s">
        <v>121</v>
      </c>
      <c r="BY36" s="54">
        <v>1</v>
      </c>
      <c r="BZ36" s="53" t="s">
        <v>392</v>
      </c>
      <c r="CA36" s="12" t="s">
        <v>130</v>
      </c>
      <c r="CB36" s="118"/>
      <c r="CC36" s="65"/>
      <c r="CD36" s="57"/>
      <c r="CE36" s="58" t="s">
        <v>131</v>
      </c>
      <c r="CG36" s="53" t="s">
        <v>121</v>
      </c>
      <c r="CH36" s="54">
        <v>1</v>
      </c>
      <c r="CI36" s="53" t="s">
        <v>393</v>
      </c>
      <c r="CJ36" s="12" t="s">
        <v>130</v>
      </c>
      <c r="CK36" s="118"/>
      <c r="CL36" s="65"/>
      <c r="CM36" s="57"/>
      <c r="CN36" s="58" t="s">
        <v>131</v>
      </c>
      <c r="FG36" s="2" t="s">
        <v>287</v>
      </c>
      <c r="FH36" s="2">
        <v>1</v>
      </c>
      <c r="FI36" s="43" t="s">
        <v>162</v>
      </c>
      <c r="FJ36" s="43" t="s">
        <v>94</v>
      </c>
      <c r="FK36" s="43" t="s">
        <v>94</v>
      </c>
      <c r="FL36" s="43"/>
      <c r="FM36" s="2" t="s">
        <v>94</v>
      </c>
      <c r="FN36" s="2" t="s">
        <v>94</v>
      </c>
      <c r="FO36" s="26">
        <f t="shared" si="27"/>
        <v>42</v>
      </c>
      <c r="FP36" s="2"/>
      <c r="FQ36" s="4" t="str">
        <f>IF(FI36=0,"0",IF(FI36="5/16","22",IF(FI36="3/8","24",IF(FI36="1/2","32",IF(FI36="5/8","36",IF(FI36="3/4","38","22"))))))</f>
        <v>24</v>
      </c>
      <c r="FR36" s="4" t="str">
        <f>IF(FJ36="Yes","6","0")</f>
        <v>6</v>
      </c>
      <c r="FS36" s="4" t="str">
        <f>IF(FK36="Yes","6","0")</f>
        <v>6</v>
      </c>
      <c r="FT36" s="4" t="str">
        <f t="shared" si="29"/>
        <v>2</v>
      </c>
      <c r="FU36" s="4" t="str">
        <f t="shared" si="30"/>
        <v>4</v>
      </c>
      <c r="FV36" s="44" t="str">
        <f t="shared" si="31"/>
        <v>24</v>
      </c>
      <c r="FW36" s="45" t="s">
        <v>287</v>
      </c>
      <c r="FX36" s="2"/>
      <c r="FY36" s="2" t="s">
        <v>394</v>
      </c>
      <c r="FZ36" s="2"/>
      <c r="GA36" s="2"/>
      <c r="GB36" s="2"/>
      <c r="GD36" s="2"/>
    </row>
    <row r="37" spans="1:205" x14ac:dyDescent="0.25">
      <c r="A37" s="129"/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Y37" s="53" t="s">
        <v>121</v>
      </c>
      <c r="Z37" s="54">
        <v>1</v>
      </c>
      <c r="AA37" s="53" t="s">
        <v>395</v>
      </c>
      <c r="AB37" s="12" t="s">
        <v>123</v>
      </c>
      <c r="AC37" s="118"/>
      <c r="AD37" s="61"/>
      <c r="AE37" s="57"/>
      <c r="AF37" s="58" t="s">
        <v>347</v>
      </c>
      <c r="AH37" s="53" t="s">
        <v>121</v>
      </c>
      <c r="AI37" s="54">
        <v>1</v>
      </c>
      <c r="AJ37" s="53" t="s">
        <v>396</v>
      </c>
      <c r="AK37" s="12" t="s">
        <v>123</v>
      </c>
      <c r="AL37" s="118"/>
      <c r="AM37" s="61"/>
      <c r="AN37" s="57"/>
      <c r="AO37" s="58" t="s">
        <v>347</v>
      </c>
      <c r="AX37" s="53" t="s">
        <v>121</v>
      </c>
      <c r="AY37" s="54">
        <v>1</v>
      </c>
      <c r="AZ37" s="53" t="s">
        <v>395</v>
      </c>
      <c r="BA37" s="12" t="s">
        <v>128</v>
      </c>
      <c r="BB37" s="118"/>
      <c r="BC37" s="76"/>
      <c r="BD37" s="57"/>
      <c r="BE37" s="59" t="s">
        <v>129</v>
      </c>
      <c r="BG37" s="53" t="s">
        <v>121</v>
      </c>
      <c r="BH37" s="54">
        <v>1</v>
      </c>
      <c r="BI37" s="53" t="s">
        <v>396</v>
      </c>
      <c r="BJ37" s="12" t="s">
        <v>128</v>
      </c>
      <c r="BK37" s="118"/>
      <c r="BL37" s="76"/>
      <c r="BM37" s="57"/>
      <c r="BN37" s="59" t="s">
        <v>129</v>
      </c>
      <c r="BX37" s="53" t="s">
        <v>121</v>
      </c>
      <c r="BY37" s="54">
        <v>1</v>
      </c>
      <c r="BZ37" s="53" t="s">
        <v>395</v>
      </c>
      <c r="CA37" s="12" t="s">
        <v>130</v>
      </c>
      <c r="CB37" s="118"/>
      <c r="CC37" s="65"/>
      <c r="CD37" s="57"/>
      <c r="CE37" s="58" t="s">
        <v>131</v>
      </c>
      <c r="CG37" s="53" t="s">
        <v>121</v>
      </c>
      <c r="CH37" s="54">
        <v>1</v>
      </c>
      <c r="CI37" s="53" t="s">
        <v>396</v>
      </c>
      <c r="CJ37" s="12" t="s">
        <v>130</v>
      </c>
      <c r="CK37" s="118"/>
      <c r="CL37" s="65"/>
      <c r="CM37" s="57"/>
      <c r="CN37" s="58" t="s">
        <v>131</v>
      </c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4"/>
      <c r="FU37" s="4"/>
      <c r="FV37" s="4"/>
      <c r="GD37" s="2"/>
    </row>
    <row r="38" spans="1:205" x14ac:dyDescent="0.25">
      <c r="A38" s="129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Y38" s="53" t="s">
        <v>121</v>
      </c>
      <c r="Z38" s="54">
        <v>1</v>
      </c>
      <c r="AA38" s="53" t="s">
        <v>397</v>
      </c>
      <c r="AB38" s="12" t="s">
        <v>123</v>
      </c>
      <c r="AC38" s="118"/>
      <c r="AD38" s="76"/>
      <c r="AE38" s="57"/>
      <c r="AF38" s="58" t="s">
        <v>347</v>
      </c>
      <c r="AH38" s="53" t="s">
        <v>121</v>
      </c>
      <c r="AI38" s="54">
        <v>1</v>
      </c>
      <c r="AJ38" s="53" t="s">
        <v>398</v>
      </c>
      <c r="AK38" s="12" t="s">
        <v>123</v>
      </c>
      <c r="AL38" s="118"/>
      <c r="AM38" s="76"/>
      <c r="AN38" s="57"/>
      <c r="AO38" s="58" t="s">
        <v>347</v>
      </c>
      <c r="AX38" s="53" t="s">
        <v>121</v>
      </c>
      <c r="AY38" s="54">
        <v>1</v>
      </c>
      <c r="AZ38" s="53" t="s">
        <v>397</v>
      </c>
      <c r="BA38" s="12" t="s">
        <v>128</v>
      </c>
      <c r="BB38" s="118"/>
      <c r="BC38" s="76"/>
      <c r="BD38" s="57"/>
      <c r="BE38" s="59"/>
      <c r="BG38" s="53" t="s">
        <v>121</v>
      </c>
      <c r="BH38" s="54">
        <v>1</v>
      </c>
      <c r="BI38" s="53" t="s">
        <v>398</v>
      </c>
      <c r="BJ38" s="12" t="s">
        <v>128</v>
      </c>
      <c r="BK38" s="118"/>
      <c r="BL38" s="76"/>
      <c r="BM38" s="57"/>
      <c r="BN38" s="59"/>
      <c r="BX38" s="53" t="s">
        <v>121</v>
      </c>
      <c r="BY38" s="54">
        <v>1</v>
      </c>
      <c r="BZ38" s="53" t="s">
        <v>397</v>
      </c>
      <c r="CA38" s="12" t="s">
        <v>130</v>
      </c>
      <c r="CB38" s="118"/>
      <c r="CC38" s="76"/>
      <c r="CD38" s="57"/>
      <c r="CE38" s="58" t="s">
        <v>131</v>
      </c>
      <c r="CG38" s="53" t="s">
        <v>121</v>
      </c>
      <c r="CH38" s="54">
        <v>1</v>
      </c>
      <c r="CI38" s="53" t="s">
        <v>398</v>
      </c>
      <c r="CJ38" s="12" t="s">
        <v>130</v>
      </c>
      <c r="CK38" s="118"/>
      <c r="CL38" s="76"/>
      <c r="CM38" s="57"/>
      <c r="CN38" s="58" t="s">
        <v>131</v>
      </c>
      <c r="FG38" s="2"/>
      <c r="FH38" s="2"/>
      <c r="FI38" s="2"/>
      <c r="FJ38" s="2"/>
      <c r="FK38" s="2"/>
      <c r="FL38" s="2"/>
      <c r="FM38" s="2"/>
      <c r="FN38" s="122" t="s">
        <v>308</v>
      </c>
      <c r="FO38" s="123">
        <f>SUM(FO23:FO36)</f>
        <v>341.9</v>
      </c>
      <c r="FP38" s="2"/>
      <c r="FQ38" s="2"/>
      <c r="FR38" s="2"/>
      <c r="FS38" s="2"/>
      <c r="FT38" s="4"/>
      <c r="FU38" s="4"/>
      <c r="FV38" s="4"/>
      <c r="GD38" s="2"/>
    </row>
    <row r="39" spans="1:205" ht="15" customHeight="1" x14ac:dyDescent="1.4">
      <c r="A39" s="129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Y39" s="159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59"/>
      <c r="AO39" s="159"/>
      <c r="AP39" s="159"/>
      <c r="AQ39" s="159"/>
      <c r="AR39" s="159"/>
      <c r="AX39" s="159"/>
      <c r="AY39" s="159"/>
      <c r="AZ39" s="159"/>
      <c r="BA39" s="159"/>
      <c r="BB39" s="159"/>
      <c r="BC39" s="159"/>
      <c r="BD39" s="159"/>
      <c r="BE39" s="159"/>
      <c r="BF39" s="159"/>
      <c r="BG39" s="159"/>
      <c r="BH39" s="159"/>
      <c r="BI39" s="159"/>
      <c r="BJ39" s="159"/>
      <c r="BK39" s="159"/>
      <c r="BL39" s="159"/>
      <c r="BM39" s="159"/>
      <c r="BN39" s="159"/>
      <c r="BO39" s="159"/>
      <c r="BP39" s="159"/>
      <c r="BQ39" s="159"/>
      <c r="BX39" s="159"/>
      <c r="BY39" s="159"/>
      <c r="BZ39" s="159"/>
      <c r="CA39" s="159"/>
      <c r="CB39" s="159"/>
      <c r="CC39" s="159"/>
      <c r="CD39" s="159"/>
      <c r="CE39" s="159"/>
      <c r="CF39" s="159"/>
      <c r="CG39" s="159"/>
      <c r="CH39" s="159"/>
      <c r="CI39" s="159"/>
      <c r="CJ39" s="159"/>
      <c r="CK39" s="159"/>
      <c r="CL39" s="159"/>
      <c r="CM39" s="159"/>
      <c r="CN39" s="159"/>
      <c r="CO39" s="159"/>
      <c r="CP39" s="159"/>
      <c r="CQ39" s="159"/>
    </row>
    <row r="40" spans="1:205" ht="15" customHeight="1" x14ac:dyDescent="1.4">
      <c r="A40" s="129"/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Y40" s="159"/>
      <c r="Z40" s="159"/>
      <c r="AA40" s="159"/>
      <c r="AB40" s="159"/>
      <c r="AC40" s="159"/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59"/>
      <c r="AO40" s="159"/>
      <c r="AP40" s="159"/>
      <c r="AQ40" s="159"/>
      <c r="AR40" s="159"/>
      <c r="AX40" s="159"/>
      <c r="AY40" s="159"/>
      <c r="AZ40" s="159"/>
      <c r="BA40" s="159"/>
      <c r="BB40" s="159"/>
      <c r="BC40" s="159"/>
      <c r="BD40" s="159"/>
      <c r="BE40" s="159"/>
      <c r="BF40" s="159"/>
      <c r="BG40" s="159"/>
      <c r="BH40" s="159"/>
      <c r="BI40" s="159"/>
      <c r="BJ40" s="159"/>
      <c r="BK40" s="159"/>
      <c r="BL40" s="159"/>
      <c r="BM40" s="159"/>
      <c r="BN40" s="159"/>
      <c r="BO40" s="159"/>
      <c r="BP40" s="159"/>
      <c r="BQ40" s="159"/>
      <c r="BX40" s="159"/>
      <c r="BY40" s="159"/>
      <c r="BZ40" s="159"/>
      <c r="CA40" s="159"/>
      <c r="CB40" s="159"/>
      <c r="CC40" s="159"/>
      <c r="CD40" s="159"/>
      <c r="CE40" s="159"/>
      <c r="CF40" s="159"/>
      <c r="CG40" s="159"/>
      <c r="CH40" s="159"/>
      <c r="CI40" s="159"/>
      <c r="CJ40" s="159"/>
      <c r="CK40" s="159"/>
      <c r="CL40" s="159"/>
      <c r="CM40" s="159"/>
      <c r="CN40" s="159"/>
      <c r="CO40" s="159"/>
      <c r="CP40" s="159"/>
      <c r="CQ40" s="159"/>
    </row>
    <row r="41" spans="1:205" ht="15" customHeight="1" x14ac:dyDescent="1.4">
      <c r="A41" s="129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  <c r="BM41" s="159"/>
      <c r="BN41" s="159"/>
      <c r="BO41" s="159"/>
      <c r="BP41" s="159"/>
      <c r="BQ41" s="159"/>
      <c r="BX41" s="159"/>
      <c r="BY41" s="159"/>
      <c r="BZ41" s="159"/>
      <c r="CA41" s="159"/>
      <c r="CB41" s="159"/>
      <c r="CC41" s="159"/>
      <c r="CD41" s="159"/>
      <c r="CE41" s="159"/>
      <c r="CF41" s="159"/>
      <c r="CG41" s="159"/>
      <c r="CH41" s="159"/>
      <c r="CI41" s="159"/>
      <c r="CJ41" s="159"/>
      <c r="CK41" s="159"/>
      <c r="CL41" s="159"/>
      <c r="CM41" s="159"/>
      <c r="CN41" s="159"/>
      <c r="CO41" s="159"/>
      <c r="CP41" s="159"/>
      <c r="CQ41" s="159"/>
    </row>
    <row r="42" spans="1:205" ht="15" customHeight="1" x14ac:dyDescent="1.4">
      <c r="A42" s="129"/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  <c r="BM42" s="159"/>
      <c r="BN42" s="159"/>
      <c r="BO42" s="159"/>
      <c r="BP42" s="159"/>
      <c r="BQ42" s="159"/>
      <c r="BX42" s="159"/>
      <c r="BY42" s="159"/>
      <c r="BZ42" s="159"/>
      <c r="CA42" s="159"/>
      <c r="CB42" s="159"/>
      <c r="CC42" s="159"/>
      <c r="CD42" s="159"/>
      <c r="CE42" s="159"/>
      <c r="CF42" s="159"/>
      <c r="CG42" s="159"/>
      <c r="CH42" s="159"/>
      <c r="CI42" s="159"/>
      <c r="CJ42" s="159"/>
      <c r="CK42" s="159"/>
      <c r="CL42" s="159"/>
      <c r="CM42" s="159"/>
      <c r="CN42" s="159"/>
      <c r="CO42" s="159"/>
      <c r="CP42" s="159"/>
      <c r="CQ42" s="159"/>
    </row>
    <row r="43" spans="1:205" ht="15" customHeight="1" thickBot="1" x14ac:dyDescent="1.45">
      <c r="A43" s="129"/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X43" s="159"/>
      <c r="AY43" s="159"/>
      <c r="AZ43" s="159"/>
      <c r="BA43" s="159"/>
      <c r="BB43" s="159"/>
      <c r="BC43" s="159"/>
      <c r="BD43" s="159"/>
      <c r="BE43" s="159"/>
      <c r="BF43" s="159"/>
      <c r="BG43" s="159"/>
      <c r="BH43" s="159"/>
      <c r="BI43" s="159"/>
      <c r="BJ43" s="159"/>
      <c r="BK43" s="159"/>
      <c r="BL43" s="159"/>
      <c r="BM43" s="159"/>
      <c r="BN43" s="159"/>
      <c r="BO43" s="159"/>
      <c r="BP43" s="159"/>
      <c r="BQ43" s="159"/>
      <c r="BX43" s="159"/>
      <c r="BY43" s="159"/>
      <c r="BZ43" s="159"/>
      <c r="CA43" s="159"/>
      <c r="CB43" s="159"/>
      <c r="CC43" s="159"/>
      <c r="CD43" s="159"/>
      <c r="CE43" s="159"/>
      <c r="CF43" s="159"/>
      <c r="CG43" s="159"/>
      <c r="CH43" s="159"/>
      <c r="CI43" s="159"/>
      <c r="CJ43" s="159"/>
      <c r="CK43" s="159"/>
      <c r="CL43" s="159"/>
      <c r="CM43" s="159"/>
      <c r="CN43" s="159"/>
      <c r="CO43" s="159"/>
      <c r="CP43" s="159"/>
      <c r="CQ43" s="159"/>
    </row>
    <row r="44" spans="1:205" ht="45" customHeight="1" x14ac:dyDescent="0.55000000000000004">
      <c r="A44" s="129"/>
      <c r="B44" s="129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CX44" s="272" t="s">
        <v>83</v>
      </c>
      <c r="CY44" s="274" t="s">
        <v>84</v>
      </c>
      <c r="CZ44" s="276" t="s">
        <v>35</v>
      </c>
      <c r="DA44" s="278" t="s">
        <v>85</v>
      </c>
      <c r="DB44" s="303" t="s">
        <v>86</v>
      </c>
      <c r="DC44" s="304"/>
      <c r="DD44" s="304"/>
      <c r="DE44" s="304"/>
      <c r="DF44" s="305"/>
      <c r="DG44" s="160"/>
      <c r="DH44" s="306" t="s">
        <v>87</v>
      </c>
      <c r="DI44" s="307"/>
      <c r="DJ44" s="307"/>
      <c r="DK44" s="307"/>
      <c r="DL44" s="308"/>
      <c r="DM44" s="161"/>
      <c r="DN44" s="306" t="s">
        <v>88</v>
      </c>
      <c r="DO44" s="307"/>
      <c r="DP44" s="307"/>
      <c r="DQ44" s="307"/>
      <c r="DR44" s="309"/>
      <c r="DS44" s="306" t="s">
        <v>89</v>
      </c>
      <c r="DT44" s="307"/>
      <c r="DU44" s="307"/>
      <c r="DV44" s="307"/>
      <c r="DW44" s="309"/>
      <c r="FG44" s="262" t="s">
        <v>315</v>
      </c>
      <c r="FH44" s="262"/>
      <c r="FI44" s="262"/>
      <c r="FJ44" s="262"/>
      <c r="FK44" s="262"/>
      <c r="FL44" s="262"/>
      <c r="FM44" s="262"/>
      <c r="FN44" s="262"/>
      <c r="FO44" s="262"/>
      <c r="FP44" s="262"/>
      <c r="FQ44" s="262"/>
      <c r="FR44" s="262"/>
      <c r="FS44" s="262"/>
      <c r="FT44" s="262"/>
      <c r="FU44" s="262"/>
      <c r="FV44" s="262"/>
      <c r="FW44" s="262"/>
      <c r="FX44" s="262"/>
      <c r="FY44" s="262"/>
      <c r="FZ44" s="262"/>
      <c r="GA44" s="262"/>
      <c r="GB44" s="262"/>
      <c r="GC44" s="262"/>
      <c r="GD44" s="262"/>
    </row>
    <row r="45" spans="1:205" ht="33" thickBot="1" x14ac:dyDescent="0.45">
      <c r="A45" s="129"/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Y45" s="260" t="s">
        <v>399</v>
      </c>
      <c r="Z45" s="261"/>
      <c r="AA45" s="261"/>
      <c r="AB45" s="261"/>
      <c r="AC45" s="261"/>
      <c r="AD45" s="261"/>
      <c r="AE45" s="261"/>
      <c r="AF45" s="261"/>
      <c r="AG45" s="261"/>
      <c r="AH45" s="261"/>
      <c r="AI45" s="261"/>
      <c r="AJ45" s="261"/>
      <c r="AK45" s="261"/>
      <c r="AL45" s="261"/>
      <c r="AM45" s="261"/>
      <c r="AN45" s="261"/>
      <c r="AO45" s="261"/>
      <c r="AX45" s="260" t="s">
        <v>400</v>
      </c>
      <c r="AY45" s="261"/>
      <c r="AZ45" s="261"/>
      <c r="BA45" s="261"/>
      <c r="BB45" s="261"/>
      <c r="BC45" s="261"/>
      <c r="BD45" s="261"/>
      <c r="BE45" s="261"/>
      <c r="BF45" s="261"/>
      <c r="BG45" s="261"/>
      <c r="BH45" s="261"/>
      <c r="BI45" s="261"/>
      <c r="BJ45" s="261"/>
      <c r="BK45" s="261"/>
      <c r="BL45" s="261"/>
      <c r="BM45" s="261"/>
      <c r="BN45" s="261"/>
      <c r="BX45" s="260" t="s">
        <v>401</v>
      </c>
      <c r="BY45" s="261"/>
      <c r="BZ45" s="261"/>
      <c r="CA45" s="261"/>
      <c r="CB45" s="261"/>
      <c r="CC45" s="261"/>
      <c r="CD45" s="261"/>
      <c r="CE45" s="261"/>
      <c r="CF45" s="261"/>
      <c r="CG45" s="261"/>
      <c r="CH45" s="261"/>
      <c r="CI45" s="261"/>
      <c r="CJ45" s="261"/>
      <c r="CK45" s="261"/>
      <c r="CL45" s="261"/>
      <c r="CM45" s="261"/>
      <c r="CN45" s="261"/>
      <c r="CX45" s="273"/>
      <c r="CY45" s="275"/>
      <c r="CZ45" s="277"/>
      <c r="DA45" s="279"/>
      <c r="DB45" s="162" t="s">
        <v>132</v>
      </c>
      <c r="DC45" s="163" t="s">
        <v>133</v>
      </c>
      <c r="DD45" s="163" t="s">
        <v>134</v>
      </c>
      <c r="DE45" s="164" t="s">
        <v>135</v>
      </c>
      <c r="DF45" s="165" t="s">
        <v>136</v>
      </c>
      <c r="DG45" s="165"/>
      <c r="DH45" s="164" t="s">
        <v>137</v>
      </c>
      <c r="DI45" s="164" t="s">
        <v>133</v>
      </c>
      <c r="DJ45" s="164" t="s">
        <v>134</v>
      </c>
      <c r="DK45" s="164" t="s">
        <v>135</v>
      </c>
      <c r="DL45" s="165" t="s">
        <v>136</v>
      </c>
      <c r="DM45" s="166"/>
      <c r="DN45" s="162" t="s">
        <v>137</v>
      </c>
      <c r="DO45" s="163" t="s">
        <v>133</v>
      </c>
      <c r="DP45" s="164" t="s">
        <v>134</v>
      </c>
      <c r="DQ45" s="164" t="s">
        <v>135</v>
      </c>
      <c r="DR45" s="165" t="s">
        <v>136</v>
      </c>
      <c r="DS45" s="164" t="s">
        <v>138</v>
      </c>
      <c r="DT45" s="164" t="s">
        <v>133</v>
      </c>
      <c r="DU45" s="164" t="s">
        <v>134</v>
      </c>
      <c r="DV45" s="164" t="s">
        <v>135</v>
      </c>
      <c r="DW45" s="165" t="s">
        <v>136</v>
      </c>
      <c r="FG45" s="9" t="s">
        <v>44</v>
      </c>
      <c r="FH45" s="9" t="s">
        <v>45</v>
      </c>
      <c r="FI45" s="9" t="s">
        <v>46</v>
      </c>
      <c r="FJ45" s="9" t="s">
        <v>47</v>
      </c>
      <c r="FK45" s="9" t="s">
        <v>48</v>
      </c>
      <c r="FL45" s="9" t="s">
        <v>49</v>
      </c>
      <c r="FM45" s="9" t="s">
        <v>50</v>
      </c>
      <c r="FN45" s="9" t="s">
        <v>51</v>
      </c>
      <c r="FO45" s="9" t="s">
        <v>52</v>
      </c>
      <c r="FP45" s="9"/>
      <c r="FQ45" s="10" t="s">
        <v>53</v>
      </c>
      <c r="FR45" s="10" t="s">
        <v>54</v>
      </c>
      <c r="FS45" s="10" t="s">
        <v>55</v>
      </c>
      <c r="FT45" s="10" t="s">
        <v>56</v>
      </c>
      <c r="FU45" s="10" t="s">
        <v>57</v>
      </c>
      <c r="FV45" s="21" t="s">
        <v>58</v>
      </c>
      <c r="FW45" s="9" t="s">
        <v>44</v>
      </c>
      <c r="FX45" s="9"/>
      <c r="FY45" s="22" t="s">
        <v>59</v>
      </c>
      <c r="FZ45" s="9"/>
      <c r="GA45" s="9"/>
      <c r="GB45" s="9"/>
      <c r="GD45" s="23" t="s">
        <v>53</v>
      </c>
    </row>
    <row r="46" spans="1:205" ht="24.75" thickBot="1" x14ac:dyDescent="0.45">
      <c r="A46" s="259" t="s">
        <v>402</v>
      </c>
      <c r="B46" s="259"/>
      <c r="C46" s="259"/>
      <c r="D46" s="259"/>
      <c r="E46" s="259"/>
      <c r="F46" s="259"/>
      <c r="G46" s="1"/>
      <c r="H46" s="259" t="s">
        <v>402</v>
      </c>
      <c r="I46" s="259"/>
      <c r="J46" s="259"/>
      <c r="K46" s="259"/>
      <c r="L46" s="259"/>
      <c r="M46" s="259"/>
      <c r="N46" s="1"/>
      <c r="O46" s="259" t="s">
        <v>402</v>
      </c>
      <c r="P46" s="259"/>
      <c r="Q46" s="259"/>
      <c r="R46" s="259"/>
      <c r="S46" s="259"/>
      <c r="T46" s="259"/>
      <c r="Y46" s="269" t="s">
        <v>403</v>
      </c>
      <c r="Z46" s="269"/>
      <c r="AA46" s="269"/>
      <c r="AB46" s="269"/>
      <c r="AC46" s="269"/>
      <c r="AD46" s="269"/>
      <c r="AE46" s="269"/>
      <c r="AF46" s="269"/>
      <c r="AG46" s="16"/>
      <c r="AH46" s="269" t="s">
        <v>404</v>
      </c>
      <c r="AI46" s="269"/>
      <c r="AJ46" s="269"/>
      <c r="AK46" s="269"/>
      <c r="AL46" s="269"/>
      <c r="AM46" s="269"/>
      <c r="AN46" s="269"/>
      <c r="AO46" s="269"/>
      <c r="AX46" s="269" t="s">
        <v>403</v>
      </c>
      <c r="AY46" s="269"/>
      <c r="AZ46" s="269"/>
      <c r="BA46" s="269"/>
      <c r="BB46" s="269"/>
      <c r="BC46" s="269"/>
      <c r="BD46" s="269"/>
      <c r="BE46" s="269"/>
      <c r="BF46" s="16"/>
      <c r="BG46" s="269" t="s">
        <v>404</v>
      </c>
      <c r="BH46" s="269"/>
      <c r="BI46" s="269"/>
      <c r="BJ46" s="269"/>
      <c r="BK46" s="269"/>
      <c r="BL46" s="269"/>
      <c r="BM46" s="269"/>
      <c r="BN46" s="269"/>
      <c r="BX46" s="269" t="s">
        <v>403</v>
      </c>
      <c r="BY46" s="269"/>
      <c r="BZ46" s="269"/>
      <c r="CA46" s="269"/>
      <c r="CB46" s="269"/>
      <c r="CC46" s="269"/>
      <c r="CD46" s="269"/>
      <c r="CE46" s="269"/>
      <c r="CF46" s="16"/>
      <c r="CG46" s="269" t="s">
        <v>404</v>
      </c>
      <c r="CH46" s="269"/>
      <c r="CI46" s="269"/>
      <c r="CJ46" s="269"/>
      <c r="CK46" s="269"/>
      <c r="CL46" s="269"/>
      <c r="CM46" s="269"/>
      <c r="CN46" s="269"/>
      <c r="CX46" s="77" t="s">
        <v>147</v>
      </c>
      <c r="CY46" s="78" t="s">
        <v>148</v>
      </c>
      <c r="CZ46" s="79">
        <v>1</v>
      </c>
      <c r="DA46" s="80" t="s">
        <v>149</v>
      </c>
      <c r="DB46" s="81">
        <v>0.75</v>
      </c>
      <c r="DC46" s="82">
        <v>0</v>
      </c>
      <c r="DD46" s="82">
        <v>1.75</v>
      </c>
      <c r="DE46" s="83">
        <v>1</v>
      </c>
      <c r="DF46" s="84">
        <f t="shared" ref="DF46:DF68" si="33">SUM(DB46:DE46)</f>
        <v>3.5</v>
      </c>
      <c r="DG46" s="85"/>
      <c r="DH46" s="86">
        <f t="shared" ref="DH46:DH68" si="34">DB46+(1*CZ46)</f>
        <v>1.75</v>
      </c>
      <c r="DI46" s="82">
        <v>0</v>
      </c>
      <c r="DJ46" s="82">
        <v>1.75</v>
      </c>
      <c r="DK46" s="87">
        <v>1</v>
      </c>
      <c r="DL46" s="88">
        <f t="shared" ref="DL46:DL68" si="35">SUM(DH46:DK46)</f>
        <v>4.5</v>
      </c>
      <c r="DM46" s="89"/>
      <c r="DN46" s="86">
        <f>DB46+(1.5*CZ46)</f>
        <v>2.25</v>
      </c>
      <c r="DO46" s="90">
        <v>0</v>
      </c>
      <c r="DP46" s="82">
        <v>1.75</v>
      </c>
      <c r="DQ46" s="87">
        <v>1.5</v>
      </c>
      <c r="DR46" s="88">
        <f t="shared" ref="DR46:DR68" si="36">SUM(DN46:DQ46)</f>
        <v>5.5</v>
      </c>
      <c r="DS46" s="86">
        <f t="shared" ref="DS46:DS67" si="37">DB46+(2*CZ46)</f>
        <v>2.75</v>
      </c>
      <c r="DT46" s="90">
        <v>0</v>
      </c>
      <c r="DU46" s="82">
        <v>1.75</v>
      </c>
      <c r="DV46" s="87">
        <v>2</v>
      </c>
      <c r="DW46" s="88">
        <f t="shared" ref="DW46:DW68" si="38">SUM(DS46:DV46)</f>
        <v>6.5</v>
      </c>
      <c r="FG46" s="2" t="s">
        <v>92</v>
      </c>
      <c r="FH46" s="2">
        <v>1</v>
      </c>
      <c r="FI46" s="43" t="s">
        <v>174</v>
      </c>
      <c r="FJ46" s="43" t="s">
        <v>94</v>
      </c>
      <c r="FK46" s="43" t="s">
        <v>94</v>
      </c>
      <c r="FL46" s="43"/>
      <c r="FM46" s="2" t="s">
        <v>94</v>
      </c>
      <c r="FN46" s="2" t="s">
        <v>94</v>
      </c>
      <c r="FO46" s="26">
        <f t="shared" ref="FO46:FO59" si="39">(FH46*FV46)+FR46+FS46+FT46+FU46</f>
        <v>16</v>
      </c>
      <c r="FP46" s="2"/>
      <c r="FQ46" s="4" t="str">
        <f>IF(FI46=0,"0",IF(FI46="5/16","3",IF(FI46="3/8","3.3",IF(FI46="1/2","4",IF(FI46="5/8","5",IF(FI46="3/4","5.5","3"))))))</f>
        <v>4</v>
      </c>
      <c r="FR46" s="4" t="str">
        <f t="shared" ref="FR46:FS52" si="40">IF(FJ46="Yes","3","0")</f>
        <v>3</v>
      </c>
      <c r="FS46" s="4" t="str">
        <f t="shared" si="40"/>
        <v>3</v>
      </c>
      <c r="FT46" s="4" t="str">
        <f t="shared" ref="FT46:FT59" si="41">IF(FM46="Yes","2","0")</f>
        <v>2</v>
      </c>
      <c r="FU46" s="4" t="str">
        <f>IF(FN46="Yes","4","0")</f>
        <v>4</v>
      </c>
      <c r="FV46" s="44" t="str">
        <f>IF(FL46="Yes",FQ46*2,FQ46)</f>
        <v>4</v>
      </c>
      <c r="FW46" s="45" t="s">
        <v>92</v>
      </c>
      <c r="FX46" s="2"/>
      <c r="FY46" s="2" t="s">
        <v>95</v>
      </c>
      <c r="FZ46" s="2"/>
      <c r="GA46" s="2"/>
      <c r="GB46" s="2"/>
      <c r="GD46" s="43" t="s">
        <v>96</v>
      </c>
    </row>
    <row r="47" spans="1:205" ht="16.5" thickBot="1" x14ac:dyDescent="0.3">
      <c r="A47" s="11"/>
      <c r="B47" s="12"/>
      <c r="C47" s="13"/>
      <c r="D47" s="12"/>
      <c r="E47" s="14"/>
      <c r="F47" s="15"/>
      <c r="G47" s="1"/>
      <c r="H47" s="11"/>
      <c r="I47" s="12"/>
      <c r="J47" s="13"/>
      <c r="K47" s="12"/>
      <c r="L47" s="14"/>
      <c r="M47" s="15"/>
      <c r="N47" s="1"/>
      <c r="O47" s="11"/>
      <c r="P47" s="12"/>
      <c r="Q47" s="13"/>
      <c r="R47" s="12"/>
      <c r="S47" s="14"/>
      <c r="T47" s="15"/>
      <c r="Y47" s="30" t="s">
        <v>34</v>
      </c>
      <c r="Z47" s="31" t="s">
        <v>35</v>
      </c>
      <c r="AA47" s="31" t="s">
        <v>36</v>
      </c>
      <c r="AB47" s="31" t="s">
        <v>37</v>
      </c>
      <c r="AC47" s="32" t="s">
        <v>38</v>
      </c>
      <c r="AD47" s="33" t="s">
        <v>39</v>
      </c>
      <c r="AE47" s="31" t="s">
        <v>80</v>
      </c>
      <c r="AF47" s="34" t="s">
        <v>81</v>
      </c>
      <c r="AG47" s="1"/>
      <c r="AH47" s="35" t="s">
        <v>34</v>
      </c>
      <c r="AI47" s="36" t="s">
        <v>35</v>
      </c>
      <c r="AJ47" s="36" t="s">
        <v>36</v>
      </c>
      <c r="AK47" s="36" t="s">
        <v>37</v>
      </c>
      <c r="AL47" s="37" t="s">
        <v>38</v>
      </c>
      <c r="AM47" s="38" t="s">
        <v>39</v>
      </c>
      <c r="AN47" s="31" t="s">
        <v>80</v>
      </c>
      <c r="AO47" s="34" t="s">
        <v>81</v>
      </c>
      <c r="AX47" s="30" t="s">
        <v>34</v>
      </c>
      <c r="AY47" s="31" t="s">
        <v>35</v>
      </c>
      <c r="AZ47" s="31" t="s">
        <v>36</v>
      </c>
      <c r="BA47" s="31" t="s">
        <v>37</v>
      </c>
      <c r="BB47" s="32" t="s">
        <v>38</v>
      </c>
      <c r="BC47" s="33" t="s">
        <v>39</v>
      </c>
      <c r="BD47" s="31" t="s">
        <v>80</v>
      </c>
      <c r="BE47" s="34" t="s">
        <v>81</v>
      </c>
      <c r="BF47" s="1"/>
      <c r="BG47" s="35" t="s">
        <v>34</v>
      </c>
      <c r="BH47" s="36" t="s">
        <v>35</v>
      </c>
      <c r="BI47" s="36" t="s">
        <v>36</v>
      </c>
      <c r="BJ47" s="36" t="s">
        <v>37</v>
      </c>
      <c r="BK47" s="37" t="s">
        <v>38</v>
      </c>
      <c r="BL47" s="38" t="s">
        <v>39</v>
      </c>
      <c r="BM47" s="31" t="s">
        <v>80</v>
      </c>
      <c r="BN47" s="34" t="s">
        <v>81</v>
      </c>
      <c r="BX47" s="30" t="s">
        <v>34</v>
      </c>
      <c r="BY47" s="31" t="s">
        <v>35</v>
      </c>
      <c r="BZ47" s="31" t="s">
        <v>36</v>
      </c>
      <c r="CA47" s="31" t="s">
        <v>37</v>
      </c>
      <c r="CB47" s="32" t="s">
        <v>38</v>
      </c>
      <c r="CC47" s="33" t="s">
        <v>39</v>
      </c>
      <c r="CD47" s="31" t="s">
        <v>80</v>
      </c>
      <c r="CE47" s="34" t="s">
        <v>81</v>
      </c>
      <c r="CF47" s="1"/>
      <c r="CG47" s="35" t="s">
        <v>34</v>
      </c>
      <c r="CH47" s="36" t="s">
        <v>35</v>
      </c>
      <c r="CI47" s="36" t="s">
        <v>36</v>
      </c>
      <c r="CJ47" s="36" t="s">
        <v>37</v>
      </c>
      <c r="CK47" s="37" t="s">
        <v>38</v>
      </c>
      <c r="CL47" s="38" t="s">
        <v>39</v>
      </c>
      <c r="CM47" s="39" t="s">
        <v>80</v>
      </c>
      <c r="CN47" s="34" t="s">
        <v>81</v>
      </c>
      <c r="CX47" s="92" t="s">
        <v>158</v>
      </c>
      <c r="CY47" s="93" t="s">
        <v>159</v>
      </c>
      <c r="CZ47" s="94">
        <v>1</v>
      </c>
      <c r="DA47" s="95" t="s">
        <v>160</v>
      </c>
      <c r="DB47" s="81">
        <v>0.75</v>
      </c>
      <c r="DC47" s="82">
        <v>0</v>
      </c>
      <c r="DD47" s="82">
        <v>1.75</v>
      </c>
      <c r="DE47" s="96">
        <v>1</v>
      </c>
      <c r="DF47" s="84">
        <f t="shared" si="33"/>
        <v>3.5</v>
      </c>
      <c r="DG47" s="85"/>
      <c r="DH47" s="86">
        <f t="shared" si="34"/>
        <v>1.75</v>
      </c>
      <c r="DI47" s="82">
        <v>0</v>
      </c>
      <c r="DJ47" s="82">
        <v>1.75</v>
      </c>
      <c r="DK47" s="97">
        <v>1</v>
      </c>
      <c r="DL47" s="98">
        <f t="shared" si="35"/>
        <v>4.5</v>
      </c>
      <c r="DM47" s="98"/>
      <c r="DN47" s="86">
        <f>DB47+(1.5*CZ47)</f>
        <v>2.25</v>
      </c>
      <c r="DO47" s="99">
        <v>0</v>
      </c>
      <c r="DP47" s="82">
        <v>1.75</v>
      </c>
      <c r="DQ47" s="87">
        <v>1.5</v>
      </c>
      <c r="DR47" s="98">
        <f t="shared" si="36"/>
        <v>5.5</v>
      </c>
      <c r="DS47" s="86">
        <f t="shared" si="37"/>
        <v>2.75</v>
      </c>
      <c r="DT47" s="99">
        <v>0</v>
      </c>
      <c r="DU47" s="82">
        <v>1.75</v>
      </c>
      <c r="DV47" s="87">
        <v>2</v>
      </c>
      <c r="DW47" s="98">
        <f t="shared" si="38"/>
        <v>6.5</v>
      </c>
      <c r="FG47" s="2" t="s">
        <v>140</v>
      </c>
      <c r="FH47" s="2">
        <v>1</v>
      </c>
      <c r="FI47" s="43" t="s">
        <v>174</v>
      </c>
      <c r="FJ47" s="43" t="s">
        <v>94</v>
      </c>
      <c r="FK47" s="43" t="s">
        <v>94</v>
      </c>
      <c r="FL47" s="43"/>
      <c r="FM47" s="2" t="s">
        <v>94</v>
      </c>
      <c r="FN47" s="2" t="s">
        <v>94</v>
      </c>
      <c r="FO47" s="26">
        <f t="shared" si="39"/>
        <v>16</v>
      </c>
      <c r="FP47" s="2"/>
      <c r="FQ47" s="4" t="str">
        <f>IF(FI47=0,"0",IF(FI47="5/16","3",IF(FI47="3/8","3.3",IF(FI47="1/2","4",IF(FI47="5/8","5",IF(FI47="3/4","5.5","3"))))))</f>
        <v>4</v>
      </c>
      <c r="FR47" s="4" t="str">
        <f t="shared" si="40"/>
        <v>3</v>
      </c>
      <c r="FS47" s="4" t="str">
        <f t="shared" si="40"/>
        <v>3</v>
      </c>
      <c r="FT47" s="4" t="str">
        <f t="shared" si="41"/>
        <v>2</v>
      </c>
      <c r="FU47" s="4" t="str">
        <f t="shared" ref="FU47:FU59" si="42">IF(FN47="Yes","4","0")</f>
        <v>4</v>
      </c>
      <c r="FV47" s="44" t="str">
        <f t="shared" ref="FV47:FV59" si="43">IF(FL47="Yes",FQ47*2,FQ47)</f>
        <v>4</v>
      </c>
      <c r="FW47" s="45" t="s">
        <v>140</v>
      </c>
      <c r="FX47" s="2"/>
      <c r="FY47" s="2" t="s">
        <v>95</v>
      </c>
      <c r="FZ47" s="2"/>
      <c r="GA47" s="2"/>
      <c r="GB47" s="2"/>
      <c r="GD47" s="43" t="s">
        <v>93</v>
      </c>
      <c r="GH47" s="266" t="s">
        <v>405</v>
      </c>
      <c r="GI47" s="267"/>
      <c r="GJ47" s="267"/>
      <c r="GK47" s="268"/>
      <c r="GM47" s="266" t="s">
        <v>406</v>
      </c>
      <c r="GN47" s="267"/>
      <c r="GO47" s="267"/>
      <c r="GP47" s="267"/>
      <c r="GQ47" s="268"/>
      <c r="GS47" s="310" t="s">
        <v>407</v>
      </c>
      <c r="GT47" s="311"/>
      <c r="GU47" s="311"/>
      <c r="GV47" s="311"/>
      <c r="GW47" s="312"/>
    </row>
    <row r="48" spans="1:205" ht="16.5" thickBot="1" x14ac:dyDescent="0.3">
      <c r="A48" s="11" t="s">
        <v>408</v>
      </c>
      <c r="B48" s="12">
        <v>1</v>
      </c>
      <c r="C48" s="52" t="s">
        <v>409</v>
      </c>
      <c r="D48" s="12" t="s">
        <v>410</v>
      </c>
      <c r="E48" s="14"/>
      <c r="F48" s="15"/>
      <c r="G48" s="1"/>
      <c r="H48" s="11" t="s">
        <v>408</v>
      </c>
      <c r="I48" s="12">
        <v>1</v>
      </c>
      <c r="J48" s="52" t="s">
        <v>409</v>
      </c>
      <c r="K48" s="12" t="s">
        <v>119</v>
      </c>
      <c r="L48" s="14"/>
      <c r="M48" s="15"/>
      <c r="N48" s="1"/>
      <c r="O48" s="11" t="s">
        <v>408</v>
      </c>
      <c r="P48" s="12">
        <v>1</v>
      </c>
      <c r="Q48" s="52" t="s">
        <v>409</v>
      </c>
      <c r="R48" s="12" t="s">
        <v>120</v>
      </c>
      <c r="S48" s="14"/>
      <c r="T48" s="15"/>
      <c r="Y48" s="53" t="s">
        <v>121</v>
      </c>
      <c r="Z48" s="54">
        <v>1</v>
      </c>
      <c r="AA48" s="53" t="s">
        <v>411</v>
      </c>
      <c r="AB48" s="54" t="s">
        <v>123</v>
      </c>
      <c r="AC48" s="55">
        <f>Z48*22</f>
        <v>22</v>
      </c>
      <c r="AD48" s="56"/>
      <c r="AE48" s="57">
        <v>45376</v>
      </c>
      <c r="AF48" s="58" t="s">
        <v>182</v>
      </c>
      <c r="AG48" s="1"/>
      <c r="AH48" s="59" t="s">
        <v>125</v>
      </c>
      <c r="AI48" s="12">
        <v>1</v>
      </c>
      <c r="AJ48" s="59" t="s">
        <v>412</v>
      </c>
      <c r="AK48" s="12" t="s">
        <v>123</v>
      </c>
      <c r="AL48" s="60"/>
      <c r="AM48" s="61"/>
      <c r="AN48" s="57"/>
      <c r="AO48" s="58" t="s">
        <v>413</v>
      </c>
      <c r="AX48" s="53" t="s">
        <v>121</v>
      </c>
      <c r="AY48" s="54">
        <v>1</v>
      </c>
      <c r="AZ48" s="53" t="s">
        <v>411</v>
      </c>
      <c r="BA48" s="12" t="s">
        <v>128</v>
      </c>
      <c r="BB48" s="62"/>
      <c r="BC48" s="63"/>
      <c r="BD48" s="57"/>
      <c r="BE48" s="59" t="s">
        <v>129</v>
      </c>
      <c r="BF48" s="1"/>
      <c r="BG48" s="59" t="s">
        <v>125</v>
      </c>
      <c r="BH48" s="12">
        <v>1</v>
      </c>
      <c r="BI48" s="59" t="s">
        <v>412</v>
      </c>
      <c r="BJ48" s="64" t="s">
        <v>128</v>
      </c>
      <c r="BK48" s="60"/>
      <c r="BL48" s="65"/>
      <c r="BM48" s="57"/>
      <c r="BN48" s="66" t="s">
        <v>129</v>
      </c>
      <c r="BX48" s="53" t="s">
        <v>121</v>
      </c>
      <c r="BY48" s="54">
        <v>1</v>
      </c>
      <c r="BZ48" s="53" t="s">
        <v>411</v>
      </c>
      <c r="CA48" s="64" t="s">
        <v>130</v>
      </c>
      <c r="CB48" s="55"/>
      <c r="CC48" s="56"/>
      <c r="CD48" s="57"/>
      <c r="CE48" s="58" t="s">
        <v>131</v>
      </c>
      <c r="CF48" s="1"/>
      <c r="CG48" s="59" t="s">
        <v>125</v>
      </c>
      <c r="CH48" s="12">
        <v>1</v>
      </c>
      <c r="CI48" s="59" t="s">
        <v>412</v>
      </c>
      <c r="CJ48" s="12" t="s">
        <v>130</v>
      </c>
      <c r="CK48" s="60"/>
      <c r="CL48" s="65"/>
      <c r="CM48" s="57"/>
      <c r="CN48" s="58" t="s">
        <v>131</v>
      </c>
      <c r="CX48" s="92" t="s">
        <v>168</v>
      </c>
      <c r="CY48" s="93" t="s">
        <v>169</v>
      </c>
      <c r="CZ48" s="94">
        <v>1</v>
      </c>
      <c r="DA48" s="95" t="s">
        <v>170</v>
      </c>
      <c r="DB48" s="81">
        <v>0.75</v>
      </c>
      <c r="DC48" s="82">
        <v>0</v>
      </c>
      <c r="DD48" s="82">
        <v>0.75</v>
      </c>
      <c r="DE48" s="96">
        <v>1</v>
      </c>
      <c r="DF48" s="84">
        <f t="shared" si="33"/>
        <v>2.5</v>
      </c>
      <c r="DG48" s="85"/>
      <c r="DH48" s="86">
        <f t="shared" si="34"/>
        <v>1.75</v>
      </c>
      <c r="DI48" s="82">
        <v>0</v>
      </c>
      <c r="DJ48" s="82">
        <v>0.75</v>
      </c>
      <c r="DK48" s="97">
        <v>1</v>
      </c>
      <c r="DL48" s="98">
        <f t="shared" si="35"/>
        <v>3.5</v>
      </c>
      <c r="DM48" s="98"/>
      <c r="DN48" s="86">
        <f t="shared" ref="DN48:DN68" si="44">DB48+(1.5*CZ48)</f>
        <v>2.25</v>
      </c>
      <c r="DO48" s="99">
        <v>0</v>
      </c>
      <c r="DP48" s="82">
        <v>0.75</v>
      </c>
      <c r="DQ48" s="87">
        <v>1.5</v>
      </c>
      <c r="DR48" s="98">
        <f t="shared" si="36"/>
        <v>4.5</v>
      </c>
      <c r="DS48" s="86">
        <f t="shared" si="37"/>
        <v>2.75</v>
      </c>
      <c r="DT48" s="99">
        <v>0</v>
      </c>
      <c r="DU48" s="82">
        <v>0.75</v>
      </c>
      <c r="DV48" s="87">
        <v>2</v>
      </c>
      <c r="DW48" s="98">
        <f t="shared" si="38"/>
        <v>5.5</v>
      </c>
      <c r="FG48" s="2" t="s">
        <v>151</v>
      </c>
      <c r="FH48" s="2">
        <v>1</v>
      </c>
      <c r="FI48" s="43" t="s">
        <v>174</v>
      </c>
      <c r="FJ48" s="43" t="s">
        <v>94</v>
      </c>
      <c r="FK48" s="43" t="s">
        <v>94</v>
      </c>
      <c r="FL48" s="43"/>
      <c r="FM48" s="2" t="s">
        <v>94</v>
      </c>
      <c r="FN48" s="2" t="s">
        <v>94</v>
      </c>
      <c r="FO48" s="26">
        <f t="shared" si="39"/>
        <v>16</v>
      </c>
      <c r="FP48" s="2"/>
      <c r="FQ48" s="4" t="str">
        <f>IF(FI48=0,"0",IF(FI48="5/16","3",IF(FI48="3/8","3.3",IF(FI48="1/2","4",IF(FI48="5/8","5",IF(FI48="3/4","5.5","3"))))))</f>
        <v>4</v>
      </c>
      <c r="FR48" s="4" t="str">
        <f t="shared" si="40"/>
        <v>3</v>
      </c>
      <c r="FS48" s="4" t="str">
        <f t="shared" si="40"/>
        <v>3</v>
      </c>
      <c r="FT48" s="4" t="str">
        <f t="shared" si="41"/>
        <v>2</v>
      </c>
      <c r="FU48" s="4" t="str">
        <f t="shared" si="42"/>
        <v>4</v>
      </c>
      <c r="FV48" s="44" t="str">
        <f t="shared" si="43"/>
        <v>4</v>
      </c>
      <c r="FW48" s="45" t="s">
        <v>151</v>
      </c>
      <c r="FX48" s="2"/>
      <c r="FY48" s="2" t="s">
        <v>95</v>
      </c>
      <c r="FZ48" s="2"/>
      <c r="GA48" s="2"/>
      <c r="GB48" s="2"/>
      <c r="GD48" s="43" t="s">
        <v>152</v>
      </c>
      <c r="GH48" s="284"/>
      <c r="GI48" s="285"/>
      <c r="GJ48" s="285"/>
      <c r="GK48" s="286"/>
      <c r="GM48" s="284"/>
      <c r="GN48" s="285"/>
      <c r="GO48" s="285"/>
      <c r="GP48" s="285"/>
      <c r="GQ48" s="286"/>
      <c r="GS48" s="313"/>
      <c r="GT48" s="314"/>
      <c r="GU48" s="314"/>
      <c r="GV48" s="314"/>
      <c r="GW48" s="315"/>
    </row>
    <row r="49" spans="1:208" ht="16.5" thickBot="1" x14ac:dyDescent="0.3">
      <c r="A49" s="11" t="s">
        <v>155</v>
      </c>
      <c r="B49" s="12">
        <v>1</v>
      </c>
      <c r="C49" s="52" t="s">
        <v>414</v>
      </c>
      <c r="D49" s="12" t="s">
        <v>410</v>
      </c>
      <c r="E49" s="14"/>
      <c r="F49" s="15"/>
      <c r="G49" s="1"/>
      <c r="H49" s="11" t="s">
        <v>155</v>
      </c>
      <c r="I49" s="12">
        <v>1</v>
      </c>
      <c r="J49" s="52" t="s">
        <v>414</v>
      </c>
      <c r="K49" s="12" t="s">
        <v>119</v>
      </c>
      <c r="L49" s="14"/>
      <c r="M49" s="15"/>
      <c r="N49" s="1"/>
      <c r="O49" s="11" t="s">
        <v>155</v>
      </c>
      <c r="P49" s="12">
        <v>1</v>
      </c>
      <c r="Q49" s="52" t="s">
        <v>414</v>
      </c>
      <c r="R49" s="12" t="s">
        <v>120</v>
      </c>
      <c r="S49" s="14"/>
      <c r="T49" s="15"/>
      <c r="Y49" s="74" t="s">
        <v>121</v>
      </c>
      <c r="Z49" s="12">
        <v>1</v>
      </c>
      <c r="AA49" s="74" t="s">
        <v>415</v>
      </c>
      <c r="AB49" s="12" t="s">
        <v>123</v>
      </c>
      <c r="AC49" s="62"/>
      <c r="AD49" s="75"/>
      <c r="AE49" s="57"/>
      <c r="AF49" s="58" t="s">
        <v>413</v>
      </c>
      <c r="AG49" s="1"/>
      <c r="AH49" s="59" t="s">
        <v>125</v>
      </c>
      <c r="AI49" s="12">
        <v>1</v>
      </c>
      <c r="AJ49" s="59" t="s">
        <v>416</v>
      </c>
      <c r="AK49" s="12" t="s">
        <v>123</v>
      </c>
      <c r="AL49" s="60"/>
      <c r="AM49" s="61"/>
      <c r="AN49" s="57"/>
      <c r="AO49" s="58" t="s">
        <v>347</v>
      </c>
      <c r="AQ49" s="271" t="s">
        <v>82</v>
      </c>
      <c r="AR49" s="271"/>
      <c r="AS49" s="271"/>
      <c r="AT49" s="271"/>
      <c r="AU49" s="271"/>
      <c r="AX49" s="74" t="s">
        <v>121</v>
      </c>
      <c r="AY49" s="12">
        <v>1</v>
      </c>
      <c r="AZ49" s="74" t="s">
        <v>415</v>
      </c>
      <c r="BA49" s="12" t="s">
        <v>128</v>
      </c>
      <c r="BB49" s="62"/>
      <c r="BC49" s="75"/>
      <c r="BD49" s="57"/>
      <c r="BE49" s="59" t="s">
        <v>129</v>
      </c>
      <c r="BF49" s="1"/>
      <c r="BG49" s="59" t="s">
        <v>125</v>
      </c>
      <c r="BH49" s="12">
        <v>1</v>
      </c>
      <c r="BI49" s="59" t="s">
        <v>416</v>
      </c>
      <c r="BJ49" s="64" t="s">
        <v>128</v>
      </c>
      <c r="BK49" s="60"/>
      <c r="BL49" s="65"/>
      <c r="BM49" s="57"/>
      <c r="BN49" s="66" t="s">
        <v>129</v>
      </c>
      <c r="BP49" s="271" t="s">
        <v>82</v>
      </c>
      <c r="BQ49" s="271"/>
      <c r="BR49" s="271"/>
      <c r="BS49" s="271"/>
      <c r="BT49" s="271"/>
      <c r="BX49" s="74" t="s">
        <v>121</v>
      </c>
      <c r="BY49" s="12">
        <v>1</v>
      </c>
      <c r="BZ49" s="74" t="s">
        <v>415</v>
      </c>
      <c r="CA49" s="64" t="s">
        <v>130</v>
      </c>
      <c r="CB49" s="62"/>
      <c r="CC49" s="75"/>
      <c r="CD49" s="57"/>
      <c r="CE49" s="58" t="s">
        <v>131</v>
      </c>
      <c r="CF49" s="1"/>
      <c r="CG49" s="59" t="s">
        <v>125</v>
      </c>
      <c r="CH49" s="12">
        <v>1</v>
      </c>
      <c r="CI49" s="59" t="s">
        <v>416</v>
      </c>
      <c r="CJ49" s="12" t="s">
        <v>130</v>
      </c>
      <c r="CK49" s="60"/>
      <c r="CL49" s="76"/>
      <c r="CM49" s="57"/>
      <c r="CN49" s="58" t="s">
        <v>131</v>
      </c>
      <c r="CP49" s="271" t="s">
        <v>82</v>
      </c>
      <c r="CQ49" s="271"/>
      <c r="CR49" s="271"/>
      <c r="CS49" s="271"/>
      <c r="CT49" s="271"/>
      <c r="CX49" s="92" t="s">
        <v>183</v>
      </c>
      <c r="CY49" s="93" t="s">
        <v>184</v>
      </c>
      <c r="CZ49" s="94">
        <v>1</v>
      </c>
      <c r="DA49" s="95" t="s">
        <v>185</v>
      </c>
      <c r="DB49" s="167">
        <v>0.75</v>
      </c>
      <c r="DC49" s="105">
        <v>0</v>
      </c>
      <c r="DD49" s="105">
        <v>0.75</v>
      </c>
      <c r="DE49" s="96">
        <v>1</v>
      </c>
      <c r="DF49" s="84">
        <f t="shared" si="33"/>
        <v>2.5</v>
      </c>
      <c r="DG49" s="85"/>
      <c r="DH49" s="86">
        <f t="shared" si="34"/>
        <v>1.75</v>
      </c>
      <c r="DI49" s="105">
        <v>0</v>
      </c>
      <c r="DJ49" s="105">
        <v>0.75</v>
      </c>
      <c r="DK49" s="97">
        <v>1</v>
      </c>
      <c r="DL49" s="98">
        <f t="shared" si="35"/>
        <v>3.5</v>
      </c>
      <c r="DM49" s="98"/>
      <c r="DN49" s="86">
        <f t="shared" si="44"/>
        <v>2.25</v>
      </c>
      <c r="DO49" s="99">
        <v>0</v>
      </c>
      <c r="DP49" s="105">
        <v>0.75</v>
      </c>
      <c r="DQ49" s="87">
        <v>1.5</v>
      </c>
      <c r="DR49" s="98">
        <f t="shared" si="36"/>
        <v>4.5</v>
      </c>
      <c r="DS49" s="86">
        <f t="shared" si="37"/>
        <v>2.75</v>
      </c>
      <c r="DT49" s="99">
        <v>0</v>
      </c>
      <c r="DU49" s="105">
        <v>0.75</v>
      </c>
      <c r="DV49" s="87">
        <v>2</v>
      </c>
      <c r="DW49" s="98">
        <f t="shared" si="38"/>
        <v>5.5</v>
      </c>
      <c r="FG49" s="2" t="s">
        <v>161</v>
      </c>
      <c r="FH49" s="2">
        <v>1</v>
      </c>
      <c r="FI49" s="43" t="s">
        <v>174</v>
      </c>
      <c r="FJ49" s="43" t="s">
        <v>94</v>
      </c>
      <c r="FK49" s="43" t="s">
        <v>94</v>
      </c>
      <c r="FL49" s="43"/>
      <c r="FM49" s="2" t="s">
        <v>94</v>
      </c>
      <c r="FN49" s="2" t="s">
        <v>94</v>
      </c>
      <c r="FO49" s="26">
        <f t="shared" si="39"/>
        <v>17.5</v>
      </c>
      <c r="FP49" s="2"/>
      <c r="FQ49" s="4" t="str">
        <f>IF(FI49=0,"0",IF(FI49="5/16","3.5",IF(FI49="3/8","4",IF(FI49="1/2","5.5",IF(FI49="5/8","6",IF(FI49="3/4","6.5","3.5"))))))</f>
        <v>5.5</v>
      </c>
      <c r="FR49" s="4" t="str">
        <f t="shared" si="40"/>
        <v>3</v>
      </c>
      <c r="FS49" s="4" t="str">
        <f t="shared" si="40"/>
        <v>3</v>
      </c>
      <c r="FT49" s="4" t="str">
        <f t="shared" si="41"/>
        <v>2</v>
      </c>
      <c r="FU49" s="4" t="str">
        <f t="shared" si="42"/>
        <v>4</v>
      </c>
      <c r="FV49" s="44" t="str">
        <f t="shared" si="43"/>
        <v>5.5</v>
      </c>
      <c r="FW49" s="45" t="s">
        <v>161</v>
      </c>
      <c r="FX49" s="2"/>
      <c r="FY49" s="2" t="s">
        <v>363</v>
      </c>
      <c r="FZ49" s="2"/>
      <c r="GA49" s="2"/>
      <c r="GB49" s="2"/>
      <c r="GD49" s="43" t="s">
        <v>162</v>
      </c>
      <c r="GH49" s="27" t="s">
        <v>5</v>
      </c>
      <c r="GI49" s="28" t="s">
        <v>417</v>
      </c>
      <c r="GJ49" s="28"/>
      <c r="GK49" s="29" t="s">
        <v>418</v>
      </c>
      <c r="GM49" s="27" t="s">
        <v>5</v>
      </c>
      <c r="GN49" s="28" t="s">
        <v>419</v>
      </c>
      <c r="GO49" s="28" t="s">
        <v>420</v>
      </c>
      <c r="GP49" s="28"/>
      <c r="GQ49" s="29" t="s">
        <v>419</v>
      </c>
      <c r="GS49" s="316" t="s">
        <v>5</v>
      </c>
      <c r="GT49" s="317" t="s">
        <v>419</v>
      </c>
      <c r="GU49" s="301" t="s">
        <v>421</v>
      </c>
      <c r="GV49" s="301"/>
      <c r="GW49" s="319" t="s">
        <v>419</v>
      </c>
      <c r="GX49" s="9"/>
      <c r="GY49" s="9"/>
      <c r="GZ49" s="10"/>
    </row>
    <row r="50" spans="1:208" ht="16.5" thickBot="1" x14ac:dyDescent="0.3">
      <c r="A50" s="11"/>
      <c r="B50" s="12">
        <v>1</v>
      </c>
      <c r="C50" s="52" t="s">
        <v>422</v>
      </c>
      <c r="D50" s="12" t="s">
        <v>410</v>
      </c>
      <c r="E50" s="14"/>
      <c r="F50" s="15"/>
      <c r="G50" s="1"/>
      <c r="H50" s="11"/>
      <c r="I50" s="12">
        <v>1</v>
      </c>
      <c r="J50" s="52" t="s">
        <v>422</v>
      </c>
      <c r="K50" s="12" t="s">
        <v>119</v>
      </c>
      <c r="L50" s="14"/>
      <c r="M50" s="15"/>
      <c r="N50" s="1"/>
      <c r="O50" s="11"/>
      <c r="P50" s="12">
        <v>1</v>
      </c>
      <c r="Q50" s="52" t="s">
        <v>422</v>
      </c>
      <c r="R50" s="12" t="s">
        <v>120</v>
      </c>
      <c r="S50" s="14"/>
      <c r="T50" s="15"/>
      <c r="Y50" s="74" t="s">
        <v>121</v>
      </c>
      <c r="Z50" s="12">
        <v>1</v>
      </c>
      <c r="AA50" s="74" t="s">
        <v>423</v>
      </c>
      <c r="AB50" s="12" t="s">
        <v>123</v>
      </c>
      <c r="AC50" s="62">
        <f>Z50*35</f>
        <v>35</v>
      </c>
      <c r="AD50" s="75"/>
      <c r="AE50" s="57">
        <v>45376</v>
      </c>
      <c r="AF50" s="58" t="s">
        <v>182</v>
      </c>
      <c r="AG50" s="1"/>
      <c r="AH50" s="59" t="s">
        <v>125</v>
      </c>
      <c r="AI50" s="12">
        <v>1</v>
      </c>
      <c r="AJ50" s="59" t="s">
        <v>424</v>
      </c>
      <c r="AK50" s="12" t="s">
        <v>123</v>
      </c>
      <c r="AL50" s="60"/>
      <c r="AM50" s="61"/>
      <c r="AN50" s="57"/>
      <c r="AO50" s="58" t="s">
        <v>182</v>
      </c>
      <c r="AQ50" s="271"/>
      <c r="AR50" s="271"/>
      <c r="AS50" s="271"/>
      <c r="AT50" s="271"/>
      <c r="AU50" s="271"/>
      <c r="AX50" s="74" t="s">
        <v>121</v>
      </c>
      <c r="AY50" s="12">
        <v>1</v>
      </c>
      <c r="AZ50" s="74" t="s">
        <v>423</v>
      </c>
      <c r="BA50" s="12" t="s">
        <v>128</v>
      </c>
      <c r="BB50" s="62"/>
      <c r="BC50" s="75"/>
      <c r="BD50" s="57"/>
      <c r="BE50" s="59" t="s">
        <v>129</v>
      </c>
      <c r="BF50" s="1"/>
      <c r="BG50" s="59" t="s">
        <v>125</v>
      </c>
      <c r="BH50" s="12">
        <v>1</v>
      </c>
      <c r="BI50" s="59" t="s">
        <v>424</v>
      </c>
      <c r="BJ50" s="64" t="s">
        <v>128</v>
      </c>
      <c r="BK50" s="60"/>
      <c r="BL50" s="65"/>
      <c r="BM50" s="57"/>
      <c r="BN50" s="66" t="s">
        <v>129</v>
      </c>
      <c r="BP50" s="271"/>
      <c r="BQ50" s="271"/>
      <c r="BR50" s="271"/>
      <c r="BS50" s="271"/>
      <c r="BT50" s="271"/>
      <c r="BX50" s="74" t="s">
        <v>121</v>
      </c>
      <c r="BY50" s="12">
        <v>1</v>
      </c>
      <c r="BZ50" s="74" t="s">
        <v>423</v>
      </c>
      <c r="CA50" s="64" t="s">
        <v>130</v>
      </c>
      <c r="CB50" s="62"/>
      <c r="CC50" s="75"/>
      <c r="CD50" s="57"/>
      <c r="CE50" s="58" t="s">
        <v>131</v>
      </c>
      <c r="CF50" s="1"/>
      <c r="CG50" s="59" t="s">
        <v>125</v>
      </c>
      <c r="CH50" s="12">
        <v>1</v>
      </c>
      <c r="CI50" s="59" t="s">
        <v>424</v>
      </c>
      <c r="CJ50" s="12" t="s">
        <v>130</v>
      </c>
      <c r="CK50" s="60"/>
      <c r="CL50" s="76"/>
      <c r="CM50" s="57"/>
      <c r="CN50" s="58" t="s">
        <v>131</v>
      </c>
      <c r="CP50" s="271"/>
      <c r="CQ50" s="271"/>
      <c r="CR50" s="271"/>
      <c r="CS50" s="271"/>
      <c r="CT50" s="271"/>
      <c r="CX50" s="92" t="s">
        <v>205</v>
      </c>
      <c r="CY50" s="93" t="s">
        <v>206</v>
      </c>
      <c r="CZ50" s="94">
        <v>1</v>
      </c>
      <c r="DA50" s="95" t="s">
        <v>425</v>
      </c>
      <c r="DB50" s="167">
        <v>0.75</v>
      </c>
      <c r="DC50" s="105">
        <v>0</v>
      </c>
      <c r="DD50" s="105">
        <v>0.75</v>
      </c>
      <c r="DE50" s="96">
        <v>1</v>
      </c>
      <c r="DF50" s="84">
        <f t="shared" si="33"/>
        <v>2.5</v>
      </c>
      <c r="DG50" s="85"/>
      <c r="DH50" s="86">
        <f t="shared" si="34"/>
        <v>1.75</v>
      </c>
      <c r="DI50" s="105">
        <v>0</v>
      </c>
      <c r="DJ50" s="105">
        <v>0.75</v>
      </c>
      <c r="DK50" s="97">
        <v>1</v>
      </c>
      <c r="DL50" s="98">
        <f t="shared" si="35"/>
        <v>3.5</v>
      </c>
      <c r="DM50" s="98"/>
      <c r="DN50" s="86">
        <f t="shared" si="44"/>
        <v>2.25</v>
      </c>
      <c r="DO50" s="99">
        <v>0</v>
      </c>
      <c r="DP50" s="105">
        <v>0.75</v>
      </c>
      <c r="DQ50" s="87">
        <v>1.5</v>
      </c>
      <c r="DR50" s="98">
        <f t="shared" si="36"/>
        <v>4.5</v>
      </c>
      <c r="DS50" s="86">
        <f t="shared" si="37"/>
        <v>2.75</v>
      </c>
      <c r="DT50" s="99">
        <v>0</v>
      </c>
      <c r="DU50" s="105">
        <v>0.75</v>
      </c>
      <c r="DV50" s="87">
        <v>2</v>
      </c>
      <c r="DW50" s="98">
        <f t="shared" si="38"/>
        <v>5.5</v>
      </c>
      <c r="FG50" s="2" t="s">
        <v>172</v>
      </c>
      <c r="FH50" s="2">
        <v>1</v>
      </c>
      <c r="FI50" s="43" t="s">
        <v>174</v>
      </c>
      <c r="FJ50" s="43" t="s">
        <v>94</v>
      </c>
      <c r="FK50" s="43" t="s">
        <v>94</v>
      </c>
      <c r="FL50" s="43"/>
      <c r="FM50" s="2" t="s">
        <v>94</v>
      </c>
      <c r="FN50" s="2" t="s">
        <v>94</v>
      </c>
      <c r="FO50" s="26">
        <f t="shared" si="39"/>
        <v>19.5</v>
      </c>
      <c r="FP50" s="2"/>
      <c r="FQ50" s="4" t="str">
        <f>IF(FI50=0,"0",IF(FI50="5/16","5",IF(FI50="3/8","5.5",IF(FI50="1/2","7.5",IF(FI50="5/8","8.5",IF(FI50="3/4","9","5"))))))</f>
        <v>7.5</v>
      </c>
      <c r="FR50" s="4" t="str">
        <f t="shared" si="40"/>
        <v>3</v>
      </c>
      <c r="FS50" s="4" t="str">
        <f t="shared" si="40"/>
        <v>3</v>
      </c>
      <c r="FT50" s="4" t="str">
        <f t="shared" si="41"/>
        <v>2</v>
      </c>
      <c r="FU50" s="4" t="str">
        <f t="shared" si="42"/>
        <v>4</v>
      </c>
      <c r="FV50" s="44" t="str">
        <f t="shared" si="43"/>
        <v>7.5</v>
      </c>
      <c r="FW50" s="45" t="s">
        <v>172</v>
      </c>
      <c r="FX50" s="2"/>
      <c r="FY50" s="2" t="s">
        <v>368</v>
      </c>
      <c r="FZ50" s="2"/>
      <c r="GA50" s="2"/>
      <c r="GB50" s="2"/>
      <c r="GD50" s="43" t="s">
        <v>174</v>
      </c>
      <c r="GH50" s="17" t="s">
        <v>43</v>
      </c>
      <c r="GI50" s="72">
        <v>1</v>
      </c>
      <c r="GJ50" s="18"/>
      <c r="GK50" s="20" t="str">
        <f>IF(GI50=0,"0","3")</f>
        <v>3</v>
      </c>
      <c r="GM50" s="17" t="s">
        <v>43</v>
      </c>
      <c r="GN50" s="72" t="s">
        <v>174</v>
      </c>
      <c r="GO50" s="72" t="str">
        <f>GQ50</f>
        <v>3</v>
      </c>
      <c r="GP50" s="18"/>
      <c r="GQ50" s="20" t="str">
        <f>IF(GN50=0,"0",IF(GN50="1/2","3",IF(GN50="3/4","3","3")))</f>
        <v>3</v>
      </c>
      <c r="GS50" s="316"/>
      <c r="GT50" s="317"/>
      <c r="GU50" s="301"/>
      <c r="GV50" s="301"/>
      <c r="GW50" s="319"/>
      <c r="GX50" s="26"/>
      <c r="GY50" s="2"/>
      <c r="GZ50" s="4"/>
    </row>
    <row r="51" spans="1:208" ht="16.5" thickBot="1" x14ac:dyDescent="0.3">
      <c r="A51" s="11"/>
      <c r="B51" s="12">
        <v>1</v>
      </c>
      <c r="C51" s="52" t="s">
        <v>267</v>
      </c>
      <c r="D51" s="12" t="s">
        <v>410</v>
      </c>
      <c r="E51" s="14"/>
      <c r="F51" s="15"/>
      <c r="G51" s="1"/>
      <c r="H51" s="11"/>
      <c r="I51" s="12">
        <v>1</v>
      </c>
      <c r="J51" s="52" t="s">
        <v>267</v>
      </c>
      <c r="K51" s="12" t="s">
        <v>119</v>
      </c>
      <c r="L51" s="14"/>
      <c r="M51" s="15"/>
      <c r="N51" s="1"/>
      <c r="O51" s="11"/>
      <c r="P51" s="12">
        <v>1</v>
      </c>
      <c r="Q51" s="52" t="s">
        <v>267</v>
      </c>
      <c r="R51" s="12" t="s">
        <v>120</v>
      </c>
      <c r="S51" s="14"/>
      <c r="T51" s="15"/>
      <c r="Y51" s="74" t="s">
        <v>121</v>
      </c>
      <c r="Z51" s="12">
        <v>1</v>
      </c>
      <c r="AA51" s="74" t="s">
        <v>426</v>
      </c>
      <c r="AB51" s="12" t="s">
        <v>123</v>
      </c>
      <c r="AC51" s="62"/>
      <c r="AD51" s="62"/>
      <c r="AE51" s="57"/>
      <c r="AF51" s="58" t="s">
        <v>347</v>
      </c>
      <c r="AG51" s="1"/>
      <c r="AH51" s="59" t="s">
        <v>125</v>
      </c>
      <c r="AI51" s="12">
        <v>1</v>
      </c>
      <c r="AJ51" s="59" t="s">
        <v>427</v>
      </c>
      <c r="AK51" s="12" t="s">
        <v>123</v>
      </c>
      <c r="AL51" s="100"/>
      <c r="AM51" s="101"/>
      <c r="AN51" s="57"/>
      <c r="AO51" s="58" t="s">
        <v>347</v>
      </c>
      <c r="AQ51" s="271"/>
      <c r="AR51" s="271"/>
      <c r="AS51" s="271"/>
      <c r="AT51" s="271"/>
      <c r="AU51" s="271"/>
      <c r="AX51" s="74" t="s">
        <v>121</v>
      </c>
      <c r="AY51" s="12">
        <v>1</v>
      </c>
      <c r="AZ51" s="74" t="s">
        <v>426</v>
      </c>
      <c r="BA51" s="12" t="s">
        <v>128</v>
      </c>
      <c r="BB51" s="62"/>
      <c r="BC51" s="62"/>
      <c r="BD51" s="57"/>
      <c r="BE51" s="59" t="s">
        <v>129</v>
      </c>
      <c r="BF51" s="1"/>
      <c r="BG51" s="59" t="s">
        <v>125</v>
      </c>
      <c r="BH51" s="12">
        <v>1</v>
      </c>
      <c r="BI51" s="59" t="s">
        <v>427</v>
      </c>
      <c r="BJ51" s="64" t="s">
        <v>128</v>
      </c>
      <c r="BK51" s="60"/>
      <c r="BL51" s="60"/>
      <c r="BM51" s="57"/>
      <c r="BN51" s="66" t="s">
        <v>129</v>
      </c>
      <c r="BP51" s="271"/>
      <c r="BQ51" s="271"/>
      <c r="BR51" s="271"/>
      <c r="BS51" s="271"/>
      <c r="BT51" s="271"/>
      <c r="BX51" s="74" t="s">
        <v>121</v>
      </c>
      <c r="BY51" s="12">
        <v>1</v>
      </c>
      <c r="BZ51" s="74" t="s">
        <v>426</v>
      </c>
      <c r="CA51" s="64" t="s">
        <v>130</v>
      </c>
      <c r="CB51" s="62"/>
      <c r="CC51" s="62"/>
      <c r="CD51" s="57"/>
      <c r="CE51" s="58" t="s">
        <v>131</v>
      </c>
      <c r="CF51" s="1"/>
      <c r="CG51" s="59" t="s">
        <v>125</v>
      </c>
      <c r="CH51" s="12">
        <v>1</v>
      </c>
      <c r="CI51" s="59" t="s">
        <v>427</v>
      </c>
      <c r="CJ51" s="12" t="s">
        <v>130</v>
      </c>
      <c r="CK51" s="100"/>
      <c r="CL51" s="102"/>
      <c r="CM51" s="57"/>
      <c r="CN51" s="58" t="s">
        <v>131</v>
      </c>
      <c r="CP51" s="271"/>
      <c r="CQ51" s="271"/>
      <c r="CR51" s="271"/>
      <c r="CS51" s="271"/>
      <c r="CT51" s="271"/>
      <c r="CX51" s="92" t="s">
        <v>219</v>
      </c>
      <c r="CY51" s="93" t="s">
        <v>220</v>
      </c>
      <c r="CZ51" s="94">
        <v>1</v>
      </c>
      <c r="DA51" s="95" t="s">
        <v>428</v>
      </c>
      <c r="DB51" s="167">
        <v>0.75</v>
      </c>
      <c r="DC51" s="105">
        <v>0</v>
      </c>
      <c r="DD51" s="105">
        <v>0.75</v>
      </c>
      <c r="DE51" s="96">
        <v>1</v>
      </c>
      <c r="DF51" s="84">
        <f t="shared" si="33"/>
        <v>2.5</v>
      </c>
      <c r="DG51" s="85"/>
      <c r="DH51" s="86">
        <f t="shared" si="34"/>
        <v>1.75</v>
      </c>
      <c r="DI51" s="105">
        <v>0</v>
      </c>
      <c r="DJ51" s="105">
        <v>0.75</v>
      </c>
      <c r="DK51" s="97">
        <v>1</v>
      </c>
      <c r="DL51" s="98">
        <f t="shared" si="35"/>
        <v>3.5</v>
      </c>
      <c r="DM51" s="98"/>
      <c r="DN51" s="86">
        <f t="shared" si="44"/>
        <v>2.25</v>
      </c>
      <c r="DO51" s="99">
        <v>0</v>
      </c>
      <c r="DP51" s="105">
        <v>0.75</v>
      </c>
      <c r="DQ51" s="87">
        <v>1.5</v>
      </c>
      <c r="DR51" s="98">
        <f t="shared" si="36"/>
        <v>4.5</v>
      </c>
      <c r="DS51" s="86">
        <f t="shared" si="37"/>
        <v>2.75</v>
      </c>
      <c r="DT51" s="99">
        <v>0</v>
      </c>
      <c r="DU51" s="105">
        <v>0.75</v>
      </c>
      <c r="DV51" s="87">
        <v>2</v>
      </c>
      <c r="DW51" s="98">
        <f t="shared" si="38"/>
        <v>5.5</v>
      </c>
      <c r="FG51" s="2" t="s">
        <v>186</v>
      </c>
      <c r="FH51" s="2">
        <v>1</v>
      </c>
      <c r="FI51" s="43" t="s">
        <v>174</v>
      </c>
      <c r="FJ51" s="43" t="s">
        <v>94</v>
      </c>
      <c r="FK51" s="43" t="s">
        <v>94</v>
      </c>
      <c r="FL51" s="43"/>
      <c r="FM51" s="2" t="s">
        <v>94</v>
      </c>
      <c r="FN51" s="2" t="s">
        <v>94</v>
      </c>
      <c r="FO51" s="26">
        <f t="shared" si="39"/>
        <v>21</v>
      </c>
      <c r="FP51" s="2"/>
      <c r="FQ51" s="4" t="str">
        <f>IF(FI51=0,"0",IF(FI51="5/16","7",IF(FI51="3/8","7.5",IF(FI51="1/2","9",IF(FI51="5/8","10.5",IF(FI51="3/4","11.5","7"))))))</f>
        <v>9</v>
      </c>
      <c r="FR51" s="4" t="str">
        <f t="shared" si="40"/>
        <v>3</v>
      </c>
      <c r="FS51" s="4" t="str">
        <f t="shared" si="40"/>
        <v>3</v>
      </c>
      <c r="FT51" s="4" t="str">
        <f t="shared" si="41"/>
        <v>2</v>
      </c>
      <c r="FU51" s="4" t="str">
        <f t="shared" si="42"/>
        <v>4</v>
      </c>
      <c r="FV51" s="44" t="str">
        <f t="shared" si="43"/>
        <v>9</v>
      </c>
      <c r="FW51" s="45" t="s">
        <v>186</v>
      </c>
      <c r="FX51" s="2"/>
      <c r="FY51" s="2" t="s">
        <v>429</v>
      </c>
      <c r="FZ51" s="2"/>
      <c r="GA51" s="2"/>
      <c r="GB51" s="2"/>
      <c r="GD51" s="43" t="s">
        <v>188</v>
      </c>
      <c r="GH51" s="17" t="s">
        <v>91</v>
      </c>
      <c r="GI51" s="72">
        <v>1</v>
      </c>
      <c r="GJ51" s="18"/>
      <c r="GK51" s="20" t="str">
        <f>IF(GI51=0,"0","4")</f>
        <v>4</v>
      </c>
      <c r="GM51" s="17" t="s">
        <v>91</v>
      </c>
      <c r="GN51" s="72" t="s">
        <v>174</v>
      </c>
      <c r="GO51" s="72" t="str">
        <f t="shared" ref="GO51:GO63" si="45">GQ51</f>
        <v>3</v>
      </c>
      <c r="GP51" s="18"/>
      <c r="GQ51" s="20" t="str">
        <f t="shared" ref="GQ51:GQ54" si="46">IF(GN51=0,"0",IF(GN51="1/2","3",IF(GN51="3/4","3","3")))</f>
        <v>3</v>
      </c>
      <c r="GS51" s="17" t="s">
        <v>43</v>
      </c>
      <c r="GT51" s="72" t="s">
        <v>174</v>
      </c>
      <c r="GU51" s="318" t="str">
        <f>GW51</f>
        <v>3</v>
      </c>
      <c r="GV51" s="318"/>
      <c r="GW51" s="20" t="str">
        <f>IF(GT51=0,"0",IF(GT51="1/2","3",IF(GT51="3/4","3","3")))</f>
        <v>3</v>
      </c>
      <c r="GX51" s="26"/>
      <c r="GY51" s="2"/>
      <c r="GZ51" s="4"/>
    </row>
    <row r="52" spans="1:208" ht="16.5" thickBot="1" x14ac:dyDescent="0.3">
      <c r="A52" s="11"/>
      <c r="B52" s="12">
        <v>1</v>
      </c>
      <c r="C52" s="52" t="s">
        <v>117</v>
      </c>
      <c r="D52" s="12" t="s">
        <v>410</v>
      </c>
      <c r="E52" s="14"/>
      <c r="F52" s="15"/>
      <c r="G52" s="1"/>
      <c r="H52" s="11"/>
      <c r="I52" s="12">
        <v>1</v>
      </c>
      <c r="J52" s="52" t="s">
        <v>117</v>
      </c>
      <c r="K52" s="12" t="s">
        <v>119</v>
      </c>
      <c r="L52" s="14"/>
      <c r="M52" s="15"/>
      <c r="N52" s="1"/>
      <c r="O52" s="11"/>
      <c r="P52" s="12">
        <v>1</v>
      </c>
      <c r="Q52" s="52" t="s">
        <v>117</v>
      </c>
      <c r="R52" s="12" t="s">
        <v>120</v>
      </c>
      <c r="S52" s="14"/>
      <c r="T52" s="15"/>
      <c r="Y52" s="74" t="s">
        <v>121</v>
      </c>
      <c r="Z52" s="12">
        <v>1</v>
      </c>
      <c r="AA52" s="74" t="s">
        <v>430</v>
      </c>
      <c r="AB52" s="12" t="s">
        <v>123</v>
      </c>
      <c r="AC52" s="62"/>
      <c r="AD52" s="62"/>
      <c r="AE52" s="57"/>
      <c r="AF52" s="58" t="s">
        <v>413</v>
      </c>
      <c r="AG52" s="1"/>
      <c r="AH52" s="59" t="s">
        <v>125</v>
      </c>
      <c r="AI52" s="12">
        <v>1</v>
      </c>
      <c r="AJ52" s="59" t="s">
        <v>431</v>
      </c>
      <c r="AK52" s="12" t="s">
        <v>123</v>
      </c>
      <c r="AL52" s="100"/>
      <c r="AM52" s="101"/>
      <c r="AN52" s="57"/>
      <c r="AO52" s="58" t="s">
        <v>347</v>
      </c>
      <c r="AQ52" s="271"/>
      <c r="AR52" s="271"/>
      <c r="AS52" s="271"/>
      <c r="AT52" s="271"/>
      <c r="AU52" s="271"/>
      <c r="AX52" s="74" t="s">
        <v>121</v>
      </c>
      <c r="AY52" s="12">
        <v>1</v>
      </c>
      <c r="AZ52" s="74" t="s">
        <v>430</v>
      </c>
      <c r="BA52" s="12" t="s">
        <v>128</v>
      </c>
      <c r="BB52" s="62"/>
      <c r="BC52" s="14"/>
      <c r="BD52" s="57"/>
      <c r="BE52" s="59" t="s">
        <v>129</v>
      </c>
      <c r="BF52" s="1"/>
      <c r="BG52" s="59" t="s">
        <v>125</v>
      </c>
      <c r="BH52" s="12">
        <v>1</v>
      </c>
      <c r="BI52" s="59" t="s">
        <v>431</v>
      </c>
      <c r="BJ52" s="64" t="s">
        <v>128</v>
      </c>
      <c r="BK52" s="100"/>
      <c r="BL52" s="60"/>
      <c r="BM52" s="57"/>
      <c r="BN52" s="66" t="s">
        <v>129</v>
      </c>
      <c r="BP52" s="271"/>
      <c r="BQ52" s="271"/>
      <c r="BR52" s="271"/>
      <c r="BS52" s="271"/>
      <c r="BT52" s="271"/>
      <c r="BX52" s="74" t="s">
        <v>121</v>
      </c>
      <c r="BY52" s="12">
        <v>1</v>
      </c>
      <c r="BZ52" s="74" t="s">
        <v>430</v>
      </c>
      <c r="CA52" s="64" t="s">
        <v>130</v>
      </c>
      <c r="CB52" s="62"/>
      <c r="CC52" s="62"/>
      <c r="CD52" s="57"/>
      <c r="CE52" s="58" t="s">
        <v>131</v>
      </c>
      <c r="CF52" s="1"/>
      <c r="CG52" s="59" t="s">
        <v>125</v>
      </c>
      <c r="CH52" s="12">
        <v>1</v>
      </c>
      <c r="CI52" s="59" t="s">
        <v>431</v>
      </c>
      <c r="CJ52" s="12" t="s">
        <v>130</v>
      </c>
      <c r="CK52" s="100"/>
      <c r="CL52" s="102"/>
      <c r="CM52" s="57"/>
      <c r="CN52" s="58" t="s">
        <v>131</v>
      </c>
      <c r="CP52" s="271"/>
      <c r="CQ52" s="271"/>
      <c r="CR52" s="271"/>
      <c r="CS52" s="271"/>
      <c r="CT52" s="271"/>
      <c r="CX52" s="92" t="s">
        <v>231</v>
      </c>
      <c r="CY52" s="93" t="s">
        <v>232</v>
      </c>
      <c r="CZ52" s="94">
        <v>1</v>
      </c>
      <c r="DA52" s="95" t="s">
        <v>432</v>
      </c>
      <c r="DB52" s="167">
        <v>0.75</v>
      </c>
      <c r="DC52" s="105">
        <v>0</v>
      </c>
      <c r="DD52" s="105">
        <v>1</v>
      </c>
      <c r="DE52" s="96">
        <v>1</v>
      </c>
      <c r="DF52" s="84">
        <f t="shared" si="33"/>
        <v>2.75</v>
      </c>
      <c r="DG52" s="85"/>
      <c r="DH52" s="86">
        <f t="shared" si="34"/>
        <v>1.75</v>
      </c>
      <c r="DI52" s="105">
        <v>0</v>
      </c>
      <c r="DJ52" s="105">
        <v>1</v>
      </c>
      <c r="DK52" s="97">
        <v>1</v>
      </c>
      <c r="DL52" s="98">
        <f t="shared" si="35"/>
        <v>3.75</v>
      </c>
      <c r="DM52" s="98"/>
      <c r="DN52" s="86">
        <f t="shared" si="44"/>
        <v>2.25</v>
      </c>
      <c r="DO52" s="99">
        <v>0</v>
      </c>
      <c r="DP52" s="105">
        <v>1</v>
      </c>
      <c r="DQ52" s="87">
        <v>1.5</v>
      </c>
      <c r="DR52" s="98">
        <f t="shared" si="36"/>
        <v>4.75</v>
      </c>
      <c r="DS52" s="86">
        <f t="shared" si="37"/>
        <v>2.75</v>
      </c>
      <c r="DT52" s="99">
        <v>0</v>
      </c>
      <c r="DU52" s="105">
        <v>1</v>
      </c>
      <c r="DV52" s="87">
        <v>2</v>
      </c>
      <c r="DW52" s="98">
        <f t="shared" si="38"/>
        <v>5.75</v>
      </c>
      <c r="FG52" s="2" t="s">
        <v>209</v>
      </c>
      <c r="FH52" s="2">
        <v>1</v>
      </c>
      <c r="FI52" s="43" t="s">
        <v>174</v>
      </c>
      <c r="FJ52" s="43" t="s">
        <v>94</v>
      </c>
      <c r="FK52" s="43" t="s">
        <v>94</v>
      </c>
      <c r="FL52" s="43"/>
      <c r="FM52" s="2" t="s">
        <v>94</v>
      </c>
      <c r="FN52" s="2" t="s">
        <v>94</v>
      </c>
      <c r="FO52" s="26">
        <f t="shared" si="39"/>
        <v>23</v>
      </c>
      <c r="FP52" s="2"/>
      <c r="FQ52" s="4" t="str">
        <f>IF(FI52=0,"0",IF(FI52="5/16","8",IF(FI52="3/8","8.5",IF(FI52="1/2","11",IF(FI52="5/8","13",IF(FI52="3/4","14","8"))))))</f>
        <v>11</v>
      </c>
      <c r="FR52" s="4" t="str">
        <f t="shared" si="40"/>
        <v>3</v>
      </c>
      <c r="FS52" s="4" t="str">
        <f t="shared" si="40"/>
        <v>3</v>
      </c>
      <c r="FT52" s="4" t="str">
        <f t="shared" si="41"/>
        <v>2</v>
      </c>
      <c r="FU52" s="4" t="str">
        <f t="shared" si="42"/>
        <v>4</v>
      </c>
      <c r="FV52" s="44" t="str">
        <f t="shared" si="43"/>
        <v>11</v>
      </c>
      <c r="FW52" s="45" t="s">
        <v>209</v>
      </c>
      <c r="FX52" s="2"/>
      <c r="FY52" s="2" t="s">
        <v>433</v>
      </c>
      <c r="FZ52" s="2"/>
      <c r="GA52" s="2"/>
      <c r="GB52" s="2"/>
      <c r="GD52" s="43" t="s">
        <v>211</v>
      </c>
      <c r="GH52" s="17" t="s">
        <v>114</v>
      </c>
      <c r="GI52" s="72">
        <v>1</v>
      </c>
      <c r="GJ52" s="18"/>
      <c r="GK52" s="20" t="str">
        <f>IF(GI52=0,"0","5")</f>
        <v>5</v>
      </c>
      <c r="GM52" s="17" t="s">
        <v>114</v>
      </c>
      <c r="GN52" s="72" t="s">
        <v>174</v>
      </c>
      <c r="GO52" s="72" t="str">
        <f t="shared" si="45"/>
        <v>3</v>
      </c>
      <c r="GP52" s="18"/>
      <c r="GQ52" s="20" t="str">
        <f t="shared" si="46"/>
        <v>3</v>
      </c>
      <c r="GS52" s="17" t="s">
        <v>91</v>
      </c>
      <c r="GT52" s="72" t="s">
        <v>174</v>
      </c>
      <c r="GU52" s="318" t="str">
        <f t="shared" ref="GU52:GU64" si="47">GW52</f>
        <v>3</v>
      </c>
      <c r="GV52" s="318"/>
      <c r="GW52" s="20" t="str">
        <f t="shared" ref="GW52:GW55" si="48">IF(GT52=0,"0",IF(GT52="1/2","3",IF(GT52="3/4","3","3")))</f>
        <v>3</v>
      </c>
      <c r="GX52" s="26"/>
      <c r="GY52" s="2"/>
      <c r="GZ52" s="4"/>
    </row>
    <row r="53" spans="1:208" ht="16.5" thickBot="1" x14ac:dyDescent="0.3">
      <c r="A53" s="11" t="s">
        <v>434</v>
      </c>
      <c r="B53" s="12">
        <v>1</v>
      </c>
      <c r="C53" s="52" t="s">
        <v>435</v>
      </c>
      <c r="D53" s="12" t="s">
        <v>410</v>
      </c>
      <c r="E53" s="14"/>
      <c r="F53" s="15"/>
      <c r="G53" s="1"/>
      <c r="H53" s="11" t="s">
        <v>434</v>
      </c>
      <c r="I53" s="12">
        <v>1</v>
      </c>
      <c r="J53" s="52" t="s">
        <v>435</v>
      </c>
      <c r="K53" s="12" t="s">
        <v>119</v>
      </c>
      <c r="L53" s="14"/>
      <c r="M53" s="15"/>
      <c r="N53" s="1"/>
      <c r="O53" s="11" t="s">
        <v>434</v>
      </c>
      <c r="P53" s="12">
        <v>1</v>
      </c>
      <c r="Q53" s="52" t="s">
        <v>435</v>
      </c>
      <c r="R53" s="12" t="s">
        <v>120</v>
      </c>
      <c r="S53" s="14"/>
      <c r="T53" s="15"/>
      <c r="Y53" s="74" t="s">
        <v>121</v>
      </c>
      <c r="Z53" s="12">
        <v>1</v>
      </c>
      <c r="AA53" s="74" t="s">
        <v>436</v>
      </c>
      <c r="AB53" s="12" t="s">
        <v>123</v>
      </c>
      <c r="AC53" s="62"/>
      <c r="AD53" s="62"/>
      <c r="AE53" s="57"/>
      <c r="AF53" s="58" t="s">
        <v>203</v>
      </c>
      <c r="AG53" s="1"/>
      <c r="AH53" s="59" t="s">
        <v>125</v>
      </c>
      <c r="AI53" s="12">
        <v>1</v>
      </c>
      <c r="AJ53" s="59" t="s">
        <v>437</v>
      </c>
      <c r="AK53" s="12" t="s">
        <v>123</v>
      </c>
      <c r="AL53" s="100"/>
      <c r="AM53" s="101"/>
      <c r="AN53" s="57"/>
      <c r="AO53" s="58" t="s">
        <v>203</v>
      </c>
      <c r="AQ53" s="271"/>
      <c r="AR53" s="271"/>
      <c r="AS53" s="271"/>
      <c r="AT53" s="271"/>
      <c r="AU53" s="271"/>
      <c r="AX53" s="74" t="s">
        <v>121</v>
      </c>
      <c r="AY53" s="12">
        <v>1</v>
      </c>
      <c r="AZ53" s="74" t="s">
        <v>436</v>
      </c>
      <c r="BA53" s="12" t="s">
        <v>128</v>
      </c>
      <c r="BB53" s="62"/>
      <c r="BC53" s="14"/>
      <c r="BD53" s="57"/>
      <c r="BE53" s="59" t="s">
        <v>129</v>
      </c>
      <c r="BF53" s="1"/>
      <c r="BG53" s="59" t="s">
        <v>125</v>
      </c>
      <c r="BH53" s="12">
        <v>1</v>
      </c>
      <c r="BI53" s="59" t="s">
        <v>437</v>
      </c>
      <c r="BJ53" s="64" t="s">
        <v>128</v>
      </c>
      <c r="BK53" s="100"/>
      <c r="BL53" s="60"/>
      <c r="BM53" s="57"/>
      <c r="BN53" s="66" t="s">
        <v>129</v>
      </c>
      <c r="BP53" s="271"/>
      <c r="BQ53" s="271"/>
      <c r="BR53" s="271"/>
      <c r="BS53" s="271"/>
      <c r="BT53" s="271"/>
      <c r="BX53" s="74" t="s">
        <v>121</v>
      </c>
      <c r="BY53" s="12">
        <v>1</v>
      </c>
      <c r="BZ53" s="74" t="s">
        <v>436</v>
      </c>
      <c r="CA53" s="64" t="s">
        <v>130</v>
      </c>
      <c r="CB53" s="62"/>
      <c r="CC53" s="62"/>
      <c r="CD53" s="57"/>
      <c r="CE53" s="58" t="s">
        <v>131</v>
      </c>
      <c r="CF53" s="1"/>
      <c r="CG53" s="59" t="s">
        <v>125</v>
      </c>
      <c r="CH53" s="12">
        <v>1</v>
      </c>
      <c r="CI53" s="59" t="s">
        <v>437</v>
      </c>
      <c r="CJ53" s="12" t="s">
        <v>130</v>
      </c>
      <c r="CK53" s="100"/>
      <c r="CL53" s="102"/>
      <c r="CM53" s="57"/>
      <c r="CN53" s="58" t="s">
        <v>131</v>
      </c>
      <c r="CP53" s="271"/>
      <c r="CQ53" s="271"/>
      <c r="CR53" s="271"/>
      <c r="CS53" s="271"/>
      <c r="CT53" s="271"/>
      <c r="CX53" s="92" t="s">
        <v>242</v>
      </c>
      <c r="CY53" s="93" t="s">
        <v>243</v>
      </c>
      <c r="CZ53" s="94">
        <v>1</v>
      </c>
      <c r="DA53" s="95" t="s">
        <v>438</v>
      </c>
      <c r="DB53" s="167">
        <v>0.75</v>
      </c>
      <c r="DC53" s="105">
        <v>0</v>
      </c>
      <c r="DD53" s="105">
        <v>1</v>
      </c>
      <c r="DE53" s="96">
        <v>1</v>
      </c>
      <c r="DF53" s="84">
        <f t="shared" si="33"/>
        <v>2.75</v>
      </c>
      <c r="DG53" s="85"/>
      <c r="DH53" s="86">
        <f t="shared" si="34"/>
        <v>1.75</v>
      </c>
      <c r="DI53" s="105">
        <v>0</v>
      </c>
      <c r="DJ53" s="105">
        <v>1</v>
      </c>
      <c r="DK53" s="97">
        <v>1</v>
      </c>
      <c r="DL53" s="98">
        <f t="shared" si="35"/>
        <v>3.75</v>
      </c>
      <c r="DM53" s="98"/>
      <c r="DN53" s="86">
        <f t="shared" si="44"/>
        <v>2.25</v>
      </c>
      <c r="DO53" s="99">
        <v>0</v>
      </c>
      <c r="DP53" s="105">
        <v>1</v>
      </c>
      <c r="DQ53" s="87">
        <v>1.5</v>
      </c>
      <c r="DR53" s="98">
        <f t="shared" si="36"/>
        <v>4.75</v>
      </c>
      <c r="DS53" s="86">
        <f t="shared" si="37"/>
        <v>2.75</v>
      </c>
      <c r="DT53" s="99">
        <v>0</v>
      </c>
      <c r="DU53" s="105">
        <v>1</v>
      </c>
      <c r="DV53" s="87">
        <v>2</v>
      </c>
      <c r="DW53" s="98">
        <f t="shared" si="38"/>
        <v>5.75</v>
      </c>
      <c r="FG53" s="2" t="s">
        <v>222</v>
      </c>
      <c r="FH53" s="2">
        <v>1</v>
      </c>
      <c r="FI53" s="43" t="s">
        <v>174</v>
      </c>
      <c r="FJ53" s="43" t="s">
        <v>94</v>
      </c>
      <c r="FK53" s="43" t="s">
        <v>94</v>
      </c>
      <c r="FL53" s="43"/>
      <c r="FM53" s="2" t="s">
        <v>94</v>
      </c>
      <c r="FN53" s="2" t="s">
        <v>94</v>
      </c>
      <c r="FO53" s="26">
        <f t="shared" si="39"/>
        <v>27.5</v>
      </c>
      <c r="FP53" s="2"/>
      <c r="FQ53" s="4" t="str">
        <f>IF(FI53=0,"0",IF(FI53="5/16","10",IF(FI53="3/8","10.5",IF(FI53="1/2","13.5",IF(FI53="5/8","15.5",IF(FI53="3/4","16","10"))))))</f>
        <v>13.5</v>
      </c>
      <c r="FR53" s="4" t="str">
        <f t="shared" ref="FR53:FS56" si="49">IF(FJ53="Yes","4","0")</f>
        <v>4</v>
      </c>
      <c r="FS53" s="4" t="str">
        <f t="shared" si="49"/>
        <v>4</v>
      </c>
      <c r="FT53" s="4" t="str">
        <f t="shared" si="41"/>
        <v>2</v>
      </c>
      <c r="FU53" s="4" t="str">
        <f t="shared" si="42"/>
        <v>4</v>
      </c>
      <c r="FV53" s="44" t="str">
        <f t="shared" si="43"/>
        <v>13.5</v>
      </c>
      <c r="FW53" s="45" t="s">
        <v>222</v>
      </c>
      <c r="FX53" s="2"/>
      <c r="FY53" s="2" t="s">
        <v>439</v>
      </c>
      <c r="FZ53" s="2"/>
      <c r="GA53" s="2"/>
      <c r="GB53" s="2"/>
      <c r="GD53" s="43"/>
      <c r="GH53" s="17" t="s">
        <v>142</v>
      </c>
      <c r="GI53" s="72">
        <v>1</v>
      </c>
      <c r="GJ53" s="18"/>
      <c r="GK53" s="20" t="str">
        <f>IF(GI53=0,"0","5")</f>
        <v>5</v>
      </c>
      <c r="GM53" s="17" t="s">
        <v>142</v>
      </c>
      <c r="GN53" s="72" t="s">
        <v>174</v>
      </c>
      <c r="GO53" s="72" t="str">
        <f t="shared" si="45"/>
        <v>3</v>
      </c>
      <c r="GP53" s="18"/>
      <c r="GQ53" s="20" t="str">
        <f t="shared" si="46"/>
        <v>3</v>
      </c>
      <c r="GS53" s="17" t="s">
        <v>114</v>
      </c>
      <c r="GT53" s="72" t="s">
        <v>174</v>
      </c>
      <c r="GU53" s="318" t="str">
        <f t="shared" si="47"/>
        <v>3</v>
      </c>
      <c r="GV53" s="318"/>
      <c r="GW53" s="20" t="str">
        <f t="shared" si="48"/>
        <v>3</v>
      </c>
      <c r="GX53" s="26"/>
      <c r="GY53" s="2"/>
      <c r="GZ53" s="4"/>
    </row>
    <row r="54" spans="1:208" ht="16.5" thickBot="1" x14ac:dyDescent="0.3">
      <c r="A54" s="11" t="s">
        <v>201</v>
      </c>
      <c r="B54" s="12">
        <v>2</v>
      </c>
      <c r="C54" s="52" t="s">
        <v>117</v>
      </c>
      <c r="D54" s="12" t="s">
        <v>118</v>
      </c>
      <c r="E54" s="14"/>
      <c r="F54" s="111"/>
      <c r="G54" s="1"/>
      <c r="H54" s="11" t="s">
        <v>201</v>
      </c>
      <c r="I54" s="12">
        <v>2</v>
      </c>
      <c r="J54" s="52" t="s">
        <v>117</v>
      </c>
      <c r="K54" s="12" t="s">
        <v>119</v>
      </c>
      <c r="L54" s="14"/>
      <c r="M54" s="111"/>
      <c r="N54" s="1"/>
      <c r="O54" s="11" t="s">
        <v>201</v>
      </c>
      <c r="P54" s="12">
        <v>2</v>
      </c>
      <c r="Q54" s="52" t="s">
        <v>117</v>
      </c>
      <c r="R54" s="12" t="s">
        <v>119</v>
      </c>
      <c r="S54" s="14"/>
      <c r="T54" s="111"/>
      <c r="Y54" s="74" t="s">
        <v>121</v>
      </c>
      <c r="Z54" s="12">
        <v>1</v>
      </c>
      <c r="AA54" s="74" t="s">
        <v>440</v>
      </c>
      <c r="AB54" s="12" t="s">
        <v>123</v>
      </c>
      <c r="AC54" s="62"/>
      <c r="AD54" s="62"/>
      <c r="AE54" s="57"/>
      <c r="AF54" s="58" t="s">
        <v>413</v>
      </c>
      <c r="AG54" s="1"/>
      <c r="AH54" s="59" t="s">
        <v>125</v>
      </c>
      <c r="AI54" s="12">
        <v>1</v>
      </c>
      <c r="AJ54" s="59" t="s">
        <v>441</v>
      </c>
      <c r="AK54" s="12" t="s">
        <v>123</v>
      </c>
      <c r="AL54" s="100"/>
      <c r="AM54" s="101"/>
      <c r="AN54" s="57"/>
      <c r="AO54" s="58" t="s">
        <v>127</v>
      </c>
      <c r="AX54" s="74" t="s">
        <v>121</v>
      </c>
      <c r="AY54" s="12">
        <v>1</v>
      </c>
      <c r="AZ54" s="74" t="s">
        <v>440</v>
      </c>
      <c r="BA54" s="12" t="s">
        <v>128</v>
      </c>
      <c r="BB54" s="62"/>
      <c r="BC54" s="14"/>
      <c r="BD54" s="57"/>
      <c r="BE54" s="59" t="s">
        <v>129</v>
      </c>
      <c r="BF54" s="1"/>
      <c r="BG54" s="59" t="s">
        <v>125</v>
      </c>
      <c r="BH54" s="12">
        <v>1</v>
      </c>
      <c r="BI54" s="59" t="s">
        <v>441</v>
      </c>
      <c r="BJ54" s="64" t="s">
        <v>128</v>
      </c>
      <c r="BK54" s="100"/>
      <c r="BL54" s="60"/>
      <c r="BM54" s="57"/>
      <c r="BN54" s="66" t="s">
        <v>129</v>
      </c>
      <c r="BX54" s="74" t="s">
        <v>121</v>
      </c>
      <c r="BY54" s="12">
        <v>1</v>
      </c>
      <c r="BZ54" s="74" t="s">
        <v>440</v>
      </c>
      <c r="CA54" s="64" t="s">
        <v>130</v>
      </c>
      <c r="CB54" s="62"/>
      <c r="CC54" s="62"/>
      <c r="CD54" s="57"/>
      <c r="CE54" s="58" t="s">
        <v>131</v>
      </c>
      <c r="CF54" s="1"/>
      <c r="CG54" s="59" t="s">
        <v>125</v>
      </c>
      <c r="CH54" s="12">
        <v>1</v>
      </c>
      <c r="CI54" s="59" t="s">
        <v>441</v>
      </c>
      <c r="CJ54" s="12" t="s">
        <v>130</v>
      </c>
      <c r="CK54" s="100"/>
      <c r="CL54" s="60"/>
      <c r="CM54" s="57"/>
      <c r="CN54" s="58" t="s">
        <v>131</v>
      </c>
      <c r="CX54" s="92" t="s">
        <v>252</v>
      </c>
      <c r="CY54" s="93" t="s">
        <v>253</v>
      </c>
      <c r="CZ54" s="128">
        <v>2</v>
      </c>
      <c r="DA54" s="95" t="s">
        <v>442</v>
      </c>
      <c r="DB54" s="167">
        <v>1.5</v>
      </c>
      <c r="DC54" s="105">
        <v>1</v>
      </c>
      <c r="DD54" s="105">
        <v>1</v>
      </c>
      <c r="DE54" s="96">
        <v>1</v>
      </c>
      <c r="DF54" s="84">
        <f t="shared" si="33"/>
        <v>4.5</v>
      </c>
      <c r="DG54" s="85"/>
      <c r="DH54" s="86">
        <f t="shared" si="34"/>
        <v>3.5</v>
      </c>
      <c r="DI54" s="105">
        <v>1</v>
      </c>
      <c r="DJ54" s="105">
        <v>1</v>
      </c>
      <c r="DK54" s="97">
        <v>1</v>
      </c>
      <c r="DL54" s="98">
        <f t="shared" si="35"/>
        <v>6.5</v>
      </c>
      <c r="DM54" s="98"/>
      <c r="DN54" s="86">
        <f t="shared" si="44"/>
        <v>4.5</v>
      </c>
      <c r="DO54" s="99">
        <v>1.5</v>
      </c>
      <c r="DP54" s="105">
        <v>1</v>
      </c>
      <c r="DQ54" s="87">
        <v>1.5</v>
      </c>
      <c r="DR54" s="98">
        <f t="shared" si="36"/>
        <v>8.5</v>
      </c>
      <c r="DS54" s="86">
        <f t="shared" si="37"/>
        <v>5.5</v>
      </c>
      <c r="DT54" s="99">
        <v>2</v>
      </c>
      <c r="DU54" s="105">
        <v>1</v>
      </c>
      <c r="DV54" s="87">
        <v>2</v>
      </c>
      <c r="DW54" s="98">
        <f>SUM(DS54:DV54)</f>
        <v>10.5</v>
      </c>
      <c r="FG54" s="2" t="s">
        <v>234</v>
      </c>
      <c r="FH54" s="2">
        <v>1</v>
      </c>
      <c r="FI54" s="43" t="s">
        <v>174</v>
      </c>
      <c r="FJ54" s="43" t="s">
        <v>94</v>
      </c>
      <c r="FK54" s="43" t="s">
        <v>94</v>
      </c>
      <c r="FL54" s="43"/>
      <c r="FM54" s="2" t="s">
        <v>94</v>
      </c>
      <c r="FN54" s="2" t="s">
        <v>94</v>
      </c>
      <c r="FO54" s="26">
        <f t="shared" si="39"/>
        <v>31</v>
      </c>
      <c r="FP54" s="2"/>
      <c r="FQ54" s="4" t="str">
        <f>IF(FI54=0,"0",IF(FI54="5/16","12",IF(FI54="3/8","13",IF(FI54="1/2","17",IF(FI54="5/8","20",IF(FI54="3/4","22","12"))))))</f>
        <v>17</v>
      </c>
      <c r="FR54" s="4" t="str">
        <f t="shared" si="49"/>
        <v>4</v>
      </c>
      <c r="FS54" s="4" t="str">
        <f t="shared" si="49"/>
        <v>4</v>
      </c>
      <c r="FT54" s="4" t="str">
        <f t="shared" si="41"/>
        <v>2</v>
      </c>
      <c r="FU54" s="4" t="str">
        <f t="shared" si="42"/>
        <v>4</v>
      </c>
      <c r="FV54" s="44" t="str">
        <f t="shared" si="43"/>
        <v>17</v>
      </c>
      <c r="FW54" s="45" t="s">
        <v>234</v>
      </c>
      <c r="FX54" s="2"/>
      <c r="FY54" s="2" t="s">
        <v>443</v>
      </c>
      <c r="FZ54" s="2"/>
      <c r="GA54" s="2"/>
      <c r="GB54" s="2"/>
      <c r="GD54" s="43"/>
      <c r="GH54" s="17" t="s">
        <v>154</v>
      </c>
      <c r="GI54" s="72">
        <v>1</v>
      </c>
      <c r="GJ54" s="18"/>
      <c r="GK54" s="20" t="str">
        <f>IF(GI54=0,"0","5")</f>
        <v>5</v>
      </c>
      <c r="GM54" s="17" t="s">
        <v>154</v>
      </c>
      <c r="GN54" s="72" t="s">
        <v>174</v>
      </c>
      <c r="GO54" s="72" t="str">
        <f t="shared" si="45"/>
        <v>3</v>
      </c>
      <c r="GP54" s="18"/>
      <c r="GQ54" s="20" t="str">
        <f t="shared" si="46"/>
        <v>3</v>
      </c>
      <c r="GS54" s="17" t="s">
        <v>142</v>
      </c>
      <c r="GT54" s="72" t="s">
        <v>174</v>
      </c>
      <c r="GU54" s="318" t="str">
        <f t="shared" si="47"/>
        <v>3</v>
      </c>
      <c r="GV54" s="318"/>
      <c r="GW54" s="20" t="str">
        <f t="shared" si="48"/>
        <v>3</v>
      </c>
      <c r="GX54" s="26"/>
      <c r="GY54" s="2"/>
      <c r="GZ54" s="4"/>
    </row>
    <row r="55" spans="1:208" ht="16.5" thickBot="1" x14ac:dyDescent="0.3">
      <c r="A55" s="11" t="s">
        <v>215</v>
      </c>
      <c r="B55" s="12">
        <v>1</v>
      </c>
      <c r="C55" s="52" t="s">
        <v>216</v>
      </c>
      <c r="D55" s="12" t="s">
        <v>118</v>
      </c>
      <c r="E55" s="14">
        <v>25</v>
      </c>
      <c r="F55" s="111">
        <v>1</v>
      </c>
      <c r="G55" s="1"/>
      <c r="H55" s="11" t="s">
        <v>215</v>
      </c>
      <c r="I55" s="12">
        <v>1</v>
      </c>
      <c r="J55" s="52" t="s">
        <v>216</v>
      </c>
      <c r="K55" s="12" t="s">
        <v>119</v>
      </c>
      <c r="L55" s="14">
        <v>30</v>
      </c>
      <c r="M55" s="111">
        <v>1</v>
      </c>
      <c r="N55" s="1"/>
      <c r="O55" s="11" t="s">
        <v>215</v>
      </c>
      <c r="P55" s="12">
        <v>1</v>
      </c>
      <c r="Q55" s="52" t="s">
        <v>216</v>
      </c>
      <c r="R55" s="12" t="s">
        <v>119</v>
      </c>
      <c r="S55" s="14">
        <v>30</v>
      </c>
      <c r="T55" s="111">
        <v>1</v>
      </c>
      <c r="Y55" s="74" t="s">
        <v>121</v>
      </c>
      <c r="Z55" s="12">
        <v>1</v>
      </c>
      <c r="AA55" s="74" t="s">
        <v>444</v>
      </c>
      <c r="AB55" s="12" t="s">
        <v>123</v>
      </c>
      <c r="AC55" s="62"/>
      <c r="AD55" s="62"/>
      <c r="AE55" s="57"/>
      <c r="AF55" s="58" t="s">
        <v>182</v>
      </c>
      <c r="AG55" s="1"/>
      <c r="AH55" s="59" t="s">
        <v>125</v>
      </c>
      <c r="AI55" s="12">
        <v>1</v>
      </c>
      <c r="AJ55" s="59" t="s">
        <v>445</v>
      </c>
      <c r="AK55" s="12" t="s">
        <v>123</v>
      </c>
      <c r="AL55" s="114"/>
      <c r="AM55" s="61"/>
      <c r="AN55" s="57"/>
      <c r="AO55" s="58" t="s">
        <v>203</v>
      </c>
      <c r="AX55" s="74" t="s">
        <v>121</v>
      </c>
      <c r="AY55" s="12">
        <v>1</v>
      </c>
      <c r="AZ55" s="74" t="s">
        <v>444</v>
      </c>
      <c r="BA55" s="12" t="s">
        <v>128</v>
      </c>
      <c r="BB55" s="62"/>
      <c r="BC55" s="62"/>
      <c r="BD55" s="57"/>
      <c r="BE55" s="59" t="s">
        <v>129</v>
      </c>
      <c r="BF55" s="1"/>
      <c r="BG55" s="59" t="s">
        <v>125</v>
      </c>
      <c r="BH55" s="12">
        <v>1</v>
      </c>
      <c r="BI55" s="59" t="s">
        <v>445</v>
      </c>
      <c r="BJ55" s="64" t="s">
        <v>128</v>
      </c>
      <c r="BK55" s="114"/>
      <c r="BL55" s="65"/>
      <c r="BM55" s="57"/>
      <c r="BN55" s="66" t="s">
        <v>129</v>
      </c>
      <c r="BX55" s="74" t="s">
        <v>121</v>
      </c>
      <c r="BY55" s="12">
        <v>1</v>
      </c>
      <c r="BZ55" s="74" t="s">
        <v>444</v>
      </c>
      <c r="CA55" s="64" t="s">
        <v>130</v>
      </c>
      <c r="CB55" s="62"/>
      <c r="CC55" s="62"/>
      <c r="CD55" s="57"/>
      <c r="CE55" s="58" t="s">
        <v>131</v>
      </c>
      <c r="CF55" s="1"/>
      <c r="CG55" s="59" t="s">
        <v>125</v>
      </c>
      <c r="CH55" s="12">
        <v>1</v>
      </c>
      <c r="CI55" s="59" t="s">
        <v>445</v>
      </c>
      <c r="CJ55" s="12" t="s">
        <v>130</v>
      </c>
      <c r="CK55" s="114"/>
      <c r="CL55" s="76"/>
      <c r="CM55" s="57"/>
      <c r="CN55" s="58" t="s">
        <v>131</v>
      </c>
      <c r="CX55" s="92" t="s">
        <v>259</v>
      </c>
      <c r="CY55" s="93" t="s">
        <v>260</v>
      </c>
      <c r="CZ55" s="128">
        <v>2</v>
      </c>
      <c r="DA55" s="95" t="s">
        <v>446</v>
      </c>
      <c r="DB55" s="167">
        <v>1.5</v>
      </c>
      <c r="DC55" s="105">
        <v>1</v>
      </c>
      <c r="DD55" s="105">
        <v>1</v>
      </c>
      <c r="DE55" s="96">
        <v>1</v>
      </c>
      <c r="DF55" s="84">
        <f t="shared" si="33"/>
        <v>4.5</v>
      </c>
      <c r="DG55" s="85"/>
      <c r="DH55" s="86">
        <f t="shared" si="34"/>
        <v>3.5</v>
      </c>
      <c r="DI55" s="105">
        <v>1</v>
      </c>
      <c r="DJ55" s="105">
        <v>1</v>
      </c>
      <c r="DK55" s="97">
        <v>1</v>
      </c>
      <c r="DL55" s="98">
        <f t="shared" si="35"/>
        <v>6.5</v>
      </c>
      <c r="DM55" s="98"/>
      <c r="DN55" s="86">
        <f t="shared" si="44"/>
        <v>4.5</v>
      </c>
      <c r="DO55" s="99">
        <v>1.5</v>
      </c>
      <c r="DP55" s="105">
        <v>1</v>
      </c>
      <c r="DQ55" s="87">
        <v>1.5</v>
      </c>
      <c r="DR55" s="98">
        <f t="shared" si="36"/>
        <v>8.5</v>
      </c>
      <c r="DS55" s="86">
        <f t="shared" si="37"/>
        <v>5.5</v>
      </c>
      <c r="DT55" s="99">
        <v>2</v>
      </c>
      <c r="DU55" s="105">
        <v>1</v>
      </c>
      <c r="DV55" s="87">
        <v>2</v>
      </c>
      <c r="DW55" s="98">
        <f t="shared" si="38"/>
        <v>10.5</v>
      </c>
      <c r="FG55" s="2" t="s">
        <v>245</v>
      </c>
      <c r="FH55" s="2">
        <v>1</v>
      </c>
      <c r="FI55" s="43" t="s">
        <v>174</v>
      </c>
      <c r="FJ55" s="43" t="s">
        <v>94</v>
      </c>
      <c r="FK55" s="43" t="s">
        <v>94</v>
      </c>
      <c r="FL55" s="43"/>
      <c r="FM55" s="2" t="s">
        <v>94</v>
      </c>
      <c r="FN55" s="2" t="s">
        <v>94</v>
      </c>
      <c r="FO55" s="26">
        <f t="shared" si="39"/>
        <v>34</v>
      </c>
      <c r="FP55" s="2"/>
      <c r="FQ55" s="4" t="str">
        <f>IF(FI55=0,"0",IF(FI55="5/16","13",IF(FI55="3/8","15",IF(FI55="1/2","20",IF(FI55="5/8","24",IF(FI55="3/4","26","13"))))))</f>
        <v>20</v>
      </c>
      <c r="FR55" s="4" t="str">
        <f t="shared" si="49"/>
        <v>4</v>
      </c>
      <c r="FS55" s="4" t="str">
        <f t="shared" si="49"/>
        <v>4</v>
      </c>
      <c r="FT55" s="4" t="str">
        <f t="shared" si="41"/>
        <v>2</v>
      </c>
      <c r="FU55" s="4" t="str">
        <f t="shared" si="42"/>
        <v>4</v>
      </c>
      <c r="FV55" s="44" t="str">
        <f t="shared" si="43"/>
        <v>20</v>
      </c>
      <c r="FW55" s="45" t="s">
        <v>245</v>
      </c>
      <c r="FX55" s="2"/>
      <c r="FY55" s="2" t="s">
        <v>391</v>
      </c>
      <c r="FZ55" s="2"/>
      <c r="GA55" s="2"/>
      <c r="GB55" s="2"/>
      <c r="GD55" s="2"/>
      <c r="GH55" s="17" t="s">
        <v>164</v>
      </c>
      <c r="GI55" s="72">
        <v>1</v>
      </c>
      <c r="GJ55" s="18"/>
      <c r="GK55" s="20" t="str">
        <f>IF(GI55=0,"0","7")</f>
        <v>7</v>
      </c>
      <c r="GM55" s="17" t="s">
        <v>164</v>
      </c>
      <c r="GN55" s="72" t="s">
        <v>174</v>
      </c>
      <c r="GO55" s="72" t="str">
        <f t="shared" si="45"/>
        <v>5</v>
      </c>
      <c r="GP55" s="18"/>
      <c r="GQ55" s="20" t="str">
        <f>IF(GN55=0,"0",IF(GN55="1/2","5",IF(GN55="3/4","6","7")))</f>
        <v>5</v>
      </c>
      <c r="GS55" s="17" t="s">
        <v>154</v>
      </c>
      <c r="GT55" s="72" t="s">
        <v>174</v>
      </c>
      <c r="GU55" s="318" t="str">
        <f t="shared" si="47"/>
        <v>3</v>
      </c>
      <c r="GV55" s="318"/>
      <c r="GW55" s="20" t="str">
        <f t="shared" si="48"/>
        <v>3</v>
      </c>
      <c r="GX55" s="26"/>
      <c r="GY55" s="2"/>
      <c r="GZ55" s="4"/>
    </row>
    <row r="56" spans="1:208" ht="16.5" thickBot="1" x14ac:dyDescent="0.3">
      <c r="A56" s="11" t="s">
        <v>227</v>
      </c>
      <c r="B56" s="12">
        <v>1</v>
      </c>
      <c r="C56" s="52" t="s">
        <v>228</v>
      </c>
      <c r="D56" s="12" t="s">
        <v>118</v>
      </c>
      <c r="E56" s="14"/>
      <c r="F56" s="113">
        <f>B56*1</f>
        <v>1</v>
      </c>
      <c r="G56" s="1"/>
      <c r="H56" s="11" t="s">
        <v>227</v>
      </c>
      <c r="I56" s="12">
        <v>1</v>
      </c>
      <c r="J56" s="52" t="s">
        <v>228</v>
      </c>
      <c r="K56" s="12" t="s">
        <v>119</v>
      </c>
      <c r="L56" s="14"/>
      <c r="M56" s="113">
        <f>I56*1</f>
        <v>1</v>
      </c>
      <c r="N56" s="1"/>
      <c r="O56" s="11" t="s">
        <v>227</v>
      </c>
      <c r="P56" s="12">
        <v>1</v>
      </c>
      <c r="Q56" s="52" t="s">
        <v>228</v>
      </c>
      <c r="R56" s="12" t="s">
        <v>119</v>
      </c>
      <c r="S56" s="14"/>
      <c r="T56" s="113">
        <f>P56*1</f>
        <v>1</v>
      </c>
      <c r="Y56" s="74" t="s">
        <v>121</v>
      </c>
      <c r="Z56" s="12">
        <v>1</v>
      </c>
      <c r="AA56" s="74" t="s">
        <v>447</v>
      </c>
      <c r="AB56" s="12" t="s">
        <v>123</v>
      </c>
      <c r="AC56" s="62"/>
      <c r="AD56" s="75"/>
      <c r="AE56" s="57"/>
      <c r="AF56" s="58" t="s">
        <v>347</v>
      </c>
      <c r="AG56" s="1"/>
      <c r="AH56" s="59" t="s">
        <v>125</v>
      </c>
      <c r="AI56" s="12">
        <v>1</v>
      </c>
      <c r="AJ56" s="59" t="s">
        <v>448</v>
      </c>
      <c r="AK56" s="12" t="s">
        <v>123</v>
      </c>
      <c r="AL56" s="100"/>
      <c r="AM56" s="61"/>
      <c r="AN56" s="57"/>
      <c r="AO56" s="58" t="s">
        <v>203</v>
      </c>
      <c r="AX56" s="74" t="s">
        <v>121</v>
      </c>
      <c r="AY56" s="12">
        <v>1</v>
      </c>
      <c r="AZ56" s="74" t="s">
        <v>447</v>
      </c>
      <c r="BA56" s="12" t="s">
        <v>128</v>
      </c>
      <c r="BB56" s="62"/>
      <c r="BC56" s="75"/>
      <c r="BD56" s="57"/>
      <c r="BE56" s="59" t="s">
        <v>129</v>
      </c>
      <c r="BF56" s="1"/>
      <c r="BG56" s="59" t="s">
        <v>125</v>
      </c>
      <c r="BH56" s="12">
        <v>1</v>
      </c>
      <c r="BI56" s="59" t="s">
        <v>448</v>
      </c>
      <c r="BJ56" s="64" t="s">
        <v>128</v>
      </c>
      <c r="BK56" s="100"/>
      <c r="BL56" s="65"/>
      <c r="BM56" s="57"/>
      <c r="BN56" s="66" t="s">
        <v>129</v>
      </c>
      <c r="BX56" s="74" t="s">
        <v>121</v>
      </c>
      <c r="BY56" s="12">
        <v>1</v>
      </c>
      <c r="BZ56" s="74" t="s">
        <v>447</v>
      </c>
      <c r="CA56" s="64" t="s">
        <v>130</v>
      </c>
      <c r="CB56" s="62"/>
      <c r="CC56" s="75"/>
      <c r="CD56" s="57"/>
      <c r="CE56" s="58" t="s">
        <v>131</v>
      </c>
      <c r="CF56" s="1"/>
      <c r="CG56" s="59" t="s">
        <v>125</v>
      </c>
      <c r="CH56" s="12">
        <v>1</v>
      </c>
      <c r="CI56" s="59" t="s">
        <v>448</v>
      </c>
      <c r="CJ56" s="64" t="s">
        <v>130</v>
      </c>
      <c r="CK56" s="100"/>
      <c r="CL56" s="65"/>
      <c r="CM56" s="57"/>
      <c r="CN56" s="58" t="s">
        <v>131</v>
      </c>
      <c r="CX56" s="92" t="s">
        <v>270</v>
      </c>
      <c r="CY56" s="93" t="s">
        <v>271</v>
      </c>
      <c r="CZ56" s="128">
        <v>2</v>
      </c>
      <c r="DA56" s="95" t="s">
        <v>449</v>
      </c>
      <c r="DB56" s="167">
        <v>1.5</v>
      </c>
      <c r="DC56" s="105">
        <v>1</v>
      </c>
      <c r="DD56" s="105">
        <v>1</v>
      </c>
      <c r="DE56" s="96">
        <v>1</v>
      </c>
      <c r="DF56" s="84">
        <f t="shared" si="33"/>
        <v>4.5</v>
      </c>
      <c r="DG56" s="85"/>
      <c r="DH56" s="86">
        <f t="shared" si="34"/>
        <v>3.5</v>
      </c>
      <c r="DI56" s="105">
        <v>1</v>
      </c>
      <c r="DJ56" s="105">
        <v>1</v>
      </c>
      <c r="DK56" s="97">
        <v>1</v>
      </c>
      <c r="DL56" s="98">
        <f t="shared" si="35"/>
        <v>6.5</v>
      </c>
      <c r="DM56" s="98"/>
      <c r="DN56" s="86">
        <f t="shared" si="44"/>
        <v>4.5</v>
      </c>
      <c r="DO56" s="99">
        <v>1.5</v>
      </c>
      <c r="DP56" s="105">
        <v>1</v>
      </c>
      <c r="DQ56" s="87">
        <v>1.5</v>
      </c>
      <c r="DR56" s="98">
        <f t="shared" si="36"/>
        <v>8.5</v>
      </c>
      <c r="DS56" s="86">
        <f t="shared" si="37"/>
        <v>5.5</v>
      </c>
      <c r="DT56" s="99">
        <v>2</v>
      </c>
      <c r="DU56" s="105">
        <v>1</v>
      </c>
      <c r="DV56" s="87">
        <v>2</v>
      </c>
      <c r="DW56" s="98">
        <f t="shared" si="38"/>
        <v>10.5</v>
      </c>
      <c r="FG56" s="2" t="s">
        <v>254</v>
      </c>
      <c r="FH56" s="2">
        <v>1</v>
      </c>
      <c r="FI56" s="43" t="s">
        <v>174</v>
      </c>
      <c r="FJ56" s="43" t="s">
        <v>94</v>
      </c>
      <c r="FK56" s="43" t="s">
        <v>94</v>
      </c>
      <c r="FL56" s="43"/>
      <c r="FM56" s="2" t="s">
        <v>94</v>
      </c>
      <c r="FN56" s="2" t="s">
        <v>94</v>
      </c>
      <c r="FO56" s="26">
        <f t="shared" si="39"/>
        <v>36</v>
      </c>
      <c r="FP56" s="2"/>
      <c r="FQ56" s="4" t="str">
        <f>IF(FI56=0,"0",IF(FI56="5/16","14",IF(FI56="3/8","16",IF(FI56="1/2","22",IF(FI56="5/8","26",IF(FI56="3/4","28","14"))))))</f>
        <v>22</v>
      </c>
      <c r="FR56" s="4" t="str">
        <f t="shared" si="49"/>
        <v>4</v>
      </c>
      <c r="FS56" s="4" t="str">
        <f t="shared" si="49"/>
        <v>4</v>
      </c>
      <c r="FT56" s="4" t="str">
        <f t="shared" si="41"/>
        <v>2</v>
      </c>
      <c r="FU56" s="4" t="str">
        <f t="shared" si="42"/>
        <v>4</v>
      </c>
      <c r="FV56" s="44" t="str">
        <f t="shared" si="43"/>
        <v>22</v>
      </c>
      <c r="FW56" s="45" t="s">
        <v>254</v>
      </c>
      <c r="FX56" s="2"/>
      <c r="FY56" s="2" t="s">
        <v>288</v>
      </c>
      <c r="FZ56" s="2"/>
      <c r="GA56" s="2"/>
      <c r="GB56" s="2"/>
      <c r="GD56" s="2"/>
      <c r="GH56" s="17" t="s">
        <v>178</v>
      </c>
      <c r="GI56" s="72">
        <v>1</v>
      </c>
      <c r="GJ56" s="18"/>
      <c r="GK56" s="20" t="str">
        <f>IF(GI56=0,"0","7")</f>
        <v>7</v>
      </c>
      <c r="GM56" s="17" t="s">
        <v>178</v>
      </c>
      <c r="GN56" s="72" t="s">
        <v>174</v>
      </c>
      <c r="GO56" s="72" t="str">
        <f t="shared" si="45"/>
        <v>6</v>
      </c>
      <c r="GP56" s="18"/>
      <c r="GQ56" s="20" t="str">
        <f>IF(GN56=0,"0",IF(GN56="1/2","6",IF(GN56="3/4","7","8")))</f>
        <v>6</v>
      </c>
      <c r="GS56" s="17" t="s">
        <v>164</v>
      </c>
      <c r="GT56" s="72" t="s">
        <v>174</v>
      </c>
      <c r="GU56" s="318" t="str">
        <f t="shared" si="47"/>
        <v>5</v>
      </c>
      <c r="GV56" s="318"/>
      <c r="GW56" s="20" t="str">
        <f>IF(GT56=0,"0",IF(GT56="1/2","5",IF(GT56="3/4","6","7")))</f>
        <v>5</v>
      </c>
      <c r="GX56" s="26"/>
      <c r="GY56" s="2"/>
      <c r="GZ56" s="4"/>
    </row>
    <row r="57" spans="1:208" ht="16.5" thickBot="1" x14ac:dyDescent="0.3">
      <c r="A57" s="11" t="s">
        <v>450</v>
      </c>
      <c r="B57" s="12">
        <v>4</v>
      </c>
      <c r="C57" s="52" t="s">
        <v>451</v>
      </c>
      <c r="D57" s="12" t="s">
        <v>118</v>
      </c>
      <c r="E57" s="14"/>
      <c r="F57" s="113"/>
      <c r="G57" s="1"/>
      <c r="H57" s="11" t="s">
        <v>450</v>
      </c>
      <c r="I57" s="12">
        <v>4</v>
      </c>
      <c r="J57" s="52" t="s">
        <v>451</v>
      </c>
      <c r="K57" s="12" t="s">
        <v>119</v>
      </c>
      <c r="L57" s="14"/>
      <c r="M57" s="113"/>
      <c r="N57" s="1"/>
      <c r="O57" s="11" t="s">
        <v>450</v>
      </c>
      <c r="P57" s="12">
        <v>4</v>
      </c>
      <c r="Q57" s="52" t="s">
        <v>451</v>
      </c>
      <c r="R57" s="12" t="s">
        <v>119</v>
      </c>
      <c r="S57" s="14"/>
      <c r="T57" s="113"/>
      <c r="Y57" s="74" t="s">
        <v>121</v>
      </c>
      <c r="Z57" s="12">
        <v>1</v>
      </c>
      <c r="AA57" s="74" t="s">
        <v>452</v>
      </c>
      <c r="AB57" s="12" t="s">
        <v>123</v>
      </c>
      <c r="AC57" s="116"/>
      <c r="AD57" s="75"/>
      <c r="AE57" s="57"/>
      <c r="AF57" s="58" t="s">
        <v>347</v>
      </c>
      <c r="AG57" s="1"/>
      <c r="AH57" s="59" t="s">
        <v>125</v>
      </c>
      <c r="AI57" s="12">
        <v>1</v>
      </c>
      <c r="AJ57" s="59" t="s">
        <v>453</v>
      </c>
      <c r="AK57" s="12" t="s">
        <v>123</v>
      </c>
      <c r="AL57" s="114"/>
      <c r="AM57" s="61"/>
      <c r="AN57" s="57"/>
      <c r="AO57" s="58" t="s">
        <v>203</v>
      </c>
      <c r="AX57" s="74" t="s">
        <v>121</v>
      </c>
      <c r="AY57" s="12">
        <v>1</v>
      </c>
      <c r="AZ57" s="74" t="s">
        <v>452</v>
      </c>
      <c r="BA57" s="12" t="s">
        <v>128</v>
      </c>
      <c r="BB57" s="75"/>
      <c r="BC57" s="117"/>
      <c r="BD57" s="57"/>
      <c r="BE57" s="59" t="s">
        <v>129</v>
      </c>
      <c r="BF57" s="1"/>
      <c r="BG57" s="59" t="s">
        <v>125</v>
      </c>
      <c r="BH57" s="12">
        <v>1</v>
      </c>
      <c r="BI57" s="59" t="s">
        <v>453</v>
      </c>
      <c r="BJ57" s="64" t="s">
        <v>128</v>
      </c>
      <c r="BK57" s="118"/>
      <c r="BL57" s="65"/>
      <c r="BM57" s="57"/>
      <c r="BN57" s="66" t="s">
        <v>129</v>
      </c>
      <c r="BX57" s="74" t="s">
        <v>121</v>
      </c>
      <c r="BY57" s="12">
        <v>1</v>
      </c>
      <c r="BZ57" s="74" t="s">
        <v>452</v>
      </c>
      <c r="CA57" s="64" t="s">
        <v>130</v>
      </c>
      <c r="CB57" s="75"/>
      <c r="CC57" s="75"/>
      <c r="CD57" s="57"/>
      <c r="CE57" s="58" t="s">
        <v>131</v>
      </c>
      <c r="CF57" s="1"/>
      <c r="CG57" s="59" t="s">
        <v>125</v>
      </c>
      <c r="CH57" s="12">
        <v>1</v>
      </c>
      <c r="CI57" s="59" t="s">
        <v>453</v>
      </c>
      <c r="CJ57" s="64" t="s">
        <v>130</v>
      </c>
      <c r="CK57" s="118"/>
      <c r="CL57" s="65"/>
      <c r="CM57" s="57"/>
      <c r="CN57" s="58" t="s">
        <v>131</v>
      </c>
      <c r="CX57" s="92" t="s">
        <v>283</v>
      </c>
      <c r="CY57" s="93" t="s">
        <v>284</v>
      </c>
      <c r="CZ57" s="128">
        <v>2</v>
      </c>
      <c r="DA57" s="95" t="s">
        <v>454</v>
      </c>
      <c r="DB57" s="167">
        <v>1.5</v>
      </c>
      <c r="DC57" s="105">
        <v>1</v>
      </c>
      <c r="DD57" s="105">
        <v>1</v>
      </c>
      <c r="DE57" s="96">
        <v>1</v>
      </c>
      <c r="DF57" s="84">
        <f t="shared" si="33"/>
        <v>4.5</v>
      </c>
      <c r="DG57" s="85"/>
      <c r="DH57" s="86">
        <f t="shared" si="34"/>
        <v>3.5</v>
      </c>
      <c r="DI57" s="105">
        <v>1</v>
      </c>
      <c r="DJ57" s="105">
        <v>1</v>
      </c>
      <c r="DK57" s="97">
        <v>1</v>
      </c>
      <c r="DL57" s="98">
        <f t="shared" si="35"/>
        <v>6.5</v>
      </c>
      <c r="DM57" s="98"/>
      <c r="DN57" s="86">
        <f t="shared" si="44"/>
        <v>4.5</v>
      </c>
      <c r="DO57" s="99">
        <v>1.5</v>
      </c>
      <c r="DP57" s="105">
        <v>1</v>
      </c>
      <c r="DQ57" s="87">
        <v>1.5</v>
      </c>
      <c r="DR57" s="98">
        <f t="shared" si="36"/>
        <v>8.5</v>
      </c>
      <c r="DS57" s="86">
        <f t="shared" si="37"/>
        <v>5.5</v>
      </c>
      <c r="DT57" s="99">
        <v>2</v>
      </c>
      <c r="DU57" s="105">
        <v>1</v>
      </c>
      <c r="DV57" s="87">
        <v>2</v>
      </c>
      <c r="DW57" s="98">
        <f t="shared" si="38"/>
        <v>10.5</v>
      </c>
      <c r="FG57" s="2" t="s">
        <v>262</v>
      </c>
      <c r="FH57" s="2">
        <v>1</v>
      </c>
      <c r="FI57" s="43" t="s">
        <v>174</v>
      </c>
      <c r="FJ57" s="43" t="s">
        <v>94</v>
      </c>
      <c r="FK57" s="43" t="s">
        <v>94</v>
      </c>
      <c r="FL57" s="43"/>
      <c r="FM57" s="2" t="s">
        <v>94</v>
      </c>
      <c r="FN57" s="2" t="s">
        <v>94</v>
      </c>
      <c r="FO57" s="26">
        <f t="shared" si="39"/>
        <v>41</v>
      </c>
      <c r="FP57" s="2"/>
      <c r="FQ57" s="4" t="str">
        <f>IF(FI57=0,"0",IF(FI57="5/16","16",IF(FI57="3/8","18",IF(FI57="1/2","25",IF(FI57="5/8","30",IF(FI57="3/4","32","16"))))))</f>
        <v>25</v>
      </c>
      <c r="FR57" s="4" t="str">
        <f>IF(FJ57="Yes","5","0")</f>
        <v>5</v>
      </c>
      <c r="FS57" s="4" t="str">
        <f>IF(FK57="Yes","5","0")</f>
        <v>5</v>
      </c>
      <c r="FT57" s="4" t="str">
        <f t="shared" si="41"/>
        <v>2</v>
      </c>
      <c r="FU57" s="4" t="str">
        <f t="shared" si="42"/>
        <v>4</v>
      </c>
      <c r="FV57" s="44" t="str">
        <f t="shared" si="43"/>
        <v>25</v>
      </c>
      <c r="FW57" s="45" t="s">
        <v>262</v>
      </c>
      <c r="FX57" s="2"/>
      <c r="FY57" s="2" t="s">
        <v>455</v>
      </c>
      <c r="FZ57" s="2"/>
      <c r="GA57" s="2"/>
      <c r="GB57" s="2"/>
      <c r="GD57" s="2"/>
      <c r="GH57" s="17" t="s">
        <v>193</v>
      </c>
      <c r="GI57" s="72">
        <v>1</v>
      </c>
      <c r="GJ57" s="18"/>
      <c r="GK57" s="20" t="str">
        <f>IF(GI57=0,"0","8")</f>
        <v>8</v>
      </c>
      <c r="GM57" s="17" t="s">
        <v>193</v>
      </c>
      <c r="GN57" s="72" t="s">
        <v>174</v>
      </c>
      <c r="GO57" s="72" t="str">
        <f t="shared" si="45"/>
        <v>7</v>
      </c>
      <c r="GP57" s="18"/>
      <c r="GQ57" s="20" t="str">
        <f>IF(GN57=0,"0",IF(GN57="1/2","7",IF(GN57="3/4","8","9")))</f>
        <v>7</v>
      </c>
      <c r="GS57" s="17" t="s">
        <v>178</v>
      </c>
      <c r="GT57" s="72" t="s">
        <v>174</v>
      </c>
      <c r="GU57" s="318" t="str">
        <f t="shared" si="47"/>
        <v>6</v>
      </c>
      <c r="GV57" s="318"/>
      <c r="GW57" s="20" t="str">
        <f>IF(GT57=0,"0",IF(GT57="1/2","6",IF(GT57="3/4","7","8")))</f>
        <v>6</v>
      </c>
      <c r="GX57" s="26"/>
      <c r="GY57" s="2"/>
      <c r="GZ57" s="4"/>
    </row>
    <row r="58" spans="1:208" ht="16.5" thickBot="1" x14ac:dyDescent="0.3">
      <c r="A58" s="11" t="s">
        <v>456</v>
      </c>
      <c r="B58" s="12">
        <v>4</v>
      </c>
      <c r="C58" s="52" t="s">
        <v>457</v>
      </c>
      <c r="D58" s="12" t="s">
        <v>118</v>
      </c>
      <c r="E58" s="14"/>
      <c r="F58" s="113"/>
      <c r="G58" s="1"/>
      <c r="H58" s="11" t="s">
        <v>456</v>
      </c>
      <c r="I58" s="12">
        <v>4</v>
      </c>
      <c r="J58" s="52" t="s">
        <v>457</v>
      </c>
      <c r="K58" s="12" t="s">
        <v>119</v>
      </c>
      <c r="L58" s="14"/>
      <c r="M58" s="113"/>
      <c r="N58" s="1"/>
      <c r="O58" s="11" t="s">
        <v>456</v>
      </c>
      <c r="P58" s="12">
        <v>4</v>
      </c>
      <c r="Q58" s="52" t="s">
        <v>457</v>
      </c>
      <c r="R58" s="12" t="s">
        <v>119</v>
      </c>
      <c r="S58" s="14"/>
      <c r="T58" s="113"/>
      <c r="Y58" s="74" t="s">
        <v>121</v>
      </c>
      <c r="Z58" s="12">
        <v>1</v>
      </c>
      <c r="AA58" s="74" t="s">
        <v>458</v>
      </c>
      <c r="AB58" s="12" t="s">
        <v>123</v>
      </c>
      <c r="AC58" s="116"/>
      <c r="AD58" s="75"/>
      <c r="AE58" s="57"/>
      <c r="AF58" s="58" t="s">
        <v>203</v>
      </c>
      <c r="AG58" s="1"/>
      <c r="AH58" s="59" t="s">
        <v>125</v>
      </c>
      <c r="AI58" s="12">
        <v>1</v>
      </c>
      <c r="AJ58" s="59" t="s">
        <v>459</v>
      </c>
      <c r="AK58" s="12" t="s">
        <v>123</v>
      </c>
      <c r="AL58" s="114"/>
      <c r="AM58" s="61"/>
      <c r="AN58" s="57"/>
      <c r="AO58" s="58" t="s">
        <v>203</v>
      </c>
      <c r="AX58" s="74" t="s">
        <v>121</v>
      </c>
      <c r="AY58" s="12">
        <v>1</v>
      </c>
      <c r="AZ58" s="74" t="s">
        <v>458</v>
      </c>
      <c r="BA58" s="12" t="s">
        <v>128</v>
      </c>
      <c r="BB58" s="75"/>
      <c r="BC58" s="75"/>
      <c r="BD58" s="57"/>
      <c r="BE58" s="59" t="s">
        <v>129</v>
      </c>
      <c r="BF58" s="1"/>
      <c r="BG58" s="59" t="s">
        <v>125</v>
      </c>
      <c r="BH58" s="12">
        <v>1</v>
      </c>
      <c r="BI58" s="59" t="s">
        <v>459</v>
      </c>
      <c r="BJ58" s="64" t="s">
        <v>128</v>
      </c>
      <c r="BK58" s="118"/>
      <c r="BL58" s="65"/>
      <c r="BM58" s="57"/>
      <c r="BN58" s="66" t="s">
        <v>129</v>
      </c>
      <c r="BX58" s="74" t="s">
        <v>121</v>
      </c>
      <c r="BY58" s="12">
        <v>1</v>
      </c>
      <c r="BZ58" s="74" t="s">
        <v>458</v>
      </c>
      <c r="CA58" s="64" t="s">
        <v>130</v>
      </c>
      <c r="CB58" s="75"/>
      <c r="CC58" s="75"/>
      <c r="CD58" s="57"/>
      <c r="CE58" s="58" t="s">
        <v>131</v>
      </c>
      <c r="CF58" s="1"/>
      <c r="CG58" s="59" t="s">
        <v>125</v>
      </c>
      <c r="CH58" s="12">
        <v>1</v>
      </c>
      <c r="CI58" s="59" t="s">
        <v>459</v>
      </c>
      <c r="CJ58" s="64" t="s">
        <v>130</v>
      </c>
      <c r="CK58" s="118"/>
      <c r="CL58" s="65"/>
      <c r="CM58" s="57"/>
      <c r="CN58" s="58" t="s">
        <v>131</v>
      </c>
      <c r="CX58" s="92" t="s">
        <v>296</v>
      </c>
      <c r="CY58" s="93" t="s">
        <v>297</v>
      </c>
      <c r="CZ58" s="128">
        <v>2</v>
      </c>
      <c r="DA58" s="95" t="s">
        <v>460</v>
      </c>
      <c r="DB58" s="167">
        <v>1.5</v>
      </c>
      <c r="DC58" s="105">
        <v>1</v>
      </c>
      <c r="DD58" s="105">
        <v>1</v>
      </c>
      <c r="DE58" s="96">
        <v>1</v>
      </c>
      <c r="DF58" s="84">
        <f t="shared" si="33"/>
        <v>4.5</v>
      </c>
      <c r="DG58" s="85"/>
      <c r="DH58" s="86">
        <f t="shared" si="34"/>
        <v>3.5</v>
      </c>
      <c r="DI58" s="105">
        <v>1</v>
      </c>
      <c r="DJ58" s="105">
        <v>1</v>
      </c>
      <c r="DK58" s="97">
        <v>1</v>
      </c>
      <c r="DL58" s="98">
        <f t="shared" si="35"/>
        <v>6.5</v>
      </c>
      <c r="DM58" s="98"/>
      <c r="DN58" s="86">
        <f t="shared" si="44"/>
        <v>4.5</v>
      </c>
      <c r="DO58" s="99">
        <v>1.5</v>
      </c>
      <c r="DP58" s="105">
        <v>1</v>
      </c>
      <c r="DQ58" s="87">
        <v>1.5</v>
      </c>
      <c r="DR58" s="98">
        <f t="shared" si="36"/>
        <v>8.5</v>
      </c>
      <c r="DS58" s="86">
        <f t="shared" si="37"/>
        <v>5.5</v>
      </c>
      <c r="DT58" s="99">
        <v>2</v>
      </c>
      <c r="DU58" s="105">
        <v>1</v>
      </c>
      <c r="DV58" s="87">
        <v>2</v>
      </c>
      <c r="DW58" s="98">
        <f t="shared" si="38"/>
        <v>10.5</v>
      </c>
      <c r="FG58" s="2" t="s">
        <v>274</v>
      </c>
      <c r="FH58" s="2">
        <v>1</v>
      </c>
      <c r="FI58" s="43" t="s">
        <v>174</v>
      </c>
      <c r="FJ58" s="43" t="s">
        <v>94</v>
      </c>
      <c r="FK58" s="43" t="s">
        <v>94</v>
      </c>
      <c r="FL58" s="43"/>
      <c r="FM58" s="2" t="s">
        <v>94</v>
      </c>
      <c r="FN58" s="2" t="s">
        <v>94</v>
      </c>
      <c r="FO58" s="26">
        <f t="shared" si="39"/>
        <v>42</v>
      </c>
      <c r="FP58" s="2"/>
      <c r="FQ58" s="4" t="str">
        <f>IF(FI58=0,"0",IF(FI58="5/16","18",IF(FI58="3/8","20",IF(FI58="1/2","26",IF(FI58="5/8","32",IF(FI58="3/4","34","18"))))))</f>
        <v>26</v>
      </c>
      <c r="FR58" s="4" t="str">
        <f>IF(FJ58="Yes","5","0")</f>
        <v>5</v>
      </c>
      <c r="FS58" s="4" t="str">
        <f>IF(FK58="Yes","5","0")</f>
        <v>5</v>
      </c>
      <c r="FT58" s="4" t="str">
        <f t="shared" si="41"/>
        <v>2</v>
      </c>
      <c r="FU58" s="4" t="str">
        <f t="shared" si="42"/>
        <v>4</v>
      </c>
      <c r="FV58" s="44" t="str">
        <f t="shared" si="43"/>
        <v>26</v>
      </c>
      <c r="FW58" s="45" t="s">
        <v>274</v>
      </c>
      <c r="FX58" s="2"/>
      <c r="FY58" s="2" t="s">
        <v>461</v>
      </c>
      <c r="FZ58" s="2"/>
      <c r="GA58" s="2"/>
      <c r="GB58" s="2"/>
      <c r="GD58" s="2"/>
      <c r="GH58" s="17" t="s">
        <v>214</v>
      </c>
      <c r="GI58" s="72">
        <v>1</v>
      </c>
      <c r="GJ58" s="18"/>
      <c r="GK58" s="20" t="str">
        <f>IF(GI58=0,"0","9")</f>
        <v>9</v>
      </c>
      <c r="GM58" s="17" t="s">
        <v>214</v>
      </c>
      <c r="GN58" s="72" t="s">
        <v>174</v>
      </c>
      <c r="GO58" s="72" t="str">
        <f t="shared" si="45"/>
        <v>8</v>
      </c>
      <c r="GP58" s="18"/>
      <c r="GQ58" s="20" t="str">
        <f>IF(GN58=0,"0",IF(GN58="1/2","8",IF(GN58="3/4","9","10")))</f>
        <v>8</v>
      </c>
      <c r="GS58" s="17" t="s">
        <v>193</v>
      </c>
      <c r="GT58" s="72" t="s">
        <v>174</v>
      </c>
      <c r="GU58" s="318" t="str">
        <f t="shared" si="47"/>
        <v>7</v>
      </c>
      <c r="GV58" s="318"/>
      <c r="GW58" s="20" t="str">
        <f>IF(GT58=0,"0",IF(GT58="1/2","7",IF(GT58="3/4","8","9")))</f>
        <v>7</v>
      </c>
      <c r="GX58" s="26"/>
      <c r="GY58" s="2"/>
      <c r="GZ58" s="4"/>
    </row>
    <row r="59" spans="1:208" ht="16.5" thickBot="1" x14ac:dyDescent="0.3">
      <c r="A59" s="11" t="s">
        <v>462</v>
      </c>
      <c r="B59" s="12">
        <v>4</v>
      </c>
      <c r="C59" s="52" t="s">
        <v>463</v>
      </c>
      <c r="D59" s="12" t="s">
        <v>118</v>
      </c>
      <c r="E59" s="14"/>
      <c r="F59" s="113"/>
      <c r="G59" s="1"/>
      <c r="H59" s="11" t="s">
        <v>462</v>
      </c>
      <c r="I59" s="12">
        <v>4</v>
      </c>
      <c r="J59" s="52" t="s">
        <v>463</v>
      </c>
      <c r="K59" s="12" t="s">
        <v>119</v>
      </c>
      <c r="L59" s="14"/>
      <c r="M59" s="113"/>
      <c r="N59" s="1"/>
      <c r="O59" s="11" t="s">
        <v>462</v>
      </c>
      <c r="P59" s="12">
        <v>4</v>
      </c>
      <c r="Q59" s="52" t="s">
        <v>463</v>
      </c>
      <c r="R59" s="12" t="s">
        <v>119</v>
      </c>
      <c r="S59" s="14"/>
      <c r="T59" s="113"/>
      <c r="Y59" s="74" t="s">
        <v>121</v>
      </c>
      <c r="Z59" s="12">
        <v>1</v>
      </c>
      <c r="AA59" s="74" t="s">
        <v>464</v>
      </c>
      <c r="AB59" s="12" t="s">
        <v>123</v>
      </c>
      <c r="AC59" s="62"/>
      <c r="AD59" s="75"/>
      <c r="AE59" s="57"/>
      <c r="AF59" s="58" t="s">
        <v>203</v>
      </c>
      <c r="AG59" s="1"/>
      <c r="AH59" s="59" t="s">
        <v>125</v>
      </c>
      <c r="AI59" s="12">
        <v>1</v>
      </c>
      <c r="AJ59" s="59" t="s">
        <v>465</v>
      </c>
      <c r="AK59" s="12" t="s">
        <v>123</v>
      </c>
      <c r="AL59" s="100"/>
      <c r="AM59" s="61"/>
      <c r="AN59" s="57"/>
      <c r="AO59" s="58" t="s">
        <v>203</v>
      </c>
      <c r="AX59" s="74" t="s">
        <v>121</v>
      </c>
      <c r="AY59" s="12">
        <v>1</v>
      </c>
      <c r="AZ59" s="74" t="s">
        <v>464</v>
      </c>
      <c r="BA59" s="12" t="s">
        <v>128</v>
      </c>
      <c r="BB59" s="62"/>
      <c r="BC59" s="117"/>
      <c r="BD59" s="57"/>
      <c r="BE59" s="59" t="s">
        <v>129</v>
      </c>
      <c r="BF59" s="1"/>
      <c r="BG59" s="59" t="s">
        <v>125</v>
      </c>
      <c r="BH59" s="12">
        <v>1</v>
      </c>
      <c r="BI59" s="59" t="s">
        <v>465</v>
      </c>
      <c r="BJ59" s="64" t="s">
        <v>128</v>
      </c>
      <c r="BK59" s="100"/>
      <c r="BL59" s="65"/>
      <c r="BM59" s="57"/>
      <c r="BN59" s="66" t="s">
        <v>129</v>
      </c>
      <c r="BX59" s="74" t="s">
        <v>121</v>
      </c>
      <c r="BY59" s="12">
        <v>1</v>
      </c>
      <c r="BZ59" s="74" t="s">
        <v>464</v>
      </c>
      <c r="CA59" s="64" t="s">
        <v>130</v>
      </c>
      <c r="CB59" s="62"/>
      <c r="CC59" s="75"/>
      <c r="CD59" s="57"/>
      <c r="CE59" s="58" t="s">
        <v>131</v>
      </c>
      <c r="CF59" s="1"/>
      <c r="CG59" s="59" t="s">
        <v>125</v>
      </c>
      <c r="CH59" s="12">
        <v>1</v>
      </c>
      <c r="CI59" s="59" t="s">
        <v>465</v>
      </c>
      <c r="CJ59" s="64" t="s">
        <v>130</v>
      </c>
      <c r="CK59" s="100"/>
      <c r="CL59" s="65"/>
      <c r="CM59" s="57"/>
      <c r="CN59" s="58" t="s">
        <v>131</v>
      </c>
      <c r="CX59" s="92" t="s">
        <v>302</v>
      </c>
      <c r="CY59" s="93" t="s">
        <v>303</v>
      </c>
      <c r="CZ59" s="128">
        <v>2</v>
      </c>
      <c r="DA59" s="95" t="s">
        <v>466</v>
      </c>
      <c r="DB59" s="167">
        <v>1.5</v>
      </c>
      <c r="DC59" s="105">
        <v>1</v>
      </c>
      <c r="DD59" s="105">
        <v>1</v>
      </c>
      <c r="DE59" s="96">
        <v>1</v>
      </c>
      <c r="DF59" s="84">
        <f t="shared" si="33"/>
        <v>4.5</v>
      </c>
      <c r="DG59" s="85"/>
      <c r="DH59" s="86">
        <f t="shared" si="34"/>
        <v>3.5</v>
      </c>
      <c r="DI59" s="105">
        <v>1</v>
      </c>
      <c r="DJ59" s="105">
        <v>1</v>
      </c>
      <c r="DK59" s="97">
        <v>1</v>
      </c>
      <c r="DL59" s="98">
        <f t="shared" si="35"/>
        <v>6.5</v>
      </c>
      <c r="DM59" s="98"/>
      <c r="DN59" s="86">
        <f t="shared" si="44"/>
        <v>4.5</v>
      </c>
      <c r="DO59" s="99">
        <v>1.5</v>
      </c>
      <c r="DP59" s="105">
        <v>1</v>
      </c>
      <c r="DQ59" s="87">
        <v>1.5</v>
      </c>
      <c r="DR59" s="98">
        <f t="shared" si="36"/>
        <v>8.5</v>
      </c>
      <c r="DS59" s="86">
        <f t="shared" si="37"/>
        <v>5.5</v>
      </c>
      <c r="DT59" s="99">
        <v>2</v>
      </c>
      <c r="DU59" s="105">
        <v>1</v>
      </c>
      <c r="DV59" s="87">
        <v>2</v>
      </c>
      <c r="DW59" s="98">
        <f t="shared" si="38"/>
        <v>10.5</v>
      </c>
      <c r="FG59" s="2" t="s">
        <v>287</v>
      </c>
      <c r="FH59" s="2">
        <v>1</v>
      </c>
      <c r="FI59" s="43" t="s">
        <v>174</v>
      </c>
      <c r="FJ59" s="43" t="s">
        <v>94</v>
      </c>
      <c r="FK59" s="43" t="s">
        <v>94</v>
      </c>
      <c r="FL59" s="43"/>
      <c r="FM59" s="2" t="s">
        <v>94</v>
      </c>
      <c r="FN59" s="2" t="s">
        <v>94</v>
      </c>
      <c r="FO59" s="26">
        <f t="shared" si="39"/>
        <v>50</v>
      </c>
      <c r="FP59" s="2"/>
      <c r="FQ59" s="4" t="str">
        <f>IF(FI59=0,"0",IF(FI59="5/16","22",IF(FI59="3/8","24",IF(FI59="1/2","32",IF(FI59="5/8","36",IF(FI59="3/4","38","22"))))))</f>
        <v>32</v>
      </c>
      <c r="FR59" s="4" t="str">
        <f>IF(FJ59="Yes","6","0")</f>
        <v>6</v>
      </c>
      <c r="FS59" s="4" t="str">
        <f>IF(FK59="Yes","6","0")</f>
        <v>6</v>
      </c>
      <c r="FT59" s="4" t="str">
        <f t="shared" si="41"/>
        <v>2</v>
      </c>
      <c r="FU59" s="4" t="str">
        <f t="shared" si="42"/>
        <v>4</v>
      </c>
      <c r="FV59" s="44" t="str">
        <f t="shared" si="43"/>
        <v>32</v>
      </c>
      <c r="FW59" s="45" t="s">
        <v>287</v>
      </c>
      <c r="FX59" s="2"/>
      <c r="FY59" s="2" t="s">
        <v>467</v>
      </c>
      <c r="FZ59" s="2"/>
      <c r="GA59" s="2"/>
      <c r="GB59" s="2"/>
      <c r="GD59" s="2"/>
      <c r="GH59" s="17" t="s">
        <v>225</v>
      </c>
      <c r="GI59" s="72">
        <v>1</v>
      </c>
      <c r="GJ59" s="18"/>
      <c r="GK59" s="20" t="str">
        <f>IF(GI59=0,"0","10")</f>
        <v>10</v>
      </c>
      <c r="GM59" s="17" t="s">
        <v>225</v>
      </c>
      <c r="GN59" s="72" t="s">
        <v>174</v>
      </c>
      <c r="GO59" s="72" t="str">
        <f t="shared" si="45"/>
        <v>9</v>
      </c>
      <c r="GP59" s="18"/>
      <c r="GQ59" s="20" t="str">
        <f>IF(GN59=0,"0",IF(GN59="1/2","9",IF(GN59="3/4","10","11")))</f>
        <v>9</v>
      </c>
      <c r="GS59" s="17" t="s">
        <v>214</v>
      </c>
      <c r="GT59" s="72" t="s">
        <v>174</v>
      </c>
      <c r="GU59" s="318" t="str">
        <f t="shared" si="47"/>
        <v>8</v>
      </c>
      <c r="GV59" s="318"/>
      <c r="GW59" s="20" t="str">
        <f>IF(GT59=0,"0",IF(GT59="1/2","8",IF(GT59="3/4","9","10")))</f>
        <v>8</v>
      </c>
      <c r="GX59" s="26"/>
      <c r="GY59" s="2"/>
      <c r="GZ59" s="4"/>
    </row>
    <row r="60" spans="1:208" ht="15.75" x14ac:dyDescent="0.25">
      <c r="A60" s="11" t="s">
        <v>468</v>
      </c>
      <c r="B60" s="12">
        <v>4</v>
      </c>
      <c r="C60" s="52" t="s">
        <v>469</v>
      </c>
      <c r="D60" s="12" t="s">
        <v>118</v>
      </c>
      <c r="E60" s="14"/>
      <c r="F60" s="113"/>
      <c r="G60" s="1"/>
      <c r="H60" s="11" t="s">
        <v>468</v>
      </c>
      <c r="I60" s="12">
        <v>4</v>
      </c>
      <c r="J60" s="52" t="s">
        <v>469</v>
      </c>
      <c r="K60" s="12" t="s">
        <v>119</v>
      </c>
      <c r="L60" s="14"/>
      <c r="M60" s="113"/>
      <c r="N60" s="1"/>
      <c r="O60" s="11" t="s">
        <v>468</v>
      </c>
      <c r="P60" s="12">
        <v>4</v>
      </c>
      <c r="Q60" s="52" t="s">
        <v>469</v>
      </c>
      <c r="R60" s="12" t="s">
        <v>119</v>
      </c>
      <c r="S60" s="14"/>
      <c r="T60" s="113"/>
      <c r="Y60" s="74" t="s">
        <v>121</v>
      </c>
      <c r="Z60" s="12">
        <v>1</v>
      </c>
      <c r="AA60" s="74" t="s">
        <v>470</v>
      </c>
      <c r="AB60" s="12" t="s">
        <v>123</v>
      </c>
      <c r="AC60" s="116"/>
      <c r="AD60" s="75"/>
      <c r="AE60" s="57"/>
      <c r="AF60" s="58" t="s">
        <v>347</v>
      </c>
      <c r="AG60" s="1"/>
      <c r="AH60" s="59" t="s">
        <v>125</v>
      </c>
      <c r="AI60" s="12">
        <v>1</v>
      </c>
      <c r="AJ60" s="59" t="s">
        <v>471</v>
      </c>
      <c r="AK60" s="12" t="s">
        <v>123</v>
      </c>
      <c r="AL60" s="114"/>
      <c r="AM60" s="61"/>
      <c r="AN60" s="57"/>
      <c r="AO60" s="58" t="s">
        <v>347</v>
      </c>
      <c r="AX60" s="74" t="s">
        <v>121</v>
      </c>
      <c r="AY60" s="12">
        <v>1</v>
      </c>
      <c r="AZ60" s="74" t="s">
        <v>470</v>
      </c>
      <c r="BA60" s="12" t="s">
        <v>128</v>
      </c>
      <c r="BB60" s="75"/>
      <c r="BC60" s="117"/>
      <c r="BD60" s="57"/>
      <c r="BE60" s="59" t="s">
        <v>129</v>
      </c>
      <c r="BF60" s="1"/>
      <c r="BG60" s="59" t="s">
        <v>125</v>
      </c>
      <c r="BH60" s="12">
        <v>1</v>
      </c>
      <c r="BI60" s="59" t="s">
        <v>471</v>
      </c>
      <c r="BJ60" s="64" t="s">
        <v>128</v>
      </c>
      <c r="BK60" s="118"/>
      <c r="BL60" s="65"/>
      <c r="BM60" s="57"/>
      <c r="BN60" s="66" t="s">
        <v>129</v>
      </c>
      <c r="BX60" s="74" t="s">
        <v>121</v>
      </c>
      <c r="BY60" s="12">
        <v>1</v>
      </c>
      <c r="BZ60" s="74" t="s">
        <v>470</v>
      </c>
      <c r="CA60" s="64" t="s">
        <v>130</v>
      </c>
      <c r="CB60" s="75"/>
      <c r="CC60" s="75"/>
      <c r="CD60" s="57"/>
      <c r="CE60" s="58" t="s">
        <v>131</v>
      </c>
      <c r="CF60" s="1"/>
      <c r="CG60" s="59" t="s">
        <v>125</v>
      </c>
      <c r="CH60" s="12">
        <v>1</v>
      </c>
      <c r="CI60" s="59" t="s">
        <v>471</v>
      </c>
      <c r="CJ60" s="64" t="s">
        <v>130</v>
      </c>
      <c r="CK60" s="118"/>
      <c r="CL60" s="65"/>
      <c r="CM60" s="57"/>
      <c r="CN60" s="58" t="s">
        <v>131</v>
      </c>
      <c r="CX60" s="92" t="s">
        <v>311</v>
      </c>
      <c r="CY60" s="93" t="s">
        <v>312</v>
      </c>
      <c r="CZ60" s="128">
        <v>2</v>
      </c>
      <c r="DA60" s="95" t="s">
        <v>185</v>
      </c>
      <c r="DB60" s="167">
        <v>1.5</v>
      </c>
      <c r="DC60" s="105">
        <v>1</v>
      </c>
      <c r="DD60" s="105">
        <v>1</v>
      </c>
      <c r="DE60" s="96">
        <v>1</v>
      </c>
      <c r="DF60" s="84">
        <f t="shared" si="33"/>
        <v>4.5</v>
      </c>
      <c r="DG60" s="85"/>
      <c r="DH60" s="86">
        <f t="shared" si="34"/>
        <v>3.5</v>
      </c>
      <c r="DI60" s="105">
        <v>1</v>
      </c>
      <c r="DJ60" s="105">
        <v>1</v>
      </c>
      <c r="DK60" s="97">
        <v>1</v>
      </c>
      <c r="DL60" s="98">
        <f t="shared" si="35"/>
        <v>6.5</v>
      </c>
      <c r="DM60" s="98"/>
      <c r="DN60" s="86">
        <f t="shared" si="44"/>
        <v>4.5</v>
      </c>
      <c r="DO60" s="99">
        <v>1.5</v>
      </c>
      <c r="DP60" s="105">
        <v>1</v>
      </c>
      <c r="DQ60" s="87">
        <v>1.5</v>
      </c>
      <c r="DR60" s="98">
        <f t="shared" si="36"/>
        <v>8.5</v>
      </c>
      <c r="DS60" s="86">
        <f t="shared" si="37"/>
        <v>5.5</v>
      </c>
      <c r="DT60" s="99">
        <v>2</v>
      </c>
      <c r="DU60" s="105">
        <v>1</v>
      </c>
      <c r="DV60" s="87">
        <v>2</v>
      </c>
      <c r="DW60" s="98">
        <f t="shared" si="38"/>
        <v>10.5</v>
      </c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4"/>
      <c r="FU60" s="4"/>
      <c r="FV60" s="4"/>
      <c r="GD60" s="2"/>
      <c r="GH60" s="17" t="s">
        <v>237</v>
      </c>
      <c r="GI60" s="72">
        <v>1</v>
      </c>
      <c r="GJ60" s="18"/>
      <c r="GK60" s="20" t="str">
        <f>IF(GI60=0,"0","10")</f>
        <v>10</v>
      </c>
      <c r="GM60" s="17" t="s">
        <v>237</v>
      </c>
      <c r="GN60" s="72" t="s">
        <v>174</v>
      </c>
      <c r="GO60" s="72" t="str">
        <f t="shared" si="45"/>
        <v>10</v>
      </c>
      <c r="GP60" s="18"/>
      <c r="GQ60" s="20" t="str">
        <f>IF(GN60=0,"0",IF(GN60="1/2","10",IF(GN60="3/4","11","12")))</f>
        <v>10</v>
      </c>
      <c r="GS60" s="17" t="s">
        <v>225</v>
      </c>
      <c r="GT60" s="72" t="s">
        <v>174</v>
      </c>
      <c r="GU60" s="318" t="str">
        <f t="shared" si="47"/>
        <v>9</v>
      </c>
      <c r="GV60" s="318"/>
      <c r="GW60" s="20" t="str">
        <f>IF(GT60=0,"0",IF(GT60="1/2","9",IF(GT60="3/4","10","11")))</f>
        <v>9</v>
      </c>
      <c r="GX60" s="26"/>
      <c r="GY60" s="2"/>
      <c r="GZ60" s="4"/>
    </row>
    <row r="61" spans="1:208" ht="15.75" x14ac:dyDescent="0.25">
      <c r="A61" s="11"/>
      <c r="B61" s="12"/>
      <c r="C61" s="52"/>
      <c r="D61" s="12"/>
      <c r="E61" s="14"/>
      <c r="F61" s="113"/>
      <c r="G61" s="1"/>
      <c r="H61" s="11"/>
      <c r="I61" s="12"/>
      <c r="J61" s="52"/>
      <c r="K61" s="12"/>
      <c r="L61" s="14"/>
      <c r="M61" s="113"/>
      <c r="N61" s="1"/>
      <c r="O61" s="11"/>
      <c r="P61" s="12"/>
      <c r="Q61" s="52"/>
      <c r="R61" s="12"/>
      <c r="S61" s="14"/>
      <c r="T61" s="113"/>
      <c r="Y61" s="74" t="s">
        <v>121</v>
      </c>
      <c r="Z61" s="12">
        <v>1</v>
      </c>
      <c r="AA61" s="74" t="s">
        <v>472</v>
      </c>
      <c r="AB61" s="12" t="s">
        <v>123</v>
      </c>
      <c r="AC61" s="116"/>
      <c r="AD61" s="75"/>
      <c r="AE61" s="57"/>
      <c r="AF61" s="58" t="s">
        <v>347</v>
      </c>
      <c r="AG61" s="1"/>
      <c r="AH61" s="59" t="s">
        <v>125</v>
      </c>
      <c r="AI61" s="12">
        <v>1</v>
      </c>
      <c r="AJ61" s="59" t="s">
        <v>473</v>
      </c>
      <c r="AK61" s="12" t="s">
        <v>123</v>
      </c>
      <c r="AL61" s="114"/>
      <c r="AM61" s="61"/>
      <c r="AN61" s="57"/>
      <c r="AO61" s="58" t="s">
        <v>347</v>
      </c>
      <c r="AX61" s="74" t="s">
        <v>121</v>
      </c>
      <c r="AY61" s="12">
        <v>1</v>
      </c>
      <c r="AZ61" s="74" t="s">
        <v>472</v>
      </c>
      <c r="BA61" s="12" t="s">
        <v>128</v>
      </c>
      <c r="BB61" s="75"/>
      <c r="BC61" s="117"/>
      <c r="BD61" s="57"/>
      <c r="BE61" s="59" t="s">
        <v>129</v>
      </c>
      <c r="BF61" s="1"/>
      <c r="BG61" s="59" t="s">
        <v>125</v>
      </c>
      <c r="BH61" s="12">
        <v>1</v>
      </c>
      <c r="BI61" s="59" t="s">
        <v>473</v>
      </c>
      <c r="BJ61" s="64" t="s">
        <v>128</v>
      </c>
      <c r="BK61" s="118"/>
      <c r="BL61" s="65"/>
      <c r="BM61" s="57"/>
      <c r="BN61" s="66" t="s">
        <v>129</v>
      </c>
      <c r="BX61" s="74" t="s">
        <v>121</v>
      </c>
      <c r="BY61" s="12">
        <v>1</v>
      </c>
      <c r="BZ61" s="74" t="s">
        <v>472</v>
      </c>
      <c r="CA61" s="64" t="s">
        <v>130</v>
      </c>
      <c r="CB61" s="75"/>
      <c r="CC61" s="75"/>
      <c r="CD61" s="57"/>
      <c r="CE61" s="58" t="s">
        <v>131</v>
      </c>
      <c r="CF61" s="1"/>
      <c r="CG61" s="59" t="s">
        <v>125</v>
      </c>
      <c r="CH61" s="12">
        <v>1</v>
      </c>
      <c r="CI61" s="59" t="s">
        <v>473</v>
      </c>
      <c r="CJ61" s="64" t="s">
        <v>130</v>
      </c>
      <c r="CK61" s="118"/>
      <c r="CL61" s="65"/>
      <c r="CM61" s="57"/>
      <c r="CN61" s="58" t="s">
        <v>131</v>
      </c>
      <c r="CX61" s="92" t="s">
        <v>319</v>
      </c>
      <c r="CY61" s="93" t="s">
        <v>320</v>
      </c>
      <c r="CZ61" s="128">
        <v>2</v>
      </c>
      <c r="DA61" s="95" t="s">
        <v>185</v>
      </c>
      <c r="DB61" s="167">
        <v>1.5</v>
      </c>
      <c r="DC61" s="105">
        <v>1</v>
      </c>
      <c r="DD61" s="105">
        <v>1.5</v>
      </c>
      <c r="DE61" s="96">
        <v>1</v>
      </c>
      <c r="DF61" s="84">
        <f t="shared" si="33"/>
        <v>5</v>
      </c>
      <c r="DG61" s="85"/>
      <c r="DH61" s="86">
        <f t="shared" si="34"/>
        <v>3.5</v>
      </c>
      <c r="DI61" s="105">
        <v>1</v>
      </c>
      <c r="DJ61" s="105">
        <v>1.5</v>
      </c>
      <c r="DK61" s="97">
        <v>1</v>
      </c>
      <c r="DL61" s="98">
        <f t="shared" si="35"/>
        <v>7</v>
      </c>
      <c r="DM61" s="98"/>
      <c r="DN61" s="86">
        <f t="shared" si="44"/>
        <v>4.5</v>
      </c>
      <c r="DO61" s="99">
        <v>1.5</v>
      </c>
      <c r="DP61" s="105">
        <v>1.5</v>
      </c>
      <c r="DQ61" s="87">
        <v>1.5</v>
      </c>
      <c r="DR61" s="98">
        <f t="shared" si="36"/>
        <v>9</v>
      </c>
      <c r="DS61" s="86">
        <f t="shared" si="37"/>
        <v>5.5</v>
      </c>
      <c r="DT61" s="99">
        <v>2</v>
      </c>
      <c r="DU61" s="105">
        <v>1.5</v>
      </c>
      <c r="DV61" s="87">
        <v>2</v>
      </c>
      <c r="DW61" s="98">
        <f t="shared" si="38"/>
        <v>11</v>
      </c>
      <c r="FG61" s="2"/>
      <c r="FH61" s="2"/>
      <c r="FI61" s="2"/>
      <c r="FJ61" s="2"/>
      <c r="FK61" s="2"/>
      <c r="FL61" s="2"/>
      <c r="FM61" s="2"/>
      <c r="FN61" s="122" t="s">
        <v>308</v>
      </c>
      <c r="FO61" s="123">
        <f>SUM(FO46:FO59)</f>
        <v>390.5</v>
      </c>
      <c r="FP61" s="2"/>
      <c r="FQ61" s="2"/>
      <c r="FR61" s="2"/>
      <c r="FS61" s="2"/>
      <c r="FT61" s="4"/>
      <c r="FU61" s="4"/>
      <c r="FV61" s="4"/>
      <c r="GD61" s="2"/>
      <c r="GH61" s="17" t="s">
        <v>248</v>
      </c>
      <c r="GI61" s="72">
        <v>1</v>
      </c>
      <c r="GJ61" s="18"/>
      <c r="GK61" s="20" t="str">
        <f>IF(GI61=0,"0","10")</f>
        <v>10</v>
      </c>
      <c r="GM61" s="17" t="s">
        <v>248</v>
      </c>
      <c r="GN61" s="72" t="s">
        <v>174</v>
      </c>
      <c r="GO61" s="72" t="str">
        <f t="shared" si="45"/>
        <v>11</v>
      </c>
      <c r="GP61" s="18"/>
      <c r="GQ61" s="20" t="str">
        <f>IF(GN61=0,"0",IF(GN61="1/2","11",IF(GN61="3/4","12","13")))</f>
        <v>11</v>
      </c>
      <c r="GS61" s="17" t="s">
        <v>237</v>
      </c>
      <c r="GT61" s="72" t="s">
        <v>174</v>
      </c>
      <c r="GU61" s="318" t="str">
        <f t="shared" si="47"/>
        <v>10</v>
      </c>
      <c r="GV61" s="318"/>
      <c r="GW61" s="20" t="str">
        <f>IF(GT61=0,"0",IF(GT61="1/2","10",IF(GT61="3/4","11","12")))</f>
        <v>10</v>
      </c>
      <c r="GX61" s="26"/>
      <c r="GY61" s="2"/>
      <c r="GZ61" s="4"/>
    </row>
    <row r="62" spans="1:208" ht="15.75" x14ac:dyDescent="0.25">
      <c r="A62" s="11" t="s">
        <v>266</v>
      </c>
      <c r="B62" s="12">
        <v>4</v>
      </c>
      <c r="C62" s="52" t="s">
        <v>267</v>
      </c>
      <c r="D62" s="12" t="s">
        <v>410</v>
      </c>
      <c r="E62" s="14"/>
      <c r="F62" s="113"/>
      <c r="G62" s="1"/>
      <c r="H62" s="11" t="s">
        <v>266</v>
      </c>
      <c r="I62" s="12">
        <v>4</v>
      </c>
      <c r="J62" s="52" t="s">
        <v>267</v>
      </c>
      <c r="K62" s="12" t="s">
        <v>119</v>
      </c>
      <c r="L62" s="14"/>
      <c r="M62" s="113"/>
      <c r="N62" s="1"/>
      <c r="O62" s="11" t="s">
        <v>266</v>
      </c>
      <c r="P62" s="12">
        <v>4</v>
      </c>
      <c r="Q62" s="52" t="s">
        <v>267</v>
      </c>
      <c r="R62" s="12" t="s">
        <v>120</v>
      </c>
      <c r="S62" s="14"/>
      <c r="T62" s="113"/>
      <c r="Y62" s="74" t="s">
        <v>121</v>
      </c>
      <c r="Z62" s="12">
        <v>1</v>
      </c>
      <c r="AA62" s="74" t="s">
        <v>474</v>
      </c>
      <c r="AB62" s="12" t="s">
        <v>123</v>
      </c>
      <c r="AC62" s="116"/>
      <c r="AD62" s="75"/>
      <c r="AE62" s="57"/>
      <c r="AF62" s="58" t="s">
        <v>127</v>
      </c>
      <c r="AG62" s="1"/>
      <c r="AH62" s="59" t="s">
        <v>125</v>
      </c>
      <c r="AI62" s="12">
        <v>1</v>
      </c>
      <c r="AJ62" s="59" t="s">
        <v>475</v>
      </c>
      <c r="AK62" s="12" t="s">
        <v>123</v>
      </c>
      <c r="AL62" s="114"/>
      <c r="AM62" s="61"/>
      <c r="AN62" s="57"/>
      <c r="AO62" s="58" t="s">
        <v>347</v>
      </c>
      <c r="AX62" s="74" t="s">
        <v>121</v>
      </c>
      <c r="AY62" s="12">
        <v>1</v>
      </c>
      <c r="AZ62" s="74" t="s">
        <v>474</v>
      </c>
      <c r="BA62" s="12" t="s">
        <v>128</v>
      </c>
      <c r="BB62" s="75"/>
      <c r="BC62" s="75"/>
      <c r="BD62" s="57"/>
      <c r="BE62" s="59" t="s">
        <v>129</v>
      </c>
      <c r="BF62" s="1"/>
      <c r="BG62" s="59" t="s">
        <v>125</v>
      </c>
      <c r="BH62" s="12">
        <v>1</v>
      </c>
      <c r="BI62" s="59" t="s">
        <v>475</v>
      </c>
      <c r="BJ62" s="64" t="s">
        <v>128</v>
      </c>
      <c r="BK62" s="118"/>
      <c r="BL62" s="65"/>
      <c r="BM62" s="57"/>
      <c r="BN62" s="66" t="s">
        <v>129</v>
      </c>
      <c r="BX62" s="74" t="s">
        <v>121</v>
      </c>
      <c r="BY62" s="12">
        <v>1</v>
      </c>
      <c r="BZ62" s="74" t="s">
        <v>474</v>
      </c>
      <c r="CA62" s="64" t="s">
        <v>130</v>
      </c>
      <c r="CB62" s="75"/>
      <c r="CC62" s="75"/>
      <c r="CD62" s="57"/>
      <c r="CE62" s="58" t="s">
        <v>131</v>
      </c>
      <c r="CF62" s="1"/>
      <c r="CG62" s="59" t="s">
        <v>125</v>
      </c>
      <c r="CH62" s="12">
        <v>1</v>
      </c>
      <c r="CI62" s="59" t="s">
        <v>475</v>
      </c>
      <c r="CJ62" s="64" t="s">
        <v>130</v>
      </c>
      <c r="CK62" s="118"/>
      <c r="CL62" s="65"/>
      <c r="CM62" s="57"/>
      <c r="CN62" s="58" t="s">
        <v>131</v>
      </c>
      <c r="CX62" s="92" t="s">
        <v>323</v>
      </c>
      <c r="CY62" s="93" t="s">
        <v>324</v>
      </c>
      <c r="CZ62" s="128">
        <v>2</v>
      </c>
      <c r="DA62" s="95" t="s">
        <v>476</v>
      </c>
      <c r="DB62" s="167">
        <v>1.5</v>
      </c>
      <c r="DC62" s="105">
        <v>1</v>
      </c>
      <c r="DD62" s="105">
        <v>1.5</v>
      </c>
      <c r="DE62" s="96">
        <v>1</v>
      </c>
      <c r="DF62" s="84">
        <f t="shared" si="33"/>
        <v>5</v>
      </c>
      <c r="DG62" s="85"/>
      <c r="DH62" s="86">
        <f t="shared" si="34"/>
        <v>3.5</v>
      </c>
      <c r="DI62" s="105">
        <v>1</v>
      </c>
      <c r="DJ62" s="105">
        <v>1.5</v>
      </c>
      <c r="DK62" s="97">
        <v>1</v>
      </c>
      <c r="DL62" s="98">
        <f t="shared" si="35"/>
        <v>7</v>
      </c>
      <c r="DM62" s="98"/>
      <c r="DN62" s="86">
        <f t="shared" si="44"/>
        <v>4.5</v>
      </c>
      <c r="DO62" s="99">
        <v>1.5</v>
      </c>
      <c r="DP62" s="105">
        <v>1.5</v>
      </c>
      <c r="DQ62" s="87">
        <v>1.5</v>
      </c>
      <c r="DR62" s="98">
        <f t="shared" si="36"/>
        <v>9</v>
      </c>
      <c r="DS62" s="86">
        <f t="shared" si="37"/>
        <v>5.5</v>
      </c>
      <c r="DT62" s="99">
        <v>2</v>
      </c>
      <c r="DU62" s="105">
        <v>1.5</v>
      </c>
      <c r="DV62" s="87">
        <v>2</v>
      </c>
      <c r="DW62" s="98">
        <f t="shared" si="38"/>
        <v>11</v>
      </c>
      <c r="GH62" s="17" t="s">
        <v>256</v>
      </c>
      <c r="GI62" s="72">
        <v>1</v>
      </c>
      <c r="GJ62" s="18"/>
      <c r="GK62" s="20" t="str">
        <f>IF(GI62=0,"0","12")</f>
        <v>12</v>
      </c>
      <c r="GM62" s="17" t="s">
        <v>256</v>
      </c>
      <c r="GN62" s="72" t="s">
        <v>174</v>
      </c>
      <c r="GO62" s="72" t="str">
        <f t="shared" si="45"/>
        <v>12</v>
      </c>
      <c r="GP62" s="18"/>
      <c r="GQ62" s="20" t="str">
        <f>IF(GN62=0,"0",IF(GN62="1/2","12",IF(GN62="3/4","13","14")))</f>
        <v>12</v>
      </c>
      <c r="GS62" s="17" t="s">
        <v>248</v>
      </c>
      <c r="GT62" s="72" t="s">
        <v>174</v>
      </c>
      <c r="GU62" s="318" t="str">
        <f t="shared" si="47"/>
        <v>11</v>
      </c>
      <c r="GV62" s="318"/>
      <c r="GW62" s="20" t="str">
        <f>IF(GT62=0,"0",IF(GT62="1/2","11",IF(GT62="3/4","12","13")))</f>
        <v>11</v>
      </c>
      <c r="GX62" s="26"/>
      <c r="GY62" s="2"/>
      <c r="GZ62" s="4"/>
    </row>
    <row r="63" spans="1:208" ht="16.5" thickBot="1" x14ac:dyDescent="0.3">
      <c r="A63" s="11" t="s">
        <v>279</v>
      </c>
      <c r="B63" s="12">
        <v>16</v>
      </c>
      <c r="C63" s="52" t="s">
        <v>280</v>
      </c>
      <c r="D63" s="12" t="s">
        <v>410</v>
      </c>
      <c r="E63" s="14"/>
      <c r="F63" s="113"/>
      <c r="G63" s="1"/>
      <c r="H63" s="11" t="s">
        <v>279</v>
      </c>
      <c r="I63" s="12">
        <v>16</v>
      </c>
      <c r="J63" s="52" t="s">
        <v>280</v>
      </c>
      <c r="K63" s="12" t="s">
        <v>119</v>
      </c>
      <c r="L63" s="14"/>
      <c r="M63" s="113"/>
      <c r="N63" s="1"/>
      <c r="O63" s="11" t="s">
        <v>279</v>
      </c>
      <c r="P63" s="12">
        <v>16</v>
      </c>
      <c r="Q63" s="52" t="s">
        <v>280</v>
      </c>
      <c r="R63" s="12" t="s">
        <v>120</v>
      </c>
      <c r="S63" s="14"/>
      <c r="T63" s="113"/>
      <c r="Y63" s="74" t="s">
        <v>121</v>
      </c>
      <c r="Z63" s="12">
        <v>1</v>
      </c>
      <c r="AA63" s="74" t="s">
        <v>477</v>
      </c>
      <c r="AB63" s="12" t="s">
        <v>123</v>
      </c>
      <c r="AC63" s="75"/>
      <c r="AD63" s="117"/>
      <c r="AE63" s="57"/>
      <c r="AF63" s="58"/>
      <c r="AG63" s="1"/>
      <c r="AH63" s="74" t="s">
        <v>125</v>
      </c>
      <c r="AI63" s="12">
        <v>1</v>
      </c>
      <c r="AJ63" s="74" t="s">
        <v>478</v>
      </c>
      <c r="AK63" s="12" t="s">
        <v>123</v>
      </c>
      <c r="AL63" s="118"/>
      <c r="AM63" s="76"/>
      <c r="AN63" s="57"/>
      <c r="AO63" s="58" t="s">
        <v>347</v>
      </c>
      <c r="AX63" s="74" t="s">
        <v>121</v>
      </c>
      <c r="AY63" s="12">
        <v>1</v>
      </c>
      <c r="AZ63" s="74" t="s">
        <v>477</v>
      </c>
      <c r="BA63" s="12" t="s">
        <v>128</v>
      </c>
      <c r="BB63" s="75"/>
      <c r="BC63" s="117"/>
      <c r="BD63" s="57"/>
      <c r="BE63" s="59"/>
      <c r="BF63" s="1"/>
      <c r="BG63" s="74" t="s">
        <v>125</v>
      </c>
      <c r="BH63" s="12">
        <v>1</v>
      </c>
      <c r="BI63" s="74" t="s">
        <v>478</v>
      </c>
      <c r="BJ63" s="12" t="s">
        <v>128</v>
      </c>
      <c r="BK63" s="118"/>
      <c r="BL63" s="76"/>
      <c r="BM63" s="57"/>
      <c r="BN63" s="59"/>
      <c r="BX63" s="74" t="s">
        <v>121</v>
      </c>
      <c r="BY63" s="12">
        <v>1</v>
      </c>
      <c r="BZ63" s="74" t="s">
        <v>477</v>
      </c>
      <c r="CA63" s="12" t="s">
        <v>130</v>
      </c>
      <c r="CB63" s="75"/>
      <c r="CC63" s="117"/>
      <c r="CD63" s="57"/>
      <c r="CE63" s="58" t="s">
        <v>131</v>
      </c>
      <c r="CF63" s="1"/>
      <c r="CG63" s="74" t="s">
        <v>125</v>
      </c>
      <c r="CH63" s="12">
        <v>1</v>
      </c>
      <c r="CI63" s="74" t="s">
        <v>478</v>
      </c>
      <c r="CJ63" s="12" t="s">
        <v>130</v>
      </c>
      <c r="CK63" s="118"/>
      <c r="CL63" s="76"/>
      <c r="CM63" s="57"/>
      <c r="CN63" s="58" t="s">
        <v>131</v>
      </c>
      <c r="CX63" s="92" t="s">
        <v>330</v>
      </c>
      <c r="CY63" s="93" t="s">
        <v>331</v>
      </c>
      <c r="CZ63" s="128">
        <v>2</v>
      </c>
      <c r="DA63" s="95" t="s">
        <v>479</v>
      </c>
      <c r="DB63" s="167">
        <v>1.5</v>
      </c>
      <c r="DC63" s="105">
        <v>1</v>
      </c>
      <c r="DD63" s="105">
        <v>1.5</v>
      </c>
      <c r="DE63" s="96">
        <v>1</v>
      </c>
      <c r="DF63" s="84">
        <f t="shared" si="33"/>
        <v>5</v>
      </c>
      <c r="DG63" s="85"/>
      <c r="DH63" s="86">
        <f t="shared" si="34"/>
        <v>3.5</v>
      </c>
      <c r="DI63" s="105">
        <v>1</v>
      </c>
      <c r="DJ63" s="105">
        <v>1.5</v>
      </c>
      <c r="DK63" s="97">
        <v>1</v>
      </c>
      <c r="DL63" s="98">
        <f t="shared" si="35"/>
        <v>7</v>
      </c>
      <c r="DM63" s="98"/>
      <c r="DN63" s="86">
        <f t="shared" si="44"/>
        <v>4.5</v>
      </c>
      <c r="DO63" s="99">
        <v>1.5</v>
      </c>
      <c r="DP63" s="105">
        <v>1.5</v>
      </c>
      <c r="DQ63" s="87">
        <v>1.5</v>
      </c>
      <c r="DR63" s="98">
        <f t="shared" si="36"/>
        <v>9</v>
      </c>
      <c r="DS63" s="86">
        <f t="shared" si="37"/>
        <v>5.5</v>
      </c>
      <c r="DT63" s="99">
        <v>2</v>
      </c>
      <c r="DU63" s="105">
        <v>1.5</v>
      </c>
      <c r="DV63" s="87">
        <v>2</v>
      </c>
      <c r="DW63" s="98">
        <f t="shared" si="38"/>
        <v>11</v>
      </c>
      <c r="GH63" s="48" t="s">
        <v>265</v>
      </c>
      <c r="GI63" s="50">
        <v>1</v>
      </c>
      <c r="GJ63" s="49"/>
      <c r="GK63" s="51" t="str">
        <f>IF(GI63=0,"0","12")</f>
        <v>12</v>
      </c>
      <c r="GM63" s="48" t="s">
        <v>265</v>
      </c>
      <c r="GN63" s="50" t="s">
        <v>174</v>
      </c>
      <c r="GO63" s="50" t="str">
        <f t="shared" si="45"/>
        <v>13</v>
      </c>
      <c r="GP63" s="49"/>
      <c r="GQ63" s="51" t="str">
        <f>IF(GN63=0,"0",IF(GN63="1/2","13",IF(GN63="3/4","14","15")))</f>
        <v>13</v>
      </c>
      <c r="GS63" s="17" t="s">
        <v>256</v>
      </c>
      <c r="GT63" s="72" t="s">
        <v>174</v>
      </c>
      <c r="GU63" s="318" t="str">
        <f t="shared" si="47"/>
        <v>12</v>
      </c>
      <c r="GV63" s="318"/>
      <c r="GW63" s="20" t="str">
        <f>IF(GT63=0,"0",IF(GT63="1/2","12",IF(GT63="3/4","13","14")))</f>
        <v>12</v>
      </c>
      <c r="GX63" s="26"/>
      <c r="GY63" s="2"/>
      <c r="GZ63" s="4"/>
    </row>
    <row r="64" spans="1:208" ht="16.5" thickBot="1" x14ac:dyDescent="0.3">
      <c r="A64" s="11"/>
      <c r="B64" s="12"/>
      <c r="C64" s="13"/>
      <c r="D64" s="12"/>
      <c r="E64" s="14"/>
      <c r="F64" s="113"/>
      <c r="G64" s="1"/>
      <c r="H64" s="11"/>
      <c r="I64" s="12"/>
      <c r="J64" s="52"/>
      <c r="K64" s="12"/>
      <c r="L64" s="14"/>
      <c r="M64" s="113"/>
      <c r="N64" s="1"/>
      <c r="O64" s="11"/>
      <c r="P64" s="12"/>
      <c r="Q64" s="13"/>
      <c r="R64" s="12"/>
      <c r="S64" s="14"/>
      <c r="T64" s="113"/>
      <c r="CX64" s="92" t="s">
        <v>334</v>
      </c>
      <c r="CY64" s="93" t="s">
        <v>335</v>
      </c>
      <c r="CZ64" s="128">
        <v>2</v>
      </c>
      <c r="DA64" s="95" t="s">
        <v>480</v>
      </c>
      <c r="DB64" s="167">
        <v>1.5</v>
      </c>
      <c r="DC64" s="105">
        <v>1</v>
      </c>
      <c r="DD64" s="105">
        <v>1.5</v>
      </c>
      <c r="DE64" s="96">
        <v>1</v>
      </c>
      <c r="DF64" s="84">
        <f t="shared" si="33"/>
        <v>5</v>
      </c>
      <c r="DG64" s="85"/>
      <c r="DH64" s="86">
        <f t="shared" si="34"/>
        <v>3.5</v>
      </c>
      <c r="DI64" s="105">
        <v>1</v>
      </c>
      <c r="DJ64" s="105">
        <v>1.5</v>
      </c>
      <c r="DK64" s="97">
        <v>1</v>
      </c>
      <c r="DL64" s="98">
        <f t="shared" si="35"/>
        <v>7</v>
      </c>
      <c r="DM64" s="98"/>
      <c r="DN64" s="86">
        <f t="shared" si="44"/>
        <v>4.5</v>
      </c>
      <c r="DO64" s="99">
        <v>1.5</v>
      </c>
      <c r="DP64" s="105">
        <v>1.5</v>
      </c>
      <c r="DQ64" s="87">
        <v>1.5</v>
      </c>
      <c r="DR64" s="98">
        <f t="shared" si="36"/>
        <v>9</v>
      </c>
      <c r="DS64" s="86">
        <f t="shared" si="37"/>
        <v>5.5</v>
      </c>
      <c r="DT64" s="99">
        <v>2</v>
      </c>
      <c r="DU64" s="105">
        <v>1.5</v>
      </c>
      <c r="DV64" s="87">
        <v>2</v>
      </c>
      <c r="DW64" s="98">
        <f t="shared" si="38"/>
        <v>11</v>
      </c>
      <c r="GS64" s="48" t="s">
        <v>265</v>
      </c>
      <c r="GT64" s="50" t="s">
        <v>174</v>
      </c>
      <c r="GU64" s="320" t="str">
        <f t="shared" si="47"/>
        <v>13</v>
      </c>
      <c r="GV64" s="320"/>
      <c r="GW64" s="51" t="str">
        <f>IF(GT64=0,"0",IF(GT64="1/2","13",IF(GT64="3/4","14","15")))</f>
        <v>13</v>
      </c>
    </row>
    <row r="65" spans="1:194" ht="36" x14ac:dyDescent="0.55000000000000004">
      <c r="A65" s="290" t="s">
        <v>82</v>
      </c>
      <c r="B65" s="290"/>
      <c r="C65" s="290"/>
      <c r="D65" s="290"/>
      <c r="E65" s="290"/>
      <c r="F65" s="290"/>
      <c r="G65" s="290"/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Y65" s="269" t="s">
        <v>481</v>
      </c>
      <c r="Z65" s="269"/>
      <c r="AA65" s="269"/>
      <c r="AB65" s="269"/>
      <c r="AC65" s="269"/>
      <c r="AD65" s="269"/>
      <c r="AE65" s="269"/>
      <c r="AF65" s="269"/>
      <c r="AH65" s="269" t="s">
        <v>481</v>
      </c>
      <c r="AI65" s="269"/>
      <c r="AJ65" s="269"/>
      <c r="AK65" s="269"/>
      <c r="AL65" s="269"/>
      <c r="AM65" s="269"/>
      <c r="AN65" s="269"/>
      <c r="AO65" s="269"/>
      <c r="AX65" s="269" t="s">
        <v>481</v>
      </c>
      <c r="AY65" s="269"/>
      <c r="AZ65" s="269"/>
      <c r="BA65" s="269"/>
      <c r="BB65" s="269"/>
      <c r="BC65" s="269"/>
      <c r="BD65" s="269"/>
      <c r="BE65" s="269"/>
      <c r="BG65" s="269" t="s">
        <v>481</v>
      </c>
      <c r="BH65" s="269"/>
      <c r="BI65" s="269"/>
      <c r="BJ65" s="269"/>
      <c r="BK65" s="269"/>
      <c r="BL65" s="269"/>
      <c r="BM65" s="269"/>
      <c r="BN65" s="269"/>
      <c r="BX65" s="269" t="s">
        <v>481</v>
      </c>
      <c r="BY65" s="269"/>
      <c r="BZ65" s="269"/>
      <c r="CA65" s="269"/>
      <c r="CB65" s="269"/>
      <c r="CC65" s="269"/>
      <c r="CD65" s="269"/>
      <c r="CE65" s="269"/>
      <c r="CG65" s="269" t="s">
        <v>481</v>
      </c>
      <c r="CH65" s="269"/>
      <c r="CI65" s="269"/>
      <c r="CJ65" s="269"/>
      <c r="CK65" s="269"/>
      <c r="CL65" s="269"/>
      <c r="CM65" s="269"/>
      <c r="CN65" s="269"/>
      <c r="CX65" s="92" t="s">
        <v>341</v>
      </c>
      <c r="CY65" s="93" t="s">
        <v>342</v>
      </c>
      <c r="CZ65" s="128">
        <v>2</v>
      </c>
      <c r="DA65" s="95" t="s">
        <v>482</v>
      </c>
      <c r="DB65" s="167">
        <v>1.5</v>
      </c>
      <c r="DC65" s="105">
        <v>1</v>
      </c>
      <c r="DD65" s="105">
        <v>1.5</v>
      </c>
      <c r="DE65" s="96">
        <v>1</v>
      </c>
      <c r="DF65" s="84">
        <f t="shared" si="33"/>
        <v>5</v>
      </c>
      <c r="DG65" s="85"/>
      <c r="DH65" s="86">
        <f t="shared" si="34"/>
        <v>3.5</v>
      </c>
      <c r="DI65" s="105">
        <v>1</v>
      </c>
      <c r="DJ65" s="105">
        <v>1.5</v>
      </c>
      <c r="DK65" s="97">
        <v>1</v>
      </c>
      <c r="DL65" s="98">
        <f t="shared" si="35"/>
        <v>7</v>
      </c>
      <c r="DM65" s="98"/>
      <c r="DN65" s="86">
        <f t="shared" si="44"/>
        <v>4.5</v>
      </c>
      <c r="DO65" s="99">
        <v>1.5</v>
      </c>
      <c r="DP65" s="105">
        <v>1.5</v>
      </c>
      <c r="DQ65" s="87">
        <v>1.5</v>
      </c>
      <c r="DR65" s="98">
        <f t="shared" si="36"/>
        <v>9</v>
      </c>
      <c r="DS65" s="86">
        <f t="shared" si="37"/>
        <v>5.5</v>
      </c>
      <c r="DT65" s="99">
        <v>2</v>
      </c>
      <c r="DU65" s="105">
        <v>1.5</v>
      </c>
      <c r="DV65" s="87">
        <v>2</v>
      </c>
      <c r="DW65" s="98">
        <f t="shared" si="38"/>
        <v>11</v>
      </c>
      <c r="FG65" s="321" t="s">
        <v>483</v>
      </c>
      <c r="FH65" s="262"/>
      <c r="FI65" s="262"/>
      <c r="FJ65" s="262"/>
      <c r="FK65" s="262"/>
      <c r="FL65" s="262"/>
      <c r="FM65" s="262"/>
      <c r="FN65" s="262"/>
      <c r="FO65" s="262"/>
      <c r="FP65" s="262"/>
      <c r="FQ65" s="262"/>
      <c r="FR65" s="262"/>
      <c r="FS65" s="262"/>
      <c r="FT65" s="262"/>
      <c r="FU65" s="262"/>
      <c r="FV65" s="262"/>
      <c r="FW65" s="262"/>
      <c r="FX65" s="262"/>
      <c r="FY65" s="262"/>
      <c r="FZ65" s="262"/>
      <c r="GA65" s="262"/>
      <c r="GB65" s="262"/>
      <c r="GC65" s="262"/>
      <c r="GD65" s="262"/>
      <c r="GL65" s="2" t="s">
        <v>419</v>
      </c>
    </row>
    <row r="66" spans="1:194" ht="30.75" thickBot="1" x14ac:dyDescent="0.3">
      <c r="A66" s="290"/>
      <c r="B66" s="290"/>
      <c r="C66" s="290"/>
      <c r="D66" s="290"/>
      <c r="E66" s="290"/>
      <c r="F66" s="290"/>
      <c r="G66" s="290"/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Y66" s="35" t="s">
        <v>34</v>
      </c>
      <c r="Z66" s="36" t="s">
        <v>35</v>
      </c>
      <c r="AA66" s="36" t="s">
        <v>36</v>
      </c>
      <c r="AB66" s="36" t="s">
        <v>37</v>
      </c>
      <c r="AC66" s="37" t="s">
        <v>38</v>
      </c>
      <c r="AD66" s="38" t="s">
        <v>39</v>
      </c>
      <c r="AE66" s="31" t="s">
        <v>80</v>
      </c>
      <c r="AF66" s="34" t="s">
        <v>81</v>
      </c>
      <c r="AH66" s="35" t="s">
        <v>34</v>
      </c>
      <c r="AI66" s="36" t="s">
        <v>35</v>
      </c>
      <c r="AJ66" s="36" t="s">
        <v>36</v>
      </c>
      <c r="AK66" s="36" t="s">
        <v>37</v>
      </c>
      <c r="AL66" s="37" t="s">
        <v>38</v>
      </c>
      <c r="AM66" s="38" t="s">
        <v>39</v>
      </c>
      <c r="AN66" s="31" t="s">
        <v>80</v>
      </c>
      <c r="AO66" s="34" t="s">
        <v>81</v>
      </c>
      <c r="AX66" s="35" t="s">
        <v>34</v>
      </c>
      <c r="AY66" s="36" t="s">
        <v>35</v>
      </c>
      <c r="AZ66" s="36" t="s">
        <v>36</v>
      </c>
      <c r="BA66" s="36" t="s">
        <v>37</v>
      </c>
      <c r="BB66" s="37" t="s">
        <v>38</v>
      </c>
      <c r="BC66" s="38" t="s">
        <v>39</v>
      </c>
      <c r="BD66" s="31" t="s">
        <v>80</v>
      </c>
      <c r="BE66" s="34" t="s">
        <v>81</v>
      </c>
      <c r="BG66" s="35" t="s">
        <v>34</v>
      </c>
      <c r="BH66" s="36" t="s">
        <v>35</v>
      </c>
      <c r="BI66" s="36" t="s">
        <v>36</v>
      </c>
      <c r="BJ66" s="36" t="s">
        <v>37</v>
      </c>
      <c r="BK66" s="37" t="s">
        <v>38</v>
      </c>
      <c r="BL66" s="38" t="s">
        <v>39</v>
      </c>
      <c r="BM66" s="31" t="s">
        <v>80</v>
      </c>
      <c r="BN66" s="34" t="s">
        <v>81</v>
      </c>
      <c r="BX66" s="35" t="s">
        <v>34</v>
      </c>
      <c r="BY66" s="36" t="s">
        <v>35</v>
      </c>
      <c r="BZ66" s="36" t="s">
        <v>36</v>
      </c>
      <c r="CA66" s="36" t="s">
        <v>37</v>
      </c>
      <c r="CB66" s="37" t="s">
        <v>38</v>
      </c>
      <c r="CC66" s="38" t="s">
        <v>39</v>
      </c>
      <c r="CD66" s="39" t="s">
        <v>80</v>
      </c>
      <c r="CE66" s="34" t="s">
        <v>81</v>
      </c>
      <c r="CG66" s="35" t="s">
        <v>34</v>
      </c>
      <c r="CH66" s="36" t="s">
        <v>35</v>
      </c>
      <c r="CI66" s="36" t="s">
        <v>36</v>
      </c>
      <c r="CJ66" s="36" t="s">
        <v>37</v>
      </c>
      <c r="CK66" s="37" t="s">
        <v>38</v>
      </c>
      <c r="CL66" s="38" t="s">
        <v>39</v>
      </c>
      <c r="CM66" s="39" t="s">
        <v>80</v>
      </c>
      <c r="CN66" s="34" t="s">
        <v>81</v>
      </c>
      <c r="CX66" s="92" t="s">
        <v>349</v>
      </c>
      <c r="CY66" s="93" t="s">
        <v>350</v>
      </c>
      <c r="CZ66" s="128">
        <v>2</v>
      </c>
      <c r="DA66" s="95" t="s">
        <v>484</v>
      </c>
      <c r="DB66" s="167">
        <v>1.5</v>
      </c>
      <c r="DC66" s="105">
        <v>1</v>
      </c>
      <c r="DD66" s="105">
        <v>1.5</v>
      </c>
      <c r="DE66" s="96">
        <v>1</v>
      </c>
      <c r="DF66" s="84">
        <f t="shared" si="33"/>
        <v>5</v>
      </c>
      <c r="DG66" s="85"/>
      <c r="DH66" s="86">
        <f t="shared" si="34"/>
        <v>3.5</v>
      </c>
      <c r="DI66" s="105">
        <v>1</v>
      </c>
      <c r="DJ66" s="105">
        <v>1.5</v>
      </c>
      <c r="DK66" s="97">
        <v>1</v>
      </c>
      <c r="DL66" s="98">
        <f t="shared" si="35"/>
        <v>7</v>
      </c>
      <c r="DM66" s="98"/>
      <c r="DN66" s="86">
        <f t="shared" si="44"/>
        <v>4.5</v>
      </c>
      <c r="DO66" s="99">
        <v>1.5</v>
      </c>
      <c r="DP66" s="105">
        <v>1.5</v>
      </c>
      <c r="DQ66" s="87">
        <v>1.5</v>
      </c>
      <c r="DR66" s="98">
        <f t="shared" si="36"/>
        <v>9</v>
      </c>
      <c r="DS66" s="86">
        <f t="shared" si="37"/>
        <v>5.5</v>
      </c>
      <c r="DT66" s="99">
        <v>2</v>
      </c>
      <c r="DU66" s="105">
        <v>1.5</v>
      </c>
      <c r="DV66" s="87">
        <v>2</v>
      </c>
      <c r="DW66" s="98">
        <f t="shared" si="38"/>
        <v>11</v>
      </c>
      <c r="FG66" s="9" t="s">
        <v>44</v>
      </c>
      <c r="FH66" s="9" t="s">
        <v>45</v>
      </c>
      <c r="FI66" s="9" t="s">
        <v>46</v>
      </c>
      <c r="FJ66" s="9" t="s">
        <v>47</v>
      </c>
      <c r="FK66" s="9" t="s">
        <v>48</v>
      </c>
      <c r="FL66" s="9" t="s">
        <v>49</v>
      </c>
      <c r="FM66" s="9" t="s">
        <v>50</v>
      </c>
      <c r="FN66" s="9" t="s">
        <v>51</v>
      </c>
      <c r="FO66" s="9" t="s">
        <v>52</v>
      </c>
      <c r="FP66" s="9"/>
      <c r="FQ66" s="10" t="s">
        <v>53</v>
      </c>
      <c r="FR66" s="10" t="s">
        <v>54</v>
      </c>
      <c r="FS66" s="10" t="s">
        <v>55</v>
      </c>
      <c r="FT66" s="10" t="s">
        <v>56</v>
      </c>
      <c r="FU66" s="10" t="s">
        <v>57</v>
      </c>
      <c r="FV66" s="21" t="s">
        <v>58</v>
      </c>
      <c r="FW66" s="9" t="s">
        <v>44</v>
      </c>
      <c r="FX66" s="9"/>
      <c r="FY66" s="22" t="s">
        <v>59</v>
      </c>
      <c r="FZ66" s="9"/>
      <c r="GA66" s="9"/>
      <c r="GB66" s="9"/>
      <c r="GD66" s="23" t="s">
        <v>53</v>
      </c>
      <c r="GL66" s="43" t="s">
        <v>174</v>
      </c>
    </row>
    <row r="67" spans="1:194" ht="16.5" thickBot="1" x14ac:dyDescent="0.3">
      <c r="A67" s="290"/>
      <c r="B67" s="290"/>
      <c r="C67" s="290"/>
      <c r="D67" s="290"/>
      <c r="E67" s="290"/>
      <c r="F67" s="290"/>
      <c r="G67" s="290"/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Y67" s="53" t="s">
        <v>121</v>
      </c>
      <c r="Z67" s="54">
        <v>1</v>
      </c>
      <c r="AA67" s="53" t="s">
        <v>485</v>
      </c>
      <c r="AB67" s="12" t="s">
        <v>123</v>
      </c>
      <c r="AC67" s="60"/>
      <c r="AD67" s="61"/>
      <c r="AE67" s="57"/>
      <c r="AF67" s="58" t="s">
        <v>182</v>
      </c>
      <c r="AH67" s="53" t="s">
        <v>121</v>
      </c>
      <c r="AI67" s="54">
        <v>1</v>
      </c>
      <c r="AJ67" s="53" t="s">
        <v>486</v>
      </c>
      <c r="AK67" s="12" t="s">
        <v>123</v>
      </c>
      <c r="AL67" s="60"/>
      <c r="AM67" s="61"/>
      <c r="AN67" s="57"/>
      <c r="AO67" s="58" t="s">
        <v>347</v>
      </c>
      <c r="AX67" s="53" t="s">
        <v>121</v>
      </c>
      <c r="AY67" s="54">
        <v>1</v>
      </c>
      <c r="AZ67" s="53" t="s">
        <v>487</v>
      </c>
      <c r="BA67" s="12" t="s">
        <v>128</v>
      </c>
      <c r="BB67" s="60"/>
      <c r="BC67" s="76"/>
      <c r="BD67" s="57"/>
      <c r="BE67" s="59" t="s">
        <v>129</v>
      </c>
      <c r="BG67" s="53" t="s">
        <v>121</v>
      </c>
      <c r="BH67" s="54">
        <v>1</v>
      </c>
      <c r="BI67" s="53" t="s">
        <v>487</v>
      </c>
      <c r="BJ67" s="12" t="s">
        <v>128</v>
      </c>
      <c r="BK67" s="60"/>
      <c r="BL67" s="76"/>
      <c r="BM67" s="57"/>
      <c r="BN67" s="59" t="s">
        <v>129</v>
      </c>
      <c r="BX67" s="53" t="s">
        <v>121</v>
      </c>
      <c r="BY67" s="54">
        <v>1</v>
      </c>
      <c r="BZ67" s="53" t="s">
        <v>485</v>
      </c>
      <c r="CA67" s="12" t="s">
        <v>130</v>
      </c>
      <c r="CB67" s="60"/>
      <c r="CC67" s="76"/>
      <c r="CD67" s="57"/>
      <c r="CE67" s="58" t="s">
        <v>131</v>
      </c>
      <c r="CG67" s="53" t="s">
        <v>121</v>
      </c>
      <c r="CH67" s="54">
        <v>1</v>
      </c>
      <c r="CI67" s="53" t="s">
        <v>486</v>
      </c>
      <c r="CJ67" s="12" t="s">
        <v>130</v>
      </c>
      <c r="CK67" s="60"/>
      <c r="CL67" s="76"/>
      <c r="CM67" s="57"/>
      <c r="CN67" s="58" t="s">
        <v>131</v>
      </c>
      <c r="CX67" s="92" t="s">
        <v>355</v>
      </c>
      <c r="CY67" s="93" t="s">
        <v>356</v>
      </c>
      <c r="CZ67" s="128">
        <v>2</v>
      </c>
      <c r="DA67" s="95" t="s">
        <v>488</v>
      </c>
      <c r="DB67" s="167">
        <v>1.5</v>
      </c>
      <c r="DC67" s="105">
        <v>1</v>
      </c>
      <c r="DD67" s="105">
        <v>1.5</v>
      </c>
      <c r="DE67" s="96">
        <v>1</v>
      </c>
      <c r="DF67" s="84">
        <f t="shared" si="33"/>
        <v>5</v>
      </c>
      <c r="DG67" s="85"/>
      <c r="DH67" s="86">
        <f t="shared" si="34"/>
        <v>3.5</v>
      </c>
      <c r="DI67" s="105">
        <v>1</v>
      </c>
      <c r="DJ67" s="105">
        <v>1.5</v>
      </c>
      <c r="DK67" s="97">
        <v>1</v>
      </c>
      <c r="DL67" s="98">
        <f t="shared" si="35"/>
        <v>7</v>
      </c>
      <c r="DM67" s="98"/>
      <c r="DN67" s="86">
        <f t="shared" si="44"/>
        <v>4.5</v>
      </c>
      <c r="DO67" s="99">
        <v>1.5</v>
      </c>
      <c r="DP67" s="105">
        <v>1.5</v>
      </c>
      <c r="DQ67" s="87">
        <v>1.5</v>
      </c>
      <c r="DR67" s="98">
        <f t="shared" si="36"/>
        <v>9</v>
      </c>
      <c r="DS67" s="86">
        <f t="shared" si="37"/>
        <v>5.5</v>
      </c>
      <c r="DT67" s="99">
        <v>2</v>
      </c>
      <c r="DU67" s="105">
        <v>1.5</v>
      </c>
      <c r="DV67" s="87">
        <v>2</v>
      </c>
      <c r="DW67" s="98">
        <f t="shared" si="38"/>
        <v>11</v>
      </c>
      <c r="FG67" s="2" t="s">
        <v>92</v>
      </c>
      <c r="FH67" s="2">
        <v>1</v>
      </c>
      <c r="FI67" s="43" t="s">
        <v>188</v>
      </c>
      <c r="FJ67" s="43" t="s">
        <v>94</v>
      </c>
      <c r="FK67" s="43" t="s">
        <v>94</v>
      </c>
      <c r="FL67" s="43"/>
      <c r="FM67" s="2" t="s">
        <v>94</v>
      </c>
      <c r="FN67" s="2" t="s">
        <v>94</v>
      </c>
      <c r="FO67" s="26">
        <f t="shared" ref="FO67:FO80" si="50">(FH67*FV67)+FR67+FS67+FT67+FU67</f>
        <v>17</v>
      </c>
      <c r="FP67" s="2"/>
      <c r="FQ67" s="4" t="str">
        <f>IF(FI67=0,"0",IF(FI67="5/16","3",IF(FI67="3/8","3.3",IF(FI67="1/2","4",IF(FI67="5/8","5",IF(FI67="3/4","5.5","3"))))))</f>
        <v>5</v>
      </c>
      <c r="FR67" s="4" t="str">
        <f t="shared" ref="FR67:FS73" si="51">IF(FJ67="Yes","3","0")</f>
        <v>3</v>
      </c>
      <c r="FS67" s="4" t="str">
        <f t="shared" si="51"/>
        <v>3</v>
      </c>
      <c r="FT67" s="4" t="str">
        <f t="shared" ref="FT67:FT80" si="52">IF(FM67="Yes","2","0")</f>
        <v>2</v>
      </c>
      <c r="FU67" s="4" t="str">
        <f>IF(FN67="Yes","4","0")</f>
        <v>4</v>
      </c>
      <c r="FV67" s="44" t="str">
        <f>IF(FL67="Yes",FQ67*2,FQ67)</f>
        <v>5</v>
      </c>
      <c r="FW67" s="45" t="s">
        <v>92</v>
      </c>
      <c r="FX67" s="2"/>
      <c r="FY67" s="2" t="s">
        <v>173</v>
      </c>
      <c r="FZ67" s="2"/>
      <c r="GA67" s="2"/>
      <c r="GB67" s="2"/>
      <c r="GD67" s="43" t="s">
        <v>96</v>
      </c>
      <c r="GL67" s="43" t="s">
        <v>211</v>
      </c>
    </row>
    <row r="68" spans="1:194" ht="16.5" thickBot="1" x14ac:dyDescent="0.3">
      <c r="A68" s="290"/>
      <c r="B68" s="290"/>
      <c r="C68" s="290"/>
      <c r="D68" s="290"/>
      <c r="E68" s="290"/>
      <c r="F68" s="290"/>
      <c r="G68" s="290"/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Y68" s="53" t="s">
        <v>121</v>
      </c>
      <c r="Z68" s="54">
        <v>1</v>
      </c>
      <c r="AA68" s="53" t="s">
        <v>489</v>
      </c>
      <c r="AB68" s="12" t="s">
        <v>123</v>
      </c>
      <c r="AC68" s="60"/>
      <c r="AD68" s="61"/>
      <c r="AE68" s="57"/>
      <c r="AF68" s="58" t="s">
        <v>127</v>
      </c>
      <c r="AH68" s="53" t="s">
        <v>121</v>
      </c>
      <c r="AI68" s="54">
        <v>1</v>
      </c>
      <c r="AJ68" s="53" t="s">
        <v>490</v>
      </c>
      <c r="AK68" s="12" t="s">
        <v>123</v>
      </c>
      <c r="AL68" s="60"/>
      <c r="AM68" s="61"/>
      <c r="AN68" s="57"/>
      <c r="AO68" s="58" t="s">
        <v>347</v>
      </c>
      <c r="AX68" s="53" t="s">
        <v>121</v>
      </c>
      <c r="AY68" s="54">
        <v>1</v>
      </c>
      <c r="AZ68" s="53" t="s">
        <v>491</v>
      </c>
      <c r="BA68" s="12" t="s">
        <v>128</v>
      </c>
      <c r="BB68" s="60"/>
      <c r="BC68" s="76"/>
      <c r="BD68" s="57"/>
      <c r="BE68" s="59" t="s">
        <v>129</v>
      </c>
      <c r="BG68" s="53" t="s">
        <v>121</v>
      </c>
      <c r="BH68" s="54">
        <v>1</v>
      </c>
      <c r="BI68" s="53" t="s">
        <v>491</v>
      </c>
      <c r="BJ68" s="12" t="s">
        <v>128</v>
      </c>
      <c r="BK68" s="60"/>
      <c r="BL68" s="76"/>
      <c r="BM68" s="57"/>
      <c r="BN68" s="59" t="s">
        <v>129</v>
      </c>
      <c r="BX68" s="53" t="s">
        <v>121</v>
      </c>
      <c r="BY68" s="54">
        <v>1</v>
      </c>
      <c r="BZ68" s="53" t="s">
        <v>489</v>
      </c>
      <c r="CA68" s="12" t="s">
        <v>130</v>
      </c>
      <c r="CB68" s="60"/>
      <c r="CC68" s="76"/>
      <c r="CD68" s="57"/>
      <c r="CE68" s="58" t="s">
        <v>131</v>
      </c>
      <c r="CG68" s="53" t="s">
        <v>121</v>
      </c>
      <c r="CH68" s="54">
        <v>1</v>
      </c>
      <c r="CI68" s="53" t="s">
        <v>490</v>
      </c>
      <c r="CJ68" s="12" t="s">
        <v>130</v>
      </c>
      <c r="CK68" s="60"/>
      <c r="CL68" s="76"/>
      <c r="CM68" s="57"/>
      <c r="CN68" s="58" t="s">
        <v>131</v>
      </c>
      <c r="CX68" s="92" t="s">
        <v>361</v>
      </c>
      <c r="CY68" s="93" t="s">
        <v>362</v>
      </c>
      <c r="CZ68" s="128">
        <v>2</v>
      </c>
      <c r="DA68" s="95" t="s">
        <v>492</v>
      </c>
      <c r="DB68" s="167">
        <v>1.5</v>
      </c>
      <c r="DC68" s="105">
        <v>1</v>
      </c>
      <c r="DD68" s="105">
        <v>1.5</v>
      </c>
      <c r="DE68" s="96">
        <v>1</v>
      </c>
      <c r="DF68" s="84">
        <f t="shared" si="33"/>
        <v>5</v>
      </c>
      <c r="DG68" s="85"/>
      <c r="DH68" s="86">
        <f t="shared" si="34"/>
        <v>3.5</v>
      </c>
      <c r="DI68" s="105">
        <v>1</v>
      </c>
      <c r="DJ68" s="105">
        <v>1.5</v>
      </c>
      <c r="DK68" s="97">
        <v>1</v>
      </c>
      <c r="DL68" s="98">
        <f t="shared" si="35"/>
        <v>7</v>
      </c>
      <c r="DM68" s="98"/>
      <c r="DN68" s="86">
        <f t="shared" si="44"/>
        <v>4.5</v>
      </c>
      <c r="DO68" s="99">
        <v>1.5</v>
      </c>
      <c r="DP68" s="105">
        <v>1.5</v>
      </c>
      <c r="DQ68" s="87">
        <v>1.5</v>
      </c>
      <c r="DR68" s="98">
        <f t="shared" si="36"/>
        <v>9</v>
      </c>
      <c r="DS68" s="86">
        <f>DB68+(2*CZ68)</f>
        <v>5.5</v>
      </c>
      <c r="DT68" s="99">
        <v>2</v>
      </c>
      <c r="DU68" s="105">
        <v>1.5</v>
      </c>
      <c r="DV68" s="87">
        <v>2</v>
      </c>
      <c r="DW68" s="98">
        <f t="shared" si="38"/>
        <v>11</v>
      </c>
      <c r="FG68" s="2" t="s">
        <v>140</v>
      </c>
      <c r="FH68" s="2">
        <v>1</v>
      </c>
      <c r="FI68" s="43" t="s">
        <v>188</v>
      </c>
      <c r="FJ68" s="43" t="s">
        <v>94</v>
      </c>
      <c r="FK68" s="43" t="s">
        <v>94</v>
      </c>
      <c r="FL68" s="43"/>
      <c r="FM68" s="2" t="s">
        <v>94</v>
      </c>
      <c r="FN68" s="2" t="s">
        <v>94</v>
      </c>
      <c r="FO68" s="26">
        <f t="shared" si="50"/>
        <v>17</v>
      </c>
      <c r="FP68" s="2"/>
      <c r="FQ68" s="4" t="str">
        <f>IF(FI68=0,"0",IF(FI68="5/16","3",IF(FI68="3/8","3.3",IF(FI68="1/2","4",IF(FI68="5/8","5",IF(FI68="3/4","5.5","3"))))))</f>
        <v>5</v>
      </c>
      <c r="FR68" s="4" t="str">
        <f t="shared" si="51"/>
        <v>3</v>
      </c>
      <c r="FS68" s="4" t="str">
        <f t="shared" si="51"/>
        <v>3</v>
      </c>
      <c r="FT68" s="4" t="str">
        <f t="shared" si="52"/>
        <v>2</v>
      </c>
      <c r="FU68" s="4" t="str">
        <f t="shared" ref="FU68:FU80" si="53">IF(FN68="Yes","4","0")</f>
        <v>4</v>
      </c>
      <c r="FV68" s="44" t="str">
        <f t="shared" ref="FV68:FV80" si="54">IF(FL68="Yes",FQ68*2,FQ68)</f>
        <v>5</v>
      </c>
      <c r="FW68" s="45" t="s">
        <v>140</v>
      </c>
      <c r="FX68" s="2"/>
      <c r="FY68" s="2" t="s">
        <v>173</v>
      </c>
      <c r="FZ68" s="2"/>
      <c r="GA68" s="2"/>
      <c r="GB68" s="2"/>
      <c r="GD68" s="43" t="s">
        <v>93</v>
      </c>
      <c r="GL68" s="26">
        <v>1</v>
      </c>
    </row>
    <row r="69" spans="1:194" ht="16.5" thickBot="1" x14ac:dyDescent="0.3">
      <c r="A69" s="290"/>
      <c r="B69" s="290"/>
      <c r="C69" s="290"/>
      <c r="D69" s="290"/>
      <c r="E69" s="290"/>
      <c r="F69" s="290"/>
      <c r="G69" s="290"/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Y69" s="53" t="s">
        <v>121</v>
      </c>
      <c r="Z69" s="54">
        <v>1</v>
      </c>
      <c r="AA69" s="53" t="s">
        <v>493</v>
      </c>
      <c r="AB69" s="12" t="s">
        <v>123</v>
      </c>
      <c r="AC69" s="60"/>
      <c r="AD69" s="61"/>
      <c r="AE69" s="57"/>
      <c r="AF69" s="58" t="s">
        <v>347</v>
      </c>
      <c r="AH69" s="53" t="s">
        <v>121</v>
      </c>
      <c r="AI69" s="54">
        <v>1</v>
      </c>
      <c r="AJ69" s="53" t="s">
        <v>494</v>
      </c>
      <c r="AK69" s="12" t="s">
        <v>123</v>
      </c>
      <c r="AL69" s="60"/>
      <c r="AM69" s="61"/>
      <c r="AN69" s="57"/>
      <c r="AO69" s="58" t="s">
        <v>347</v>
      </c>
      <c r="AX69" s="53" t="s">
        <v>121</v>
      </c>
      <c r="AY69" s="54">
        <v>1</v>
      </c>
      <c r="AZ69" s="53" t="s">
        <v>495</v>
      </c>
      <c r="BA69" s="12" t="s">
        <v>128</v>
      </c>
      <c r="BB69" s="60"/>
      <c r="BC69" s="76"/>
      <c r="BD69" s="57"/>
      <c r="BE69" s="59" t="s">
        <v>129</v>
      </c>
      <c r="BG69" s="53" t="s">
        <v>121</v>
      </c>
      <c r="BH69" s="54">
        <v>1</v>
      </c>
      <c r="BI69" s="53" t="s">
        <v>495</v>
      </c>
      <c r="BJ69" s="12" t="s">
        <v>128</v>
      </c>
      <c r="BK69" s="60"/>
      <c r="BL69" s="76"/>
      <c r="BM69" s="57"/>
      <c r="BN69" s="59" t="s">
        <v>129</v>
      </c>
      <c r="BX69" s="53" t="s">
        <v>121</v>
      </c>
      <c r="BY69" s="54">
        <v>1</v>
      </c>
      <c r="BZ69" s="53" t="s">
        <v>493</v>
      </c>
      <c r="CA69" s="12" t="s">
        <v>130</v>
      </c>
      <c r="CB69" s="60"/>
      <c r="CC69" s="76"/>
      <c r="CD69" s="57"/>
      <c r="CE69" s="58" t="s">
        <v>131</v>
      </c>
      <c r="CG69" s="53" t="s">
        <v>121</v>
      </c>
      <c r="CH69" s="54">
        <v>1</v>
      </c>
      <c r="CI69" s="53" t="s">
        <v>494</v>
      </c>
      <c r="CJ69" s="12" t="s">
        <v>130</v>
      </c>
      <c r="CK69" s="60"/>
      <c r="CL69" s="76"/>
      <c r="CM69" s="57"/>
      <c r="CN69" s="58" t="s">
        <v>131</v>
      </c>
      <c r="CX69" s="92"/>
      <c r="CY69" s="93"/>
      <c r="CZ69" s="94"/>
      <c r="DA69" s="95"/>
      <c r="DB69" s="135"/>
      <c r="DC69" s="136"/>
      <c r="DD69" s="136"/>
      <c r="DE69" s="137"/>
      <c r="DF69" s="138"/>
      <c r="DG69" s="139"/>
      <c r="DH69" s="143"/>
      <c r="DI69" s="140"/>
      <c r="DJ69" s="140"/>
      <c r="DK69" s="141"/>
      <c r="DL69" s="142"/>
      <c r="DM69" s="142"/>
      <c r="DN69" s="143"/>
      <c r="DO69" s="140"/>
      <c r="DP69" s="140"/>
      <c r="DQ69" s="97"/>
      <c r="DR69" s="142"/>
      <c r="DS69" s="143"/>
      <c r="DT69" s="140"/>
      <c r="DU69" s="140"/>
      <c r="DV69" s="97"/>
      <c r="DW69" s="142"/>
      <c r="FG69" s="2" t="s">
        <v>151</v>
      </c>
      <c r="FH69" s="2">
        <v>1</v>
      </c>
      <c r="FI69" s="43" t="s">
        <v>188</v>
      </c>
      <c r="FJ69" s="43" t="s">
        <v>94</v>
      </c>
      <c r="FK69" s="43" t="s">
        <v>94</v>
      </c>
      <c r="FL69" s="43"/>
      <c r="FM69" s="2" t="s">
        <v>94</v>
      </c>
      <c r="FN69" s="2" t="s">
        <v>94</v>
      </c>
      <c r="FO69" s="26">
        <f t="shared" si="50"/>
        <v>17</v>
      </c>
      <c r="FP69" s="2"/>
      <c r="FQ69" s="4" t="str">
        <f>IF(FI69=0,"0",IF(FI69="5/16","3",IF(FI69="3/8","3.3",IF(FI69="1/2","4",IF(FI69="5/8","5",IF(FI69="3/4","5.5","3"))))))</f>
        <v>5</v>
      </c>
      <c r="FR69" s="4" t="str">
        <f t="shared" si="51"/>
        <v>3</v>
      </c>
      <c r="FS69" s="4" t="str">
        <f t="shared" si="51"/>
        <v>3</v>
      </c>
      <c r="FT69" s="4" t="str">
        <f t="shared" si="52"/>
        <v>2</v>
      </c>
      <c r="FU69" s="4" t="str">
        <f t="shared" si="53"/>
        <v>4</v>
      </c>
      <c r="FV69" s="44" t="str">
        <f t="shared" si="54"/>
        <v>5</v>
      </c>
      <c r="FW69" s="45" t="s">
        <v>151</v>
      </c>
      <c r="FX69" s="2"/>
      <c r="FY69" s="2" t="s">
        <v>173</v>
      </c>
      <c r="FZ69" s="2"/>
      <c r="GA69" s="2"/>
      <c r="GB69" s="2"/>
      <c r="GD69" s="43" t="s">
        <v>152</v>
      </c>
    </row>
    <row r="70" spans="1:194" ht="16.5" thickBot="1" x14ac:dyDescent="0.3">
      <c r="A70" s="129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Y70" s="53" t="s">
        <v>121</v>
      </c>
      <c r="Z70" s="54">
        <v>1</v>
      </c>
      <c r="AA70" s="53" t="s">
        <v>496</v>
      </c>
      <c r="AB70" s="12" t="s">
        <v>123</v>
      </c>
      <c r="AC70" s="100">
        <f>Z70*61</f>
        <v>61</v>
      </c>
      <c r="AD70" s="101"/>
      <c r="AE70" s="57">
        <v>45376</v>
      </c>
      <c r="AF70" s="58" t="s">
        <v>347</v>
      </c>
      <c r="AH70" s="53" t="s">
        <v>121</v>
      </c>
      <c r="AI70" s="54">
        <v>1</v>
      </c>
      <c r="AJ70" s="53" t="s">
        <v>497</v>
      </c>
      <c r="AK70" s="12" t="s">
        <v>123</v>
      </c>
      <c r="AL70" s="100"/>
      <c r="AM70" s="101"/>
      <c r="AN70" s="57"/>
      <c r="AO70" s="58" t="s">
        <v>347</v>
      </c>
      <c r="AX70" s="53" t="s">
        <v>121</v>
      </c>
      <c r="AY70" s="54">
        <v>1</v>
      </c>
      <c r="AZ70" s="53" t="s">
        <v>498</v>
      </c>
      <c r="BA70" s="12" t="s">
        <v>128</v>
      </c>
      <c r="BB70" s="100"/>
      <c r="BC70" s="102"/>
      <c r="BD70" s="57"/>
      <c r="BE70" s="59" t="s">
        <v>129</v>
      </c>
      <c r="BG70" s="53" t="s">
        <v>121</v>
      </c>
      <c r="BH70" s="54">
        <v>1</v>
      </c>
      <c r="BI70" s="53" t="s">
        <v>498</v>
      </c>
      <c r="BJ70" s="12" t="s">
        <v>128</v>
      </c>
      <c r="BK70" s="100"/>
      <c r="BL70" s="102"/>
      <c r="BM70" s="57"/>
      <c r="BN70" s="59" t="s">
        <v>129</v>
      </c>
      <c r="BX70" s="53" t="s">
        <v>121</v>
      </c>
      <c r="BY70" s="54">
        <v>1</v>
      </c>
      <c r="BZ70" s="53" t="s">
        <v>496</v>
      </c>
      <c r="CA70" s="12" t="s">
        <v>130</v>
      </c>
      <c r="CB70" s="100"/>
      <c r="CC70" s="60"/>
      <c r="CD70" s="57"/>
      <c r="CE70" s="58" t="s">
        <v>131</v>
      </c>
      <c r="CG70" s="53" t="s">
        <v>121</v>
      </c>
      <c r="CH70" s="54">
        <v>1</v>
      </c>
      <c r="CI70" s="53" t="s">
        <v>497</v>
      </c>
      <c r="CJ70" s="12" t="s">
        <v>130</v>
      </c>
      <c r="CK70" s="100"/>
      <c r="CL70" s="60"/>
      <c r="CM70" s="57"/>
      <c r="CN70" s="58" t="s">
        <v>131</v>
      </c>
      <c r="CX70" s="144"/>
      <c r="CY70" s="145"/>
      <c r="CZ70" s="146"/>
      <c r="DA70" s="147"/>
      <c r="DB70" s="148"/>
      <c r="DC70" s="149"/>
      <c r="DD70" s="149"/>
      <c r="DE70" s="150"/>
      <c r="DF70" s="151"/>
      <c r="DG70" s="152"/>
      <c r="DH70" s="153"/>
      <c r="DI70" s="154"/>
      <c r="DJ70" s="154"/>
      <c r="DK70" s="155"/>
      <c r="DL70" s="156"/>
      <c r="DM70" s="157"/>
      <c r="DN70" s="153"/>
      <c r="DO70" s="154"/>
      <c r="DP70" s="154"/>
      <c r="DQ70" s="155"/>
      <c r="DR70" s="156"/>
      <c r="DS70" s="153"/>
      <c r="DT70" s="154"/>
      <c r="DU70" s="154"/>
      <c r="DV70" s="155"/>
      <c r="DW70" s="156"/>
      <c r="FG70" s="2" t="s">
        <v>161</v>
      </c>
      <c r="FH70" s="2">
        <v>1</v>
      </c>
      <c r="FI70" s="43" t="s">
        <v>188</v>
      </c>
      <c r="FJ70" s="43" t="s">
        <v>94</v>
      </c>
      <c r="FK70" s="43" t="s">
        <v>94</v>
      </c>
      <c r="FL70" s="43"/>
      <c r="FM70" s="2" t="s">
        <v>94</v>
      </c>
      <c r="FN70" s="2" t="s">
        <v>94</v>
      </c>
      <c r="FO70" s="26">
        <f t="shared" si="50"/>
        <v>18</v>
      </c>
      <c r="FP70" s="2"/>
      <c r="FQ70" s="4" t="str">
        <f>IF(FI70=0,"0",IF(FI70="5/16","3.5",IF(FI70="3/8","4",IF(FI70="1/2","5.5",IF(FI70="5/8","6",IF(FI70="3/4","6.5","3.5"))))))</f>
        <v>6</v>
      </c>
      <c r="FR70" s="4" t="str">
        <f t="shared" si="51"/>
        <v>3</v>
      </c>
      <c r="FS70" s="4" t="str">
        <f t="shared" si="51"/>
        <v>3</v>
      </c>
      <c r="FT70" s="4" t="str">
        <f t="shared" si="52"/>
        <v>2</v>
      </c>
      <c r="FU70" s="4" t="str">
        <f t="shared" si="53"/>
        <v>4</v>
      </c>
      <c r="FV70" s="44" t="str">
        <f t="shared" si="54"/>
        <v>6</v>
      </c>
      <c r="FW70" s="45" t="s">
        <v>161</v>
      </c>
      <c r="FX70" s="2"/>
      <c r="FY70" s="2" t="s">
        <v>499</v>
      </c>
      <c r="FZ70" s="2"/>
      <c r="GA70" s="2"/>
      <c r="GB70" s="2"/>
      <c r="GD70" s="43" t="s">
        <v>162</v>
      </c>
    </row>
    <row r="71" spans="1:194" ht="15.75" thickBot="1" x14ac:dyDescent="0.3">
      <c r="A71" s="129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Y71" s="53" t="s">
        <v>121</v>
      </c>
      <c r="Z71" s="54">
        <v>1</v>
      </c>
      <c r="AA71" s="53" t="s">
        <v>500</v>
      </c>
      <c r="AB71" s="12" t="s">
        <v>123</v>
      </c>
      <c r="AC71" s="100">
        <f>Z71*103</f>
        <v>103</v>
      </c>
      <c r="AD71" s="101"/>
      <c r="AE71" s="57">
        <v>45376</v>
      </c>
      <c r="AF71" s="58" t="s">
        <v>347</v>
      </c>
      <c r="AH71" s="53" t="s">
        <v>121</v>
      </c>
      <c r="AI71" s="54">
        <v>1</v>
      </c>
      <c r="AJ71" s="53" t="s">
        <v>501</v>
      </c>
      <c r="AK71" s="12" t="s">
        <v>123</v>
      </c>
      <c r="AL71" s="100"/>
      <c r="AM71" s="101"/>
      <c r="AN71" s="57"/>
      <c r="AO71" s="58" t="s">
        <v>347</v>
      </c>
      <c r="AX71" s="53" t="s">
        <v>121</v>
      </c>
      <c r="AY71" s="54">
        <v>1</v>
      </c>
      <c r="AZ71" s="53" t="s">
        <v>502</v>
      </c>
      <c r="BA71" s="12" t="s">
        <v>128</v>
      </c>
      <c r="BB71" s="100"/>
      <c r="BC71" s="102"/>
      <c r="BD71" s="57"/>
      <c r="BE71" s="59" t="s">
        <v>129</v>
      </c>
      <c r="BG71" s="53" t="s">
        <v>121</v>
      </c>
      <c r="BH71" s="54">
        <v>1</v>
      </c>
      <c r="BI71" s="53" t="s">
        <v>502</v>
      </c>
      <c r="BJ71" s="12" t="s">
        <v>128</v>
      </c>
      <c r="BK71" s="100"/>
      <c r="BL71" s="102"/>
      <c r="BM71" s="57"/>
      <c r="BN71" s="59" t="s">
        <v>129</v>
      </c>
      <c r="BX71" s="53" t="s">
        <v>121</v>
      </c>
      <c r="BY71" s="54">
        <v>1</v>
      </c>
      <c r="BZ71" s="53" t="s">
        <v>500</v>
      </c>
      <c r="CA71" s="12" t="s">
        <v>130</v>
      </c>
      <c r="CB71" s="100"/>
      <c r="CC71" s="60"/>
      <c r="CD71" s="57"/>
      <c r="CE71" s="58" t="s">
        <v>131</v>
      </c>
      <c r="CG71" s="53" t="s">
        <v>121</v>
      </c>
      <c r="CH71" s="54">
        <v>1</v>
      </c>
      <c r="CI71" s="53" t="s">
        <v>501</v>
      </c>
      <c r="CJ71" s="12" t="s">
        <v>130</v>
      </c>
      <c r="CK71" s="100"/>
      <c r="CL71" s="60"/>
      <c r="CM71" s="57"/>
      <c r="CN71" s="58" t="s">
        <v>131</v>
      </c>
      <c r="FG71" s="2" t="s">
        <v>172</v>
      </c>
      <c r="FH71" s="2">
        <v>1</v>
      </c>
      <c r="FI71" s="43" t="s">
        <v>188</v>
      </c>
      <c r="FJ71" s="43" t="s">
        <v>94</v>
      </c>
      <c r="FK71" s="43" t="s">
        <v>94</v>
      </c>
      <c r="FL71" s="43"/>
      <c r="FM71" s="2" t="s">
        <v>94</v>
      </c>
      <c r="FN71" s="2" t="s">
        <v>94</v>
      </c>
      <c r="FO71" s="26">
        <f t="shared" si="50"/>
        <v>20.5</v>
      </c>
      <c r="FP71" s="2"/>
      <c r="FQ71" s="4" t="str">
        <f>IF(FI71=0,"0",IF(FI71="5/16","5",IF(FI71="3/8","5.5",IF(FI71="1/2","7.5",IF(FI71="5/8","8.5",IF(FI71="3/4","9","5"))))))</f>
        <v>8.5</v>
      </c>
      <c r="FR71" s="4" t="str">
        <f t="shared" si="51"/>
        <v>3</v>
      </c>
      <c r="FS71" s="4" t="str">
        <f t="shared" si="51"/>
        <v>3</v>
      </c>
      <c r="FT71" s="4" t="str">
        <f t="shared" si="52"/>
        <v>2</v>
      </c>
      <c r="FU71" s="4" t="str">
        <f t="shared" si="53"/>
        <v>4</v>
      </c>
      <c r="FV71" s="44" t="str">
        <f t="shared" si="54"/>
        <v>8.5</v>
      </c>
      <c r="FW71" s="45" t="s">
        <v>172</v>
      </c>
      <c r="FX71" s="2"/>
      <c r="FY71" s="2" t="s">
        <v>235</v>
      </c>
      <c r="FZ71" s="2"/>
      <c r="GA71" s="2"/>
      <c r="GB71" s="2"/>
      <c r="GD71" s="43" t="s">
        <v>174</v>
      </c>
    </row>
    <row r="72" spans="1:194" ht="15.75" thickBot="1" x14ac:dyDescent="0.3">
      <c r="A72" s="129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Y72" s="53" t="s">
        <v>121</v>
      </c>
      <c r="Z72" s="54">
        <v>1</v>
      </c>
      <c r="AA72" s="53" t="s">
        <v>503</v>
      </c>
      <c r="AB72" s="12" t="s">
        <v>123</v>
      </c>
      <c r="AC72" s="100"/>
      <c r="AD72" s="101"/>
      <c r="AE72" s="57"/>
      <c r="AF72" s="58" t="s">
        <v>347</v>
      </c>
      <c r="AH72" s="53" t="s">
        <v>121</v>
      </c>
      <c r="AI72" s="54">
        <v>1</v>
      </c>
      <c r="AJ72" s="53" t="s">
        <v>504</v>
      </c>
      <c r="AK72" s="12" t="s">
        <v>123</v>
      </c>
      <c r="AL72" s="100"/>
      <c r="AM72" s="101"/>
      <c r="AN72" s="57"/>
      <c r="AO72" s="58" t="s">
        <v>347</v>
      </c>
      <c r="AX72" s="53" t="s">
        <v>121</v>
      </c>
      <c r="AY72" s="54">
        <v>1</v>
      </c>
      <c r="AZ72" s="53" t="s">
        <v>505</v>
      </c>
      <c r="BA72" s="12" t="s">
        <v>128</v>
      </c>
      <c r="BB72" s="100"/>
      <c r="BC72" s="102"/>
      <c r="BD72" s="57"/>
      <c r="BE72" s="59" t="s">
        <v>129</v>
      </c>
      <c r="BG72" s="53" t="s">
        <v>121</v>
      </c>
      <c r="BH72" s="54">
        <v>1</v>
      </c>
      <c r="BI72" s="53" t="s">
        <v>505</v>
      </c>
      <c r="BJ72" s="12" t="s">
        <v>128</v>
      </c>
      <c r="BK72" s="100"/>
      <c r="BL72" s="102"/>
      <c r="BM72" s="57"/>
      <c r="BN72" s="59" t="s">
        <v>129</v>
      </c>
      <c r="BX72" s="53" t="s">
        <v>121</v>
      </c>
      <c r="BY72" s="54">
        <v>1</v>
      </c>
      <c r="BZ72" s="53" t="s">
        <v>503</v>
      </c>
      <c r="CA72" s="12" t="s">
        <v>130</v>
      </c>
      <c r="CB72" s="100"/>
      <c r="CC72" s="101"/>
      <c r="CD72" s="57"/>
      <c r="CE72" s="58" t="s">
        <v>131</v>
      </c>
      <c r="CG72" s="53" t="s">
        <v>121</v>
      </c>
      <c r="CH72" s="54">
        <v>1</v>
      </c>
      <c r="CI72" s="53" t="s">
        <v>504</v>
      </c>
      <c r="CJ72" s="12" t="s">
        <v>130</v>
      </c>
      <c r="CK72" s="100"/>
      <c r="CL72" s="101"/>
      <c r="CM72" s="57"/>
      <c r="CN72" s="58" t="s">
        <v>131</v>
      </c>
      <c r="FG72" s="2" t="s">
        <v>186</v>
      </c>
      <c r="FH72" s="2">
        <v>1</v>
      </c>
      <c r="FI72" s="43" t="s">
        <v>188</v>
      </c>
      <c r="FJ72" s="43" t="s">
        <v>94</v>
      </c>
      <c r="FK72" s="43" t="s">
        <v>94</v>
      </c>
      <c r="FL72" s="43"/>
      <c r="FM72" s="2" t="s">
        <v>94</v>
      </c>
      <c r="FN72" s="2" t="s">
        <v>94</v>
      </c>
      <c r="FO72" s="26">
        <f t="shared" si="50"/>
        <v>22.5</v>
      </c>
      <c r="FP72" s="2"/>
      <c r="FQ72" s="4" t="str">
        <f>IF(FI72=0,"0",IF(FI72="5/16","7",IF(FI72="3/8","7.5",IF(FI72="1/2","9",IF(FI72="5/8","10.5",IF(FI72="3/4","11.5","7"))))))</f>
        <v>10.5</v>
      </c>
      <c r="FR72" s="4" t="str">
        <f t="shared" si="51"/>
        <v>3</v>
      </c>
      <c r="FS72" s="4" t="str">
        <f t="shared" si="51"/>
        <v>3</v>
      </c>
      <c r="FT72" s="4" t="str">
        <f t="shared" si="52"/>
        <v>2</v>
      </c>
      <c r="FU72" s="4" t="str">
        <f t="shared" si="53"/>
        <v>4</v>
      </c>
      <c r="FV72" s="44" t="str">
        <f t="shared" si="54"/>
        <v>10.5</v>
      </c>
      <c r="FW72" s="45" t="s">
        <v>186</v>
      </c>
      <c r="FX72" s="2"/>
      <c r="FY72" s="2" t="s">
        <v>377</v>
      </c>
      <c r="FZ72" s="2"/>
      <c r="GA72" s="2"/>
      <c r="GB72" s="2"/>
      <c r="GD72" s="43" t="s">
        <v>188</v>
      </c>
    </row>
    <row r="73" spans="1:194" ht="15.75" thickBot="1" x14ac:dyDescent="0.3">
      <c r="A73" s="129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Y73" s="53" t="s">
        <v>121</v>
      </c>
      <c r="Z73" s="54">
        <v>1</v>
      </c>
      <c r="AA73" s="53" t="s">
        <v>506</v>
      </c>
      <c r="AB73" s="12" t="s">
        <v>123</v>
      </c>
      <c r="AC73" s="100"/>
      <c r="AD73" s="101"/>
      <c r="AE73" s="57"/>
      <c r="AF73" s="58" t="s">
        <v>347</v>
      </c>
      <c r="AH73" s="53" t="s">
        <v>121</v>
      </c>
      <c r="AI73" s="54">
        <v>1</v>
      </c>
      <c r="AJ73" s="53" t="s">
        <v>507</v>
      </c>
      <c r="AK73" s="12" t="s">
        <v>123</v>
      </c>
      <c r="AL73" s="100"/>
      <c r="AM73" s="101"/>
      <c r="AN73" s="57"/>
      <c r="AO73" s="58" t="s">
        <v>347</v>
      </c>
      <c r="AX73" s="53" t="s">
        <v>121</v>
      </c>
      <c r="AY73" s="54">
        <v>1</v>
      </c>
      <c r="AZ73" s="53" t="s">
        <v>508</v>
      </c>
      <c r="BA73" s="12" t="s">
        <v>128</v>
      </c>
      <c r="BB73" s="100"/>
      <c r="BC73" s="102"/>
      <c r="BD73" s="57"/>
      <c r="BE73" s="59" t="s">
        <v>129</v>
      </c>
      <c r="BG73" s="53" t="s">
        <v>121</v>
      </c>
      <c r="BH73" s="54">
        <v>1</v>
      </c>
      <c r="BI73" s="53" t="s">
        <v>508</v>
      </c>
      <c r="BJ73" s="12" t="s">
        <v>128</v>
      </c>
      <c r="BK73" s="100"/>
      <c r="BL73" s="102"/>
      <c r="BM73" s="57"/>
      <c r="BN73" s="59" t="s">
        <v>129</v>
      </c>
      <c r="BX73" s="53" t="s">
        <v>121</v>
      </c>
      <c r="BY73" s="54">
        <v>1</v>
      </c>
      <c r="BZ73" s="53" t="s">
        <v>506</v>
      </c>
      <c r="CA73" s="12" t="s">
        <v>130</v>
      </c>
      <c r="CB73" s="100"/>
      <c r="CC73" s="60"/>
      <c r="CD73" s="57"/>
      <c r="CE73" s="58" t="s">
        <v>131</v>
      </c>
      <c r="CG73" s="53" t="s">
        <v>121</v>
      </c>
      <c r="CH73" s="54">
        <v>1</v>
      </c>
      <c r="CI73" s="53" t="s">
        <v>507</v>
      </c>
      <c r="CJ73" s="12" t="s">
        <v>130</v>
      </c>
      <c r="CK73" s="100"/>
      <c r="CL73" s="60"/>
      <c r="CM73" s="57"/>
      <c r="CN73" s="58" t="s">
        <v>131</v>
      </c>
      <c r="FG73" s="2" t="s">
        <v>209</v>
      </c>
      <c r="FH73" s="2">
        <v>1</v>
      </c>
      <c r="FI73" s="43" t="s">
        <v>188</v>
      </c>
      <c r="FJ73" s="43" t="s">
        <v>94</v>
      </c>
      <c r="FK73" s="43" t="s">
        <v>94</v>
      </c>
      <c r="FL73" s="43"/>
      <c r="FM73" s="2" t="s">
        <v>94</v>
      </c>
      <c r="FN73" s="2" t="s">
        <v>94</v>
      </c>
      <c r="FO73" s="26">
        <f t="shared" si="50"/>
        <v>25</v>
      </c>
      <c r="FP73" s="2"/>
      <c r="FQ73" s="4" t="str">
        <f>IF(FI73=0,"0",IF(FI73="5/16","8",IF(FI73="3/8","8.5",IF(FI73="1/2","11",IF(FI73="5/8","13",IF(FI73="3/4","14","8"))))))</f>
        <v>13</v>
      </c>
      <c r="FR73" s="4" t="str">
        <f t="shared" si="51"/>
        <v>3</v>
      </c>
      <c r="FS73" s="4" t="str">
        <f t="shared" si="51"/>
        <v>3</v>
      </c>
      <c r="FT73" s="4" t="str">
        <f t="shared" si="52"/>
        <v>2</v>
      </c>
      <c r="FU73" s="4" t="str">
        <f t="shared" si="53"/>
        <v>4</v>
      </c>
      <c r="FV73" s="44" t="str">
        <f t="shared" si="54"/>
        <v>13</v>
      </c>
      <c r="FW73" s="45" t="s">
        <v>209</v>
      </c>
      <c r="FX73" s="2"/>
      <c r="FY73" s="2" t="s">
        <v>509</v>
      </c>
      <c r="FZ73" s="2"/>
      <c r="GA73" s="2"/>
      <c r="GB73" s="2"/>
      <c r="GD73" s="43" t="s">
        <v>211</v>
      </c>
    </row>
    <row r="74" spans="1:194" ht="15.75" thickBot="1" x14ac:dyDescent="0.3">
      <c r="A74" s="129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Y74" s="53" t="s">
        <v>121</v>
      </c>
      <c r="Z74" s="54">
        <v>1</v>
      </c>
      <c r="AA74" s="53" t="s">
        <v>510</v>
      </c>
      <c r="AB74" s="12" t="s">
        <v>123</v>
      </c>
      <c r="AC74" s="114"/>
      <c r="AD74" s="61"/>
      <c r="AE74" s="57"/>
      <c r="AF74" s="58" t="s">
        <v>347</v>
      </c>
      <c r="AH74" s="53" t="s">
        <v>121</v>
      </c>
      <c r="AI74" s="54">
        <v>1</v>
      </c>
      <c r="AJ74" s="53" t="s">
        <v>511</v>
      </c>
      <c r="AK74" s="12" t="s">
        <v>123</v>
      </c>
      <c r="AL74" s="114"/>
      <c r="AM74" s="61"/>
      <c r="AN74" s="57"/>
      <c r="AO74" s="58" t="s">
        <v>347</v>
      </c>
      <c r="AX74" s="53" t="s">
        <v>121</v>
      </c>
      <c r="AY74" s="54">
        <v>1</v>
      </c>
      <c r="AZ74" s="53" t="s">
        <v>512</v>
      </c>
      <c r="BA74" s="12" t="s">
        <v>128</v>
      </c>
      <c r="BB74" s="114"/>
      <c r="BC74" s="76"/>
      <c r="BD74" s="57"/>
      <c r="BE74" s="59" t="s">
        <v>129</v>
      </c>
      <c r="BG74" s="53" t="s">
        <v>121</v>
      </c>
      <c r="BH74" s="54">
        <v>1</v>
      </c>
      <c r="BI74" s="53" t="s">
        <v>512</v>
      </c>
      <c r="BJ74" s="12" t="s">
        <v>128</v>
      </c>
      <c r="BK74" s="114"/>
      <c r="BL74" s="76"/>
      <c r="BM74" s="57"/>
      <c r="BN74" s="59" t="s">
        <v>129</v>
      </c>
      <c r="BX74" s="53" t="s">
        <v>121</v>
      </c>
      <c r="BY74" s="54">
        <v>1</v>
      </c>
      <c r="BZ74" s="53" t="s">
        <v>510</v>
      </c>
      <c r="CA74" s="12" t="s">
        <v>130</v>
      </c>
      <c r="CB74" s="114"/>
      <c r="CC74" s="65"/>
      <c r="CD74" s="57"/>
      <c r="CE74" s="58" t="s">
        <v>131</v>
      </c>
      <c r="CG74" s="53" t="s">
        <v>121</v>
      </c>
      <c r="CH74" s="54">
        <v>1</v>
      </c>
      <c r="CI74" s="53" t="s">
        <v>511</v>
      </c>
      <c r="CJ74" s="12" t="s">
        <v>130</v>
      </c>
      <c r="CK74" s="114"/>
      <c r="CL74" s="65"/>
      <c r="CM74" s="57"/>
      <c r="CN74" s="58" t="s">
        <v>131</v>
      </c>
      <c r="FG74" s="2" t="s">
        <v>222</v>
      </c>
      <c r="FH74" s="2">
        <v>1</v>
      </c>
      <c r="FI74" s="43" t="s">
        <v>188</v>
      </c>
      <c r="FJ74" s="43" t="s">
        <v>94</v>
      </c>
      <c r="FK74" s="43" t="s">
        <v>94</v>
      </c>
      <c r="FL74" s="43"/>
      <c r="FM74" s="2" t="s">
        <v>94</v>
      </c>
      <c r="FN74" s="2" t="s">
        <v>94</v>
      </c>
      <c r="FO74" s="26">
        <f t="shared" si="50"/>
        <v>29.5</v>
      </c>
      <c r="FP74" s="2"/>
      <c r="FQ74" s="4" t="str">
        <f>IF(FI74=0,"0",IF(FI74="5/16","10",IF(FI74="3/8","10.5",IF(FI74="1/2","13.5",IF(FI74="5/8","15.5",IF(FI74="3/4","16","10"))))))</f>
        <v>15.5</v>
      </c>
      <c r="FR74" s="4" t="str">
        <f t="shared" ref="FR74:FS77" si="55">IF(FJ74="Yes","4","0")</f>
        <v>4</v>
      </c>
      <c r="FS74" s="4" t="str">
        <f t="shared" si="55"/>
        <v>4</v>
      </c>
      <c r="FT74" s="4" t="str">
        <f t="shared" si="52"/>
        <v>2</v>
      </c>
      <c r="FU74" s="4" t="str">
        <f t="shared" si="53"/>
        <v>4</v>
      </c>
      <c r="FV74" s="44" t="str">
        <f t="shared" si="54"/>
        <v>15.5</v>
      </c>
      <c r="FW74" s="45" t="s">
        <v>222</v>
      </c>
      <c r="FX74" s="2"/>
      <c r="FY74" s="2" t="s">
        <v>513</v>
      </c>
      <c r="FZ74" s="2"/>
      <c r="GA74" s="2"/>
      <c r="GB74" s="2"/>
      <c r="GD74" s="43"/>
    </row>
    <row r="75" spans="1:194" ht="15.75" thickBot="1" x14ac:dyDescent="0.3">
      <c r="A75" s="129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Y75" s="53" t="s">
        <v>121</v>
      </c>
      <c r="Z75" s="54">
        <v>1</v>
      </c>
      <c r="AA75" s="53" t="s">
        <v>514</v>
      </c>
      <c r="AB75" s="12" t="s">
        <v>123</v>
      </c>
      <c r="AC75" s="100"/>
      <c r="AD75" s="61"/>
      <c r="AE75" s="57"/>
      <c r="AF75" s="58" t="s">
        <v>347</v>
      </c>
      <c r="AH75" s="53" t="s">
        <v>121</v>
      </c>
      <c r="AI75" s="54">
        <v>1</v>
      </c>
      <c r="AJ75" s="53" t="s">
        <v>515</v>
      </c>
      <c r="AK75" s="12" t="s">
        <v>123</v>
      </c>
      <c r="AL75" s="100"/>
      <c r="AM75" s="61"/>
      <c r="AN75" s="57"/>
      <c r="AO75" s="58" t="s">
        <v>347</v>
      </c>
      <c r="AX75" s="53" t="s">
        <v>121</v>
      </c>
      <c r="AY75" s="54">
        <v>1</v>
      </c>
      <c r="AZ75" s="53" t="s">
        <v>516</v>
      </c>
      <c r="BA75" s="12" t="s">
        <v>128</v>
      </c>
      <c r="BB75" s="100"/>
      <c r="BC75" s="76"/>
      <c r="BD75" s="57"/>
      <c r="BE75" s="59" t="s">
        <v>129</v>
      </c>
      <c r="BG75" s="53" t="s">
        <v>121</v>
      </c>
      <c r="BH75" s="54">
        <v>1</v>
      </c>
      <c r="BI75" s="53" t="s">
        <v>516</v>
      </c>
      <c r="BJ75" s="12" t="s">
        <v>128</v>
      </c>
      <c r="BK75" s="100"/>
      <c r="BL75" s="76"/>
      <c r="BM75" s="57"/>
      <c r="BN75" s="59" t="s">
        <v>129</v>
      </c>
      <c r="BX75" s="53" t="s">
        <v>121</v>
      </c>
      <c r="BY75" s="54">
        <v>1</v>
      </c>
      <c r="BZ75" s="53" t="s">
        <v>514</v>
      </c>
      <c r="CA75" s="12" t="s">
        <v>130</v>
      </c>
      <c r="CB75" s="100"/>
      <c r="CC75" s="65"/>
      <c r="CD75" s="57"/>
      <c r="CE75" s="58" t="s">
        <v>131</v>
      </c>
      <c r="CG75" s="53" t="s">
        <v>121</v>
      </c>
      <c r="CH75" s="54">
        <v>1</v>
      </c>
      <c r="CI75" s="53" t="s">
        <v>515</v>
      </c>
      <c r="CJ75" s="12" t="s">
        <v>130</v>
      </c>
      <c r="CK75" s="100"/>
      <c r="CL75" s="65"/>
      <c r="CM75" s="57"/>
      <c r="CN75" s="58" t="s">
        <v>131</v>
      </c>
      <c r="FG75" s="2" t="s">
        <v>234</v>
      </c>
      <c r="FH75" s="2">
        <v>1</v>
      </c>
      <c r="FI75" s="43" t="s">
        <v>188</v>
      </c>
      <c r="FJ75" s="43" t="s">
        <v>94</v>
      </c>
      <c r="FK75" s="43" t="s">
        <v>94</v>
      </c>
      <c r="FL75" s="43"/>
      <c r="FM75" s="2" t="s">
        <v>94</v>
      </c>
      <c r="FN75" s="2" t="s">
        <v>94</v>
      </c>
      <c r="FO75" s="26">
        <f t="shared" si="50"/>
        <v>34</v>
      </c>
      <c r="FP75" s="2"/>
      <c r="FQ75" s="4" t="str">
        <f>IF(FI75=0,"0",IF(FI75="5/16","12",IF(FI75="3/8","13",IF(FI75="1/2","17",IF(FI75="5/8","20",IF(FI75="3/4","22","12"))))))</f>
        <v>20</v>
      </c>
      <c r="FR75" s="4" t="str">
        <f t="shared" si="55"/>
        <v>4</v>
      </c>
      <c r="FS75" s="4" t="str">
        <f t="shared" si="55"/>
        <v>4</v>
      </c>
      <c r="FT75" s="4" t="str">
        <f t="shared" si="52"/>
        <v>2</v>
      </c>
      <c r="FU75" s="4" t="str">
        <f t="shared" si="53"/>
        <v>4</v>
      </c>
      <c r="FV75" s="44" t="str">
        <f t="shared" si="54"/>
        <v>20</v>
      </c>
      <c r="FW75" s="45" t="s">
        <v>234</v>
      </c>
      <c r="FX75" s="2"/>
      <c r="FY75" s="2" t="s">
        <v>391</v>
      </c>
      <c r="FZ75" s="2"/>
      <c r="GA75" s="2"/>
      <c r="GB75" s="2"/>
      <c r="GD75" s="43"/>
    </row>
    <row r="76" spans="1:194" ht="15.75" thickBot="1" x14ac:dyDescent="0.3">
      <c r="A76" s="129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Y76" s="53" t="s">
        <v>121</v>
      </c>
      <c r="Z76" s="54">
        <v>1</v>
      </c>
      <c r="AA76" s="53" t="s">
        <v>517</v>
      </c>
      <c r="AB76" s="12" t="s">
        <v>123</v>
      </c>
      <c r="AC76" s="118"/>
      <c r="AD76" s="61"/>
      <c r="AE76" s="57"/>
      <c r="AF76" s="58" t="s">
        <v>347</v>
      </c>
      <c r="AH76" s="53" t="s">
        <v>121</v>
      </c>
      <c r="AI76" s="54">
        <v>1</v>
      </c>
      <c r="AJ76" s="53" t="s">
        <v>518</v>
      </c>
      <c r="AK76" s="12" t="s">
        <v>123</v>
      </c>
      <c r="AL76" s="118"/>
      <c r="AM76" s="61"/>
      <c r="AN76" s="57"/>
      <c r="AO76" s="58" t="s">
        <v>347</v>
      </c>
      <c r="AX76" s="53" t="s">
        <v>121</v>
      </c>
      <c r="AY76" s="54">
        <v>1</v>
      </c>
      <c r="AZ76" s="53" t="s">
        <v>519</v>
      </c>
      <c r="BA76" s="12" t="s">
        <v>128</v>
      </c>
      <c r="BB76" s="114"/>
      <c r="BC76" s="76"/>
      <c r="BD76" s="57"/>
      <c r="BE76" s="59" t="s">
        <v>129</v>
      </c>
      <c r="BG76" s="53" t="s">
        <v>121</v>
      </c>
      <c r="BH76" s="54">
        <v>1</v>
      </c>
      <c r="BI76" s="53" t="s">
        <v>519</v>
      </c>
      <c r="BJ76" s="12" t="s">
        <v>128</v>
      </c>
      <c r="BK76" s="114"/>
      <c r="BL76" s="76"/>
      <c r="BM76" s="57"/>
      <c r="BN76" s="59" t="s">
        <v>129</v>
      </c>
      <c r="BX76" s="53" t="s">
        <v>121</v>
      </c>
      <c r="BY76" s="54">
        <v>1</v>
      </c>
      <c r="BZ76" s="53" t="s">
        <v>517</v>
      </c>
      <c r="CA76" s="12" t="s">
        <v>130</v>
      </c>
      <c r="CB76" s="118"/>
      <c r="CC76" s="65"/>
      <c r="CD76" s="57"/>
      <c r="CE76" s="58" t="s">
        <v>131</v>
      </c>
      <c r="CG76" s="53" t="s">
        <v>121</v>
      </c>
      <c r="CH76" s="54">
        <v>1</v>
      </c>
      <c r="CI76" s="53" t="s">
        <v>518</v>
      </c>
      <c r="CJ76" s="12" t="s">
        <v>130</v>
      </c>
      <c r="CK76" s="118"/>
      <c r="CL76" s="65"/>
      <c r="CM76" s="57"/>
      <c r="CN76" s="58" t="s">
        <v>131</v>
      </c>
      <c r="FG76" s="2" t="s">
        <v>245</v>
      </c>
      <c r="FH76" s="2">
        <v>1</v>
      </c>
      <c r="FI76" s="43" t="s">
        <v>188</v>
      </c>
      <c r="FJ76" s="43" t="s">
        <v>94</v>
      </c>
      <c r="FK76" s="43" t="s">
        <v>94</v>
      </c>
      <c r="FL76" s="43"/>
      <c r="FM76" s="2" t="s">
        <v>94</v>
      </c>
      <c r="FN76" s="2" t="s">
        <v>94</v>
      </c>
      <c r="FO76" s="26">
        <f t="shared" si="50"/>
        <v>38</v>
      </c>
      <c r="FP76" s="2"/>
      <c r="FQ76" s="4" t="str">
        <f>IF(FI76=0,"0",IF(FI76="5/16","13",IF(FI76="3/8","15",IF(FI76="1/2","20",IF(FI76="5/8","24",IF(FI76="3/4","26","13"))))))</f>
        <v>24</v>
      </c>
      <c r="FR76" s="4" t="str">
        <f t="shared" si="55"/>
        <v>4</v>
      </c>
      <c r="FS76" s="4" t="str">
        <f t="shared" si="55"/>
        <v>4</v>
      </c>
      <c r="FT76" s="4" t="str">
        <f t="shared" si="52"/>
        <v>2</v>
      </c>
      <c r="FU76" s="4" t="str">
        <f t="shared" si="53"/>
        <v>4</v>
      </c>
      <c r="FV76" s="44" t="str">
        <f t="shared" si="54"/>
        <v>24</v>
      </c>
      <c r="FW76" s="45" t="s">
        <v>245</v>
      </c>
      <c r="FX76" s="2"/>
      <c r="FY76" s="2" t="s">
        <v>394</v>
      </c>
      <c r="FZ76" s="2"/>
      <c r="GA76" s="2"/>
      <c r="GB76" s="2"/>
      <c r="GD76" s="2"/>
    </row>
    <row r="77" spans="1:194" ht="15.75" thickBot="1" x14ac:dyDescent="0.3">
      <c r="A77" s="129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Y77" s="53" t="s">
        <v>121</v>
      </c>
      <c r="Z77" s="54">
        <v>1</v>
      </c>
      <c r="AA77" s="53" t="s">
        <v>520</v>
      </c>
      <c r="AB77" s="12" t="s">
        <v>123</v>
      </c>
      <c r="AC77" s="118"/>
      <c r="AD77" s="61"/>
      <c r="AE77" s="57"/>
      <c r="AF77" s="58" t="s">
        <v>347</v>
      </c>
      <c r="AH77" s="53" t="s">
        <v>121</v>
      </c>
      <c r="AI77" s="54">
        <v>1</v>
      </c>
      <c r="AJ77" s="53" t="s">
        <v>521</v>
      </c>
      <c r="AK77" s="12" t="s">
        <v>123</v>
      </c>
      <c r="AL77" s="118"/>
      <c r="AM77" s="61"/>
      <c r="AN77" s="57"/>
      <c r="AO77" s="58" t="s">
        <v>347</v>
      </c>
      <c r="AX77" s="53" t="s">
        <v>121</v>
      </c>
      <c r="AY77" s="54">
        <v>1</v>
      </c>
      <c r="AZ77" s="53" t="s">
        <v>522</v>
      </c>
      <c r="BA77" s="12" t="s">
        <v>128</v>
      </c>
      <c r="BB77" s="118"/>
      <c r="BC77" s="76"/>
      <c r="BD77" s="57"/>
      <c r="BE77" s="59" t="s">
        <v>129</v>
      </c>
      <c r="BG77" s="53" t="s">
        <v>121</v>
      </c>
      <c r="BH77" s="54">
        <v>1</v>
      </c>
      <c r="BI77" s="53" t="s">
        <v>522</v>
      </c>
      <c r="BJ77" s="12" t="s">
        <v>128</v>
      </c>
      <c r="BK77" s="118"/>
      <c r="BL77" s="76"/>
      <c r="BM77" s="57"/>
      <c r="BN77" s="59" t="s">
        <v>129</v>
      </c>
      <c r="BX77" s="53" t="s">
        <v>121</v>
      </c>
      <c r="BY77" s="54">
        <v>1</v>
      </c>
      <c r="BZ77" s="53" t="s">
        <v>520</v>
      </c>
      <c r="CA77" s="12" t="s">
        <v>130</v>
      </c>
      <c r="CB77" s="118"/>
      <c r="CC77" s="65"/>
      <c r="CD77" s="57"/>
      <c r="CE77" s="58" t="s">
        <v>131</v>
      </c>
      <c r="CG77" s="53" t="s">
        <v>121</v>
      </c>
      <c r="CH77" s="54">
        <v>1</v>
      </c>
      <c r="CI77" s="53" t="s">
        <v>521</v>
      </c>
      <c r="CJ77" s="12" t="s">
        <v>130</v>
      </c>
      <c r="CK77" s="118"/>
      <c r="CL77" s="65"/>
      <c r="CM77" s="57"/>
      <c r="CN77" s="58" t="s">
        <v>131</v>
      </c>
      <c r="FG77" s="2" t="s">
        <v>254</v>
      </c>
      <c r="FH77" s="2">
        <v>1</v>
      </c>
      <c r="FI77" s="43" t="s">
        <v>188</v>
      </c>
      <c r="FJ77" s="43" t="s">
        <v>94</v>
      </c>
      <c r="FK77" s="43" t="s">
        <v>94</v>
      </c>
      <c r="FL77" s="43"/>
      <c r="FM77" s="2" t="s">
        <v>94</v>
      </c>
      <c r="FN77" s="2" t="s">
        <v>94</v>
      </c>
      <c r="FO77" s="26">
        <f t="shared" si="50"/>
        <v>40</v>
      </c>
      <c r="FP77" s="2"/>
      <c r="FQ77" s="4" t="str">
        <f>IF(FI77=0,"0",IF(FI77="5/16","14",IF(FI77="3/8","16",IF(FI77="1/2","22",IF(FI77="5/8","26",IF(FI77="3/4","28","14"))))))</f>
        <v>26</v>
      </c>
      <c r="FR77" s="4" t="str">
        <f t="shared" si="55"/>
        <v>4</v>
      </c>
      <c r="FS77" s="4" t="str">
        <f t="shared" si="55"/>
        <v>4</v>
      </c>
      <c r="FT77" s="4" t="str">
        <f t="shared" si="52"/>
        <v>2</v>
      </c>
      <c r="FU77" s="4" t="str">
        <f t="shared" si="53"/>
        <v>4</v>
      </c>
      <c r="FV77" s="44" t="str">
        <f t="shared" si="54"/>
        <v>26</v>
      </c>
      <c r="FW77" s="45" t="s">
        <v>254</v>
      </c>
      <c r="FX77" s="2"/>
      <c r="FY77" s="2" t="s">
        <v>461</v>
      </c>
      <c r="FZ77" s="2"/>
      <c r="GA77" s="2"/>
      <c r="GB77" s="2"/>
      <c r="GD77" s="2"/>
    </row>
    <row r="78" spans="1:194" ht="15.75" thickBot="1" x14ac:dyDescent="0.3">
      <c r="A78" s="129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Y78" s="53" t="s">
        <v>121</v>
      </c>
      <c r="Z78" s="54">
        <v>1</v>
      </c>
      <c r="AA78" s="53" t="s">
        <v>523</v>
      </c>
      <c r="AB78" s="12" t="s">
        <v>123</v>
      </c>
      <c r="AC78" s="100"/>
      <c r="AD78" s="61"/>
      <c r="AE78" s="57"/>
      <c r="AF78" s="58" t="s">
        <v>347</v>
      </c>
      <c r="AH78" s="53" t="s">
        <v>121</v>
      </c>
      <c r="AI78" s="54">
        <v>1</v>
      </c>
      <c r="AJ78" s="53" t="s">
        <v>524</v>
      </c>
      <c r="AK78" s="12" t="s">
        <v>123</v>
      </c>
      <c r="AL78" s="100"/>
      <c r="AM78" s="61"/>
      <c r="AN78" s="57"/>
      <c r="AO78" s="58" t="s">
        <v>347</v>
      </c>
      <c r="AX78" s="53" t="s">
        <v>121</v>
      </c>
      <c r="AY78" s="54">
        <v>1</v>
      </c>
      <c r="AZ78" s="53" t="s">
        <v>525</v>
      </c>
      <c r="BA78" s="12" t="s">
        <v>128</v>
      </c>
      <c r="BB78" s="100"/>
      <c r="BC78" s="76"/>
      <c r="BD78" s="57"/>
      <c r="BE78" s="59" t="s">
        <v>129</v>
      </c>
      <c r="BG78" s="53" t="s">
        <v>121</v>
      </c>
      <c r="BH78" s="54">
        <v>1</v>
      </c>
      <c r="BI78" s="53" t="s">
        <v>525</v>
      </c>
      <c r="BJ78" s="12" t="s">
        <v>128</v>
      </c>
      <c r="BK78" s="100"/>
      <c r="BL78" s="76"/>
      <c r="BM78" s="57"/>
      <c r="BN78" s="59" t="s">
        <v>129</v>
      </c>
      <c r="BX78" s="53" t="s">
        <v>121</v>
      </c>
      <c r="BY78" s="54">
        <v>1</v>
      </c>
      <c r="BZ78" s="53" t="s">
        <v>523</v>
      </c>
      <c r="CA78" s="12" t="s">
        <v>130</v>
      </c>
      <c r="CB78" s="100"/>
      <c r="CC78" s="65"/>
      <c r="CD78" s="57"/>
      <c r="CE78" s="58" t="s">
        <v>131</v>
      </c>
      <c r="CG78" s="53" t="s">
        <v>121</v>
      </c>
      <c r="CH78" s="54">
        <v>1</v>
      </c>
      <c r="CI78" s="53" t="s">
        <v>524</v>
      </c>
      <c r="CJ78" s="12" t="s">
        <v>130</v>
      </c>
      <c r="CK78" s="100"/>
      <c r="CL78" s="65"/>
      <c r="CM78" s="57"/>
      <c r="CN78" s="58" t="s">
        <v>131</v>
      </c>
      <c r="FG78" s="2" t="s">
        <v>262</v>
      </c>
      <c r="FH78" s="2">
        <v>1</v>
      </c>
      <c r="FI78" s="43" t="s">
        <v>188</v>
      </c>
      <c r="FJ78" s="43" t="s">
        <v>94</v>
      </c>
      <c r="FK78" s="43" t="s">
        <v>94</v>
      </c>
      <c r="FL78" s="43"/>
      <c r="FM78" s="2" t="s">
        <v>94</v>
      </c>
      <c r="FN78" s="2" t="s">
        <v>94</v>
      </c>
      <c r="FO78" s="26">
        <f t="shared" si="50"/>
        <v>46</v>
      </c>
      <c r="FP78" s="2"/>
      <c r="FQ78" s="4" t="str">
        <f>IF(FI78=0,"0",IF(FI78="5/16","16",IF(FI78="3/8","18",IF(FI78="1/2","25",IF(FI78="5/8","30",IF(FI78="3/4","32","16"))))))</f>
        <v>30</v>
      </c>
      <c r="FR78" s="4" t="str">
        <f>IF(FJ78="Yes","5","0")</f>
        <v>5</v>
      </c>
      <c r="FS78" s="4" t="str">
        <f>IF(FK78="Yes","5","0")</f>
        <v>5</v>
      </c>
      <c r="FT78" s="4" t="str">
        <f t="shared" si="52"/>
        <v>2</v>
      </c>
      <c r="FU78" s="4" t="str">
        <f t="shared" si="53"/>
        <v>4</v>
      </c>
      <c r="FV78" s="44" t="str">
        <f t="shared" si="54"/>
        <v>30</v>
      </c>
      <c r="FW78" s="45" t="s">
        <v>262</v>
      </c>
      <c r="FX78" s="2"/>
      <c r="FY78" s="2" t="s">
        <v>526</v>
      </c>
      <c r="FZ78" s="2"/>
      <c r="GA78" s="2"/>
      <c r="GB78" s="2"/>
      <c r="GD78" s="2"/>
    </row>
    <row r="79" spans="1:194" ht="15.75" thickBot="1" x14ac:dyDescent="0.3">
      <c r="A79" s="129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Y79" s="53" t="s">
        <v>121</v>
      </c>
      <c r="Z79" s="54">
        <v>1</v>
      </c>
      <c r="AA79" s="53" t="s">
        <v>527</v>
      </c>
      <c r="AB79" s="12" t="s">
        <v>123</v>
      </c>
      <c r="AC79" s="118"/>
      <c r="AD79" s="61"/>
      <c r="AE79" s="57"/>
      <c r="AF79" s="58" t="s">
        <v>347</v>
      </c>
      <c r="AH79" s="53" t="s">
        <v>121</v>
      </c>
      <c r="AI79" s="54">
        <v>1</v>
      </c>
      <c r="AJ79" s="53" t="s">
        <v>528</v>
      </c>
      <c r="AK79" s="12" t="s">
        <v>123</v>
      </c>
      <c r="AL79" s="118"/>
      <c r="AM79" s="61"/>
      <c r="AN79" s="57"/>
      <c r="AO79" s="58" t="s">
        <v>347</v>
      </c>
      <c r="AX79" s="53" t="s">
        <v>121</v>
      </c>
      <c r="AY79" s="54">
        <v>1</v>
      </c>
      <c r="AZ79" s="53" t="s">
        <v>529</v>
      </c>
      <c r="BA79" s="12" t="s">
        <v>128</v>
      </c>
      <c r="BB79" s="118"/>
      <c r="BC79" s="76"/>
      <c r="BD79" s="57"/>
      <c r="BE79" s="59" t="s">
        <v>129</v>
      </c>
      <c r="BG79" s="53" t="s">
        <v>121</v>
      </c>
      <c r="BH79" s="54">
        <v>1</v>
      </c>
      <c r="BI79" s="53" t="s">
        <v>529</v>
      </c>
      <c r="BJ79" s="12" t="s">
        <v>128</v>
      </c>
      <c r="BK79" s="118"/>
      <c r="BL79" s="76"/>
      <c r="BM79" s="57"/>
      <c r="BN79" s="59" t="s">
        <v>129</v>
      </c>
      <c r="BX79" s="53" t="s">
        <v>121</v>
      </c>
      <c r="BY79" s="54">
        <v>1</v>
      </c>
      <c r="BZ79" s="53" t="s">
        <v>527</v>
      </c>
      <c r="CA79" s="12" t="s">
        <v>130</v>
      </c>
      <c r="CB79" s="118"/>
      <c r="CC79" s="65"/>
      <c r="CD79" s="57"/>
      <c r="CE79" s="58" t="s">
        <v>131</v>
      </c>
      <c r="CG79" s="53" t="s">
        <v>121</v>
      </c>
      <c r="CH79" s="54">
        <v>1</v>
      </c>
      <c r="CI79" s="53" t="s">
        <v>528</v>
      </c>
      <c r="CJ79" s="12" t="s">
        <v>130</v>
      </c>
      <c r="CK79" s="118"/>
      <c r="CL79" s="65"/>
      <c r="CM79" s="57"/>
      <c r="CN79" s="58" t="s">
        <v>131</v>
      </c>
      <c r="FG79" s="2" t="s">
        <v>274</v>
      </c>
      <c r="FH79" s="2">
        <v>1</v>
      </c>
      <c r="FI79" s="43" t="s">
        <v>188</v>
      </c>
      <c r="FJ79" s="43" t="s">
        <v>94</v>
      </c>
      <c r="FK79" s="43" t="s">
        <v>94</v>
      </c>
      <c r="FL79" s="43"/>
      <c r="FM79" s="2" t="s">
        <v>94</v>
      </c>
      <c r="FN79" s="2" t="s">
        <v>94</v>
      </c>
      <c r="FO79" s="26">
        <f t="shared" si="50"/>
        <v>48</v>
      </c>
      <c r="FP79" s="2"/>
      <c r="FQ79" s="4" t="str">
        <f>IF(FI79=0,"0",IF(FI79="5/16","18",IF(FI79="3/8","20",IF(FI79="1/2","26",IF(FI79="5/8","32",IF(FI79="3/4","34","18"))))))</f>
        <v>32</v>
      </c>
      <c r="FR79" s="4" t="str">
        <f>IF(FJ79="Yes","5","0")</f>
        <v>5</v>
      </c>
      <c r="FS79" s="4" t="str">
        <f>IF(FK79="Yes","5","0")</f>
        <v>5</v>
      </c>
      <c r="FT79" s="4" t="str">
        <f t="shared" si="52"/>
        <v>2</v>
      </c>
      <c r="FU79" s="4" t="str">
        <f t="shared" si="53"/>
        <v>4</v>
      </c>
      <c r="FV79" s="44" t="str">
        <f t="shared" si="54"/>
        <v>32</v>
      </c>
      <c r="FW79" s="45" t="s">
        <v>274</v>
      </c>
      <c r="FX79" s="2"/>
      <c r="FY79" s="2" t="s">
        <v>467</v>
      </c>
      <c r="FZ79" s="2"/>
      <c r="GA79" s="2"/>
      <c r="GB79" s="2"/>
      <c r="GD79" s="2"/>
    </row>
    <row r="80" spans="1:194" ht="15.75" thickBot="1" x14ac:dyDescent="0.3">
      <c r="A80" s="129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Y80" s="53" t="s">
        <v>121</v>
      </c>
      <c r="Z80" s="54">
        <v>1</v>
      </c>
      <c r="AA80" s="53" t="s">
        <v>530</v>
      </c>
      <c r="AB80" s="12" t="s">
        <v>123</v>
      </c>
      <c r="AC80" s="118"/>
      <c r="AD80" s="61"/>
      <c r="AE80" s="57"/>
      <c r="AF80" s="58" t="s">
        <v>347</v>
      </c>
      <c r="AH80" s="53" t="s">
        <v>121</v>
      </c>
      <c r="AI80" s="54">
        <v>1</v>
      </c>
      <c r="AJ80" s="53" t="s">
        <v>531</v>
      </c>
      <c r="AK80" s="12" t="s">
        <v>123</v>
      </c>
      <c r="AL80" s="118"/>
      <c r="AM80" s="61"/>
      <c r="AN80" s="57"/>
      <c r="AO80" s="58" t="s">
        <v>347</v>
      </c>
      <c r="AX80" s="53" t="s">
        <v>121</v>
      </c>
      <c r="AY80" s="54">
        <v>1</v>
      </c>
      <c r="AZ80" s="53" t="s">
        <v>532</v>
      </c>
      <c r="BA80" s="12" t="s">
        <v>128</v>
      </c>
      <c r="BB80" s="118"/>
      <c r="BC80" s="76"/>
      <c r="BD80" s="57"/>
      <c r="BE80" s="59" t="s">
        <v>129</v>
      </c>
      <c r="BG80" s="53" t="s">
        <v>121</v>
      </c>
      <c r="BH80" s="54">
        <v>1</v>
      </c>
      <c r="BI80" s="53" t="s">
        <v>532</v>
      </c>
      <c r="BJ80" s="12" t="s">
        <v>128</v>
      </c>
      <c r="BK80" s="118"/>
      <c r="BL80" s="76"/>
      <c r="BM80" s="57"/>
      <c r="BN80" s="59" t="s">
        <v>129</v>
      </c>
      <c r="BX80" s="53" t="s">
        <v>121</v>
      </c>
      <c r="BY80" s="54">
        <v>1</v>
      </c>
      <c r="BZ80" s="53" t="s">
        <v>530</v>
      </c>
      <c r="CA80" s="12" t="s">
        <v>130</v>
      </c>
      <c r="CB80" s="118"/>
      <c r="CC80" s="65"/>
      <c r="CD80" s="57"/>
      <c r="CE80" s="58" t="s">
        <v>131</v>
      </c>
      <c r="CG80" s="53" t="s">
        <v>121</v>
      </c>
      <c r="CH80" s="54">
        <v>1</v>
      </c>
      <c r="CI80" s="53" t="s">
        <v>531</v>
      </c>
      <c r="CJ80" s="12" t="s">
        <v>130</v>
      </c>
      <c r="CK80" s="118"/>
      <c r="CL80" s="65"/>
      <c r="CM80" s="57"/>
      <c r="CN80" s="58" t="s">
        <v>131</v>
      </c>
      <c r="FG80" s="2" t="s">
        <v>287</v>
      </c>
      <c r="FH80" s="2">
        <v>1</v>
      </c>
      <c r="FI80" s="43" t="s">
        <v>188</v>
      </c>
      <c r="FJ80" s="43" t="s">
        <v>94</v>
      </c>
      <c r="FK80" s="43" t="s">
        <v>94</v>
      </c>
      <c r="FL80" s="43"/>
      <c r="FM80" s="2" t="s">
        <v>94</v>
      </c>
      <c r="FN80" s="2" t="s">
        <v>94</v>
      </c>
      <c r="FO80" s="26">
        <f t="shared" si="50"/>
        <v>54</v>
      </c>
      <c r="FP80" s="2"/>
      <c r="FQ80" s="4" t="str">
        <f>IF(FI80=0,"0",IF(FI80="5/16","22",IF(FI80="3/8","24",IF(FI80="1/2","32",IF(FI80="5/8","36",IF(FI80="3/4","38","22"))))))</f>
        <v>36</v>
      </c>
      <c r="FR80" s="4" t="str">
        <f>IF(FJ80="Yes","6","0")</f>
        <v>6</v>
      </c>
      <c r="FS80" s="4" t="str">
        <f>IF(FK80="Yes","6","0")</f>
        <v>6</v>
      </c>
      <c r="FT80" s="4" t="str">
        <f t="shared" si="52"/>
        <v>2</v>
      </c>
      <c r="FU80" s="4" t="str">
        <f t="shared" si="53"/>
        <v>4</v>
      </c>
      <c r="FV80" s="44" t="str">
        <f t="shared" si="54"/>
        <v>36</v>
      </c>
      <c r="FW80" s="45" t="s">
        <v>287</v>
      </c>
      <c r="FX80" s="2"/>
      <c r="FY80" s="2" t="s">
        <v>533</v>
      </c>
      <c r="FZ80" s="2"/>
      <c r="GA80" s="2"/>
      <c r="GB80" s="2"/>
      <c r="GD80" s="2"/>
    </row>
    <row r="81" spans="1:186" x14ac:dyDescent="0.25">
      <c r="A81" s="129"/>
      <c r="B81" s="129"/>
      <c r="C81" s="129"/>
      <c r="D81" s="129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Y81" s="53" t="s">
        <v>121</v>
      </c>
      <c r="Z81" s="54">
        <v>1</v>
      </c>
      <c r="AA81" s="53" t="s">
        <v>534</v>
      </c>
      <c r="AB81" s="12" t="s">
        <v>123</v>
      </c>
      <c r="AC81" s="118"/>
      <c r="AD81" s="61"/>
      <c r="AE81" s="57"/>
      <c r="AF81" s="58" t="s">
        <v>347</v>
      </c>
      <c r="AH81" s="53" t="s">
        <v>121</v>
      </c>
      <c r="AI81" s="54">
        <v>1</v>
      </c>
      <c r="AJ81" s="53" t="s">
        <v>535</v>
      </c>
      <c r="AK81" s="12" t="s">
        <v>123</v>
      </c>
      <c r="AL81" s="118"/>
      <c r="AM81" s="61"/>
      <c r="AN81" s="57"/>
      <c r="AO81" s="58" t="s">
        <v>347</v>
      </c>
      <c r="AX81" s="53" t="s">
        <v>121</v>
      </c>
      <c r="AY81" s="54">
        <v>1</v>
      </c>
      <c r="AZ81" s="53" t="s">
        <v>536</v>
      </c>
      <c r="BA81" s="12" t="s">
        <v>128</v>
      </c>
      <c r="BB81" s="118"/>
      <c r="BC81" s="76"/>
      <c r="BD81" s="57"/>
      <c r="BE81" s="59" t="s">
        <v>129</v>
      </c>
      <c r="BG81" s="53" t="s">
        <v>121</v>
      </c>
      <c r="BH81" s="54">
        <v>1</v>
      </c>
      <c r="BI81" s="53" t="s">
        <v>536</v>
      </c>
      <c r="BJ81" s="12" t="s">
        <v>128</v>
      </c>
      <c r="BK81" s="118"/>
      <c r="BL81" s="76"/>
      <c r="BM81" s="57"/>
      <c r="BN81" s="59" t="s">
        <v>129</v>
      </c>
      <c r="BX81" s="53" t="s">
        <v>121</v>
      </c>
      <c r="BY81" s="54">
        <v>1</v>
      </c>
      <c r="BZ81" s="53" t="s">
        <v>534</v>
      </c>
      <c r="CA81" s="12" t="s">
        <v>130</v>
      </c>
      <c r="CB81" s="118"/>
      <c r="CC81" s="65"/>
      <c r="CD81" s="57"/>
      <c r="CE81" s="58" t="s">
        <v>131</v>
      </c>
      <c r="CG81" s="53" t="s">
        <v>121</v>
      </c>
      <c r="CH81" s="54">
        <v>1</v>
      </c>
      <c r="CI81" s="53" t="s">
        <v>535</v>
      </c>
      <c r="CJ81" s="12" t="s">
        <v>130</v>
      </c>
      <c r="CK81" s="118"/>
      <c r="CL81" s="65"/>
      <c r="CM81" s="57"/>
      <c r="CN81" s="58" t="s">
        <v>131</v>
      </c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4"/>
      <c r="FU81" s="4"/>
      <c r="FV81" s="4"/>
      <c r="GD81" s="2"/>
    </row>
    <row r="82" spans="1:186" x14ac:dyDescent="0.25">
      <c r="A82" s="129"/>
      <c r="B82" s="129"/>
      <c r="C82" s="129"/>
      <c r="D82" s="129"/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Y82" s="53" t="s">
        <v>121</v>
      </c>
      <c r="Z82" s="54">
        <v>1</v>
      </c>
      <c r="AA82" s="53" t="s">
        <v>537</v>
      </c>
      <c r="AB82" s="12" t="s">
        <v>123</v>
      </c>
      <c r="AC82" s="118"/>
      <c r="AD82" s="76"/>
      <c r="AE82" s="57"/>
      <c r="AF82" s="58" t="s">
        <v>347</v>
      </c>
      <c r="AH82" s="53" t="s">
        <v>121</v>
      </c>
      <c r="AI82" s="54">
        <v>1</v>
      </c>
      <c r="AJ82" s="53" t="s">
        <v>538</v>
      </c>
      <c r="AK82" s="12" t="s">
        <v>123</v>
      </c>
      <c r="AL82" s="118"/>
      <c r="AM82" s="76"/>
      <c r="AN82" s="57"/>
      <c r="AO82" s="58" t="s">
        <v>347</v>
      </c>
      <c r="AX82" s="53" t="s">
        <v>121</v>
      </c>
      <c r="AY82" s="54">
        <v>1</v>
      </c>
      <c r="AZ82" s="53" t="s">
        <v>539</v>
      </c>
      <c r="BA82" s="12" t="s">
        <v>128</v>
      </c>
      <c r="BB82" s="118"/>
      <c r="BC82" s="76"/>
      <c r="BD82" s="57"/>
      <c r="BE82" s="59"/>
      <c r="BG82" s="53" t="s">
        <v>121</v>
      </c>
      <c r="BH82" s="54">
        <v>1</v>
      </c>
      <c r="BI82" s="53" t="s">
        <v>539</v>
      </c>
      <c r="BJ82" s="12" t="s">
        <v>128</v>
      </c>
      <c r="BK82" s="118"/>
      <c r="BL82" s="76"/>
      <c r="BM82" s="57"/>
      <c r="BN82" s="59"/>
      <c r="BX82" s="53" t="s">
        <v>121</v>
      </c>
      <c r="BY82" s="54">
        <v>1</v>
      </c>
      <c r="BZ82" s="53" t="s">
        <v>537</v>
      </c>
      <c r="CA82" s="12" t="s">
        <v>130</v>
      </c>
      <c r="CB82" s="118"/>
      <c r="CC82" s="76"/>
      <c r="CD82" s="57"/>
      <c r="CE82" s="58" t="s">
        <v>131</v>
      </c>
      <c r="CG82" s="53" t="s">
        <v>121</v>
      </c>
      <c r="CH82" s="54">
        <v>1</v>
      </c>
      <c r="CI82" s="53" t="s">
        <v>538</v>
      </c>
      <c r="CJ82" s="12" t="s">
        <v>130</v>
      </c>
      <c r="CK82" s="118"/>
      <c r="CL82" s="76"/>
      <c r="CM82" s="57"/>
      <c r="CN82" s="58" t="s">
        <v>131</v>
      </c>
      <c r="FG82" s="2"/>
      <c r="FH82" s="2"/>
      <c r="FI82" s="2"/>
      <c r="FJ82" s="2"/>
      <c r="FK82" s="2"/>
      <c r="FL82" s="2"/>
      <c r="FM82" s="2"/>
      <c r="FN82" s="122" t="s">
        <v>308</v>
      </c>
      <c r="FO82" s="123">
        <f>SUM(FO67:FO80)</f>
        <v>426.5</v>
      </c>
      <c r="FP82" s="2"/>
      <c r="FQ82" s="2"/>
      <c r="FR82" s="2"/>
      <c r="FS82" s="2"/>
      <c r="FT82" s="4"/>
      <c r="FU82" s="4"/>
      <c r="FV82" s="4"/>
      <c r="GD82" s="2"/>
    </row>
    <row r="83" spans="1:186" ht="15" customHeight="1" x14ac:dyDescent="1.4">
      <c r="A83" s="129"/>
      <c r="B83" s="129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X83" s="159"/>
      <c r="AY83" s="159"/>
      <c r="AZ83" s="159"/>
      <c r="BA83" s="159"/>
      <c r="BB83" s="159"/>
      <c r="BC83" s="159"/>
      <c r="BD83" s="159"/>
      <c r="BE83" s="159"/>
      <c r="BF83" s="159"/>
      <c r="BG83" s="159"/>
      <c r="BH83" s="159"/>
      <c r="BI83" s="159"/>
      <c r="BJ83" s="159"/>
      <c r="BK83" s="159"/>
      <c r="BL83" s="159"/>
      <c r="BM83" s="159"/>
      <c r="BN83" s="159"/>
      <c r="BX83" s="159"/>
      <c r="BY83" s="159"/>
      <c r="BZ83" s="159"/>
      <c r="CA83" s="159"/>
      <c r="CB83" s="159"/>
      <c r="CC83" s="159"/>
      <c r="CD83" s="159"/>
      <c r="CE83" s="159"/>
      <c r="CF83" s="159"/>
      <c r="CG83" s="159"/>
      <c r="CH83" s="159"/>
      <c r="CI83" s="159"/>
      <c r="CJ83" s="159"/>
      <c r="CK83" s="159"/>
      <c r="CL83" s="159"/>
      <c r="CM83" s="159"/>
      <c r="CN83" s="159"/>
    </row>
    <row r="84" spans="1:186" ht="15" customHeight="1" x14ac:dyDescent="1.4">
      <c r="A84" s="129"/>
      <c r="B84" s="129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Y84" s="159"/>
      <c r="Z84" s="159"/>
      <c r="AA84" s="159"/>
      <c r="AB84" s="159"/>
      <c r="AC84" s="159"/>
      <c r="AD84" s="159"/>
      <c r="AE84" s="159"/>
      <c r="AF84" s="159"/>
      <c r="AG84" s="159"/>
      <c r="AH84" s="159"/>
      <c r="AI84" s="159"/>
      <c r="AJ84" s="159"/>
      <c r="AK84" s="159"/>
      <c r="AL84" s="159"/>
      <c r="AM84" s="159"/>
      <c r="AN84" s="159"/>
      <c r="AO84" s="159"/>
      <c r="AX84" s="159"/>
      <c r="AY84" s="159"/>
      <c r="AZ84" s="159"/>
      <c r="BA84" s="159"/>
      <c r="BB84" s="159"/>
      <c r="BC84" s="159"/>
      <c r="BD84" s="159"/>
      <c r="BE84" s="159"/>
      <c r="BF84" s="159"/>
      <c r="BG84" s="159"/>
      <c r="BH84" s="159"/>
      <c r="BI84" s="159"/>
      <c r="BJ84" s="159"/>
      <c r="BK84" s="159"/>
      <c r="BL84" s="159"/>
      <c r="BM84" s="159"/>
      <c r="BN84" s="159"/>
      <c r="BX84" s="159"/>
      <c r="BY84" s="159"/>
      <c r="BZ84" s="159"/>
      <c r="CA84" s="159"/>
      <c r="CB84" s="159"/>
      <c r="CC84" s="159"/>
      <c r="CD84" s="159"/>
      <c r="CE84" s="159"/>
      <c r="CF84" s="159"/>
      <c r="CG84" s="159"/>
      <c r="CH84" s="159"/>
      <c r="CI84" s="159"/>
      <c r="CJ84" s="159"/>
      <c r="CK84" s="159"/>
      <c r="CL84" s="159"/>
      <c r="CM84" s="159"/>
      <c r="CN84" s="159"/>
    </row>
    <row r="85" spans="1:186" ht="15" customHeight="1" x14ac:dyDescent="1.4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  <c r="BM85" s="159"/>
      <c r="BN85" s="159"/>
      <c r="BX85" s="159"/>
      <c r="BY85" s="159"/>
      <c r="BZ85" s="159"/>
      <c r="CA85" s="159"/>
      <c r="CB85" s="159"/>
      <c r="CC85" s="159"/>
      <c r="CD85" s="159"/>
      <c r="CE85" s="159"/>
      <c r="CF85" s="159"/>
      <c r="CG85" s="159"/>
      <c r="CH85" s="159"/>
      <c r="CI85" s="159"/>
      <c r="CJ85" s="159"/>
      <c r="CK85" s="159"/>
      <c r="CL85" s="159"/>
      <c r="CM85" s="159"/>
      <c r="CN85" s="159"/>
    </row>
    <row r="86" spans="1:186" ht="15" customHeight="1" x14ac:dyDescent="1.4">
      <c r="A86" s="129"/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Y86" s="159"/>
      <c r="Z86" s="159"/>
      <c r="AA86" s="159"/>
      <c r="AB86" s="159"/>
      <c r="AC86" s="159"/>
      <c r="AD86" s="159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  <c r="BM86" s="159"/>
      <c r="BN86" s="159"/>
      <c r="BX86" s="159"/>
      <c r="BY86" s="159"/>
      <c r="BZ86" s="159"/>
      <c r="CA86" s="159"/>
      <c r="CB86" s="159"/>
      <c r="CC86" s="159"/>
      <c r="CD86" s="159"/>
      <c r="CE86" s="159"/>
      <c r="CF86" s="159"/>
      <c r="CG86" s="159"/>
      <c r="CH86" s="159"/>
      <c r="CI86" s="159"/>
      <c r="CJ86" s="159"/>
      <c r="CK86" s="159"/>
      <c r="CL86" s="159"/>
      <c r="CM86" s="159"/>
      <c r="CN86" s="159"/>
    </row>
    <row r="87" spans="1:186" ht="15" customHeight="1" x14ac:dyDescent="1.4">
      <c r="A87" s="129"/>
      <c r="B87" s="129"/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Y87" s="159"/>
      <c r="Z87" s="159"/>
      <c r="AA87" s="159"/>
      <c r="AB87" s="159"/>
      <c r="AC87" s="159"/>
      <c r="AD87" s="159"/>
      <c r="AE87" s="159"/>
      <c r="AF87" s="159"/>
      <c r="AG87" s="159"/>
      <c r="AH87" s="159"/>
      <c r="AI87" s="159"/>
      <c r="AJ87" s="159"/>
      <c r="AK87" s="159"/>
      <c r="AL87" s="159"/>
      <c r="AM87" s="159"/>
      <c r="AN87" s="159"/>
      <c r="AO87" s="159"/>
      <c r="AX87" s="159"/>
      <c r="AY87" s="159"/>
      <c r="AZ87" s="159"/>
      <c r="BA87" s="159"/>
      <c r="BB87" s="159"/>
      <c r="BC87" s="159"/>
      <c r="BD87" s="159"/>
      <c r="BE87" s="159"/>
      <c r="BF87" s="159"/>
      <c r="BG87" s="159"/>
      <c r="BH87" s="159"/>
      <c r="BI87" s="159"/>
      <c r="BJ87" s="159"/>
      <c r="BK87" s="159"/>
      <c r="BL87" s="159"/>
      <c r="BM87" s="159"/>
      <c r="BN87" s="159"/>
      <c r="BX87" s="159"/>
      <c r="BY87" s="159"/>
      <c r="BZ87" s="159"/>
      <c r="CA87" s="159"/>
      <c r="CB87" s="159"/>
      <c r="CC87" s="159"/>
      <c r="CD87" s="159"/>
      <c r="CE87" s="159"/>
      <c r="CF87" s="159"/>
      <c r="CG87" s="159"/>
      <c r="CH87" s="159"/>
      <c r="CI87" s="159"/>
      <c r="CJ87" s="159"/>
      <c r="CK87" s="159"/>
      <c r="CL87" s="159"/>
      <c r="CM87" s="159"/>
      <c r="CN87" s="159"/>
    </row>
    <row r="88" spans="1:186" ht="21" x14ac:dyDescent="0.25">
      <c r="A88" s="129"/>
      <c r="B88" s="129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CX88" s="322" t="s">
        <v>540</v>
      </c>
      <c r="CY88" s="322"/>
      <c r="CZ88" s="322"/>
      <c r="DA88" s="322"/>
      <c r="DB88" s="322"/>
      <c r="DC88" s="322"/>
      <c r="DD88" s="322"/>
      <c r="DE88" s="322"/>
      <c r="DF88" s="322"/>
      <c r="DG88" s="322"/>
      <c r="DH88" s="322"/>
      <c r="DI88" s="322"/>
      <c r="DJ88" s="322"/>
      <c r="DK88" s="322"/>
      <c r="DL88" s="322"/>
      <c r="DM88" s="322"/>
      <c r="DN88" s="322"/>
      <c r="DO88" s="322"/>
      <c r="DP88" s="322"/>
      <c r="DQ88" s="322"/>
      <c r="DR88" s="322"/>
      <c r="DS88" s="322"/>
      <c r="DT88" s="322"/>
      <c r="FG88" s="323" t="s">
        <v>316</v>
      </c>
      <c r="FH88" s="323"/>
      <c r="FI88" s="323"/>
      <c r="FJ88" s="323"/>
      <c r="FK88" s="323"/>
      <c r="FL88" s="323"/>
      <c r="FM88" s="323"/>
      <c r="FN88" s="323"/>
      <c r="FO88" s="323"/>
      <c r="FP88" s="323"/>
      <c r="FQ88" s="323"/>
      <c r="FR88" s="323"/>
      <c r="FS88" s="323"/>
      <c r="FT88" s="323"/>
      <c r="FU88" s="323"/>
      <c r="FV88" s="323"/>
      <c r="FW88" s="323"/>
      <c r="FX88" s="323"/>
      <c r="FY88" s="323"/>
      <c r="FZ88" s="323"/>
      <c r="GA88" s="323"/>
      <c r="GB88" s="323"/>
      <c r="GC88" s="323"/>
      <c r="GD88" s="323"/>
    </row>
    <row r="89" spans="1:186" ht="15.75" thickBot="1" x14ac:dyDescent="0.3">
      <c r="A89" s="129"/>
      <c r="B89" s="129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FG89" s="323"/>
      <c r="FH89" s="323"/>
      <c r="FI89" s="323"/>
      <c r="FJ89" s="323"/>
      <c r="FK89" s="323"/>
      <c r="FL89" s="323"/>
      <c r="FM89" s="323"/>
      <c r="FN89" s="323"/>
      <c r="FO89" s="323"/>
      <c r="FP89" s="323"/>
      <c r="FQ89" s="323"/>
      <c r="FR89" s="323"/>
      <c r="FS89" s="323"/>
      <c r="FT89" s="323"/>
      <c r="FU89" s="323"/>
      <c r="FV89" s="323"/>
      <c r="FW89" s="323"/>
      <c r="FX89" s="323"/>
      <c r="FY89" s="323"/>
      <c r="FZ89" s="323"/>
      <c r="GA89" s="323"/>
      <c r="GB89" s="323"/>
      <c r="GC89" s="323"/>
      <c r="GD89" s="323"/>
    </row>
    <row r="90" spans="1:186" ht="33" thickBot="1" x14ac:dyDescent="0.45">
      <c r="A90" s="129"/>
      <c r="B90" s="129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Y90" s="260" t="s">
        <v>541</v>
      </c>
      <c r="Z90" s="261"/>
      <c r="AA90" s="261"/>
      <c r="AB90" s="261"/>
      <c r="AC90" s="261"/>
      <c r="AD90" s="261"/>
      <c r="AE90" s="261"/>
      <c r="AF90" s="261"/>
      <c r="AG90" s="261"/>
      <c r="AH90" s="261"/>
      <c r="AI90" s="261"/>
      <c r="AJ90" s="261"/>
      <c r="AK90" s="261"/>
      <c r="AL90" s="261"/>
      <c r="AM90" s="261"/>
      <c r="AN90" s="261"/>
      <c r="AO90" s="261"/>
      <c r="AX90" s="260" t="s">
        <v>542</v>
      </c>
      <c r="AY90" s="261"/>
      <c r="AZ90" s="261"/>
      <c r="BA90" s="261"/>
      <c r="BB90" s="261"/>
      <c r="BC90" s="261"/>
      <c r="BD90" s="261"/>
      <c r="BE90" s="261"/>
      <c r="BF90" s="261"/>
      <c r="BG90" s="261"/>
      <c r="BH90" s="261"/>
      <c r="BI90" s="261"/>
      <c r="BJ90" s="261"/>
      <c r="BK90" s="261"/>
      <c r="BL90" s="261"/>
      <c r="BM90" s="261"/>
      <c r="BN90" s="261"/>
      <c r="BX90" s="260" t="s">
        <v>543</v>
      </c>
      <c r="BY90" s="261"/>
      <c r="BZ90" s="261"/>
      <c r="CA90" s="261"/>
      <c r="CB90" s="261"/>
      <c r="CC90" s="261"/>
      <c r="CD90" s="261"/>
      <c r="CE90" s="261"/>
      <c r="CF90" s="261"/>
      <c r="CG90" s="261"/>
      <c r="CH90" s="261"/>
      <c r="CI90" s="261"/>
      <c r="CJ90" s="261"/>
      <c r="CK90" s="261"/>
      <c r="CL90" s="261"/>
      <c r="CM90" s="261"/>
      <c r="CN90" s="261"/>
      <c r="DA90" s="324" t="s">
        <v>544</v>
      </c>
      <c r="DB90" s="325"/>
      <c r="DC90" s="325"/>
      <c r="DD90" s="325"/>
      <c r="DE90" s="326"/>
      <c r="DH90" s="324" t="s">
        <v>143</v>
      </c>
      <c r="DI90" s="325"/>
      <c r="DJ90" s="325"/>
      <c r="DK90" s="326"/>
      <c r="DN90" s="324" t="s">
        <v>545</v>
      </c>
      <c r="DO90" s="325"/>
      <c r="DP90" s="325"/>
      <c r="DQ90" s="325"/>
      <c r="DR90" s="325"/>
      <c r="DS90" s="325"/>
      <c r="DT90" s="326"/>
      <c r="FG90" s="9" t="s">
        <v>44</v>
      </c>
      <c r="FH90" s="9" t="s">
        <v>45</v>
      </c>
      <c r="FI90" s="9" t="s">
        <v>46</v>
      </c>
      <c r="FJ90" s="9" t="s">
        <v>47</v>
      </c>
      <c r="FK90" s="9" t="s">
        <v>48</v>
      </c>
      <c r="FL90" s="9" t="s">
        <v>49</v>
      </c>
      <c r="FM90" s="9" t="s">
        <v>50</v>
      </c>
      <c r="FN90" s="9" t="s">
        <v>51</v>
      </c>
      <c r="FO90" s="9" t="s">
        <v>52</v>
      </c>
      <c r="FP90" s="9"/>
      <c r="FQ90" s="10" t="s">
        <v>53</v>
      </c>
      <c r="FR90" s="10" t="s">
        <v>54</v>
      </c>
      <c r="FS90" s="10" t="s">
        <v>55</v>
      </c>
      <c r="FT90" s="10" t="s">
        <v>56</v>
      </c>
      <c r="FU90" s="10" t="s">
        <v>57</v>
      </c>
      <c r="FV90" s="21" t="s">
        <v>58</v>
      </c>
      <c r="FW90" s="9" t="s">
        <v>44</v>
      </c>
      <c r="FX90" s="9"/>
      <c r="FY90" s="22" t="s">
        <v>59</v>
      </c>
      <c r="FZ90" s="9"/>
      <c r="GA90" s="9"/>
      <c r="GB90" s="9"/>
      <c r="GD90" s="23" t="s">
        <v>53</v>
      </c>
    </row>
    <row r="91" spans="1:186" ht="24.75" thickBot="1" x14ac:dyDescent="0.45">
      <c r="A91" s="129"/>
      <c r="B91" s="129"/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Y91" s="269" t="s">
        <v>546</v>
      </c>
      <c r="Z91" s="269"/>
      <c r="AA91" s="269"/>
      <c r="AB91" s="269"/>
      <c r="AC91" s="269"/>
      <c r="AD91" s="269"/>
      <c r="AE91" s="269"/>
      <c r="AF91" s="269"/>
      <c r="AG91" s="1"/>
      <c r="AH91" s="327" t="s">
        <v>547</v>
      </c>
      <c r="AI91" s="328"/>
      <c r="AJ91" s="328"/>
      <c r="AK91" s="328"/>
      <c r="AL91" s="328"/>
      <c r="AM91" s="328"/>
      <c r="AN91" s="328"/>
      <c r="AO91" s="329"/>
      <c r="AX91" s="269" t="s">
        <v>546</v>
      </c>
      <c r="AY91" s="269"/>
      <c r="AZ91" s="269"/>
      <c r="BA91" s="269"/>
      <c r="BB91" s="269"/>
      <c r="BC91" s="269"/>
      <c r="BD91" s="269"/>
      <c r="BE91" s="269"/>
      <c r="BF91" s="1"/>
      <c r="BG91" s="327" t="s">
        <v>547</v>
      </c>
      <c r="BH91" s="328"/>
      <c r="BI91" s="328"/>
      <c r="BJ91" s="328"/>
      <c r="BK91" s="328"/>
      <c r="BL91" s="328"/>
      <c r="BM91" s="328"/>
      <c r="BN91" s="329"/>
      <c r="BX91" s="269" t="s">
        <v>546</v>
      </c>
      <c r="BY91" s="269"/>
      <c r="BZ91" s="269"/>
      <c r="CA91" s="269"/>
      <c r="CB91" s="269"/>
      <c r="CC91" s="269"/>
      <c r="CD91" s="269"/>
      <c r="CE91" s="269"/>
      <c r="CF91" s="1"/>
      <c r="CG91" s="327" t="s">
        <v>547</v>
      </c>
      <c r="CH91" s="328"/>
      <c r="CI91" s="328"/>
      <c r="CJ91" s="328"/>
      <c r="CK91" s="328"/>
      <c r="CL91" s="328"/>
      <c r="CM91" s="328"/>
      <c r="CN91" s="329"/>
      <c r="DA91" s="168" t="s">
        <v>548</v>
      </c>
      <c r="DB91" s="2" t="s">
        <v>549</v>
      </c>
      <c r="DC91" s="2" t="s">
        <v>550</v>
      </c>
      <c r="DD91" s="2" t="s">
        <v>551</v>
      </c>
      <c r="DE91" s="169"/>
      <c r="DH91" s="168" t="s">
        <v>134</v>
      </c>
      <c r="DI91" s="2" t="s">
        <v>550</v>
      </c>
      <c r="DJ91" s="2" t="s">
        <v>551</v>
      </c>
      <c r="DK91" s="170"/>
      <c r="DN91" s="168" t="s">
        <v>548</v>
      </c>
      <c r="DO91" s="2" t="s">
        <v>552</v>
      </c>
      <c r="DP91" s="2" t="s">
        <v>553</v>
      </c>
      <c r="DQ91" s="2" t="s">
        <v>550</v>
      </c>
      <c r="DR91" s="2" t="s">
        <v>551</v>
      </c>
      <c r="DS91" s="2" t="s">
        <v>136</v>
      </c>
      <c r="DT91" s="169" t="s">
        <v>136</v>
      </c>
      <c r="FG91" s="2" t="s">
        <v>92</v>
      </c>
      <c r="FH91" s="2">
        <v>1</v>
      </c>
      <c r="FI91" s="43" t="s">
        <v>93</v>
      </c>
      <c r="FJ91" s="43" t="s">
        <v>94</v>
      </c>
      <c r="FK91" s="43" t="s">
        <v>94</v>
      </c>
      <c r="FL91" s="43"/>
      <c r="FM91" s="2" t="s">
        <v>94</v>
      </c>
      <c r="FN91" s="2" t="s">
        <v>94</v>
      </c>
      <c r="FO91" s="26">
        <f t="shared" ref="FO91:FO104" si="56">(FH91*FV91)+FR91+FS91+FT91+FU91</f>
        <v>15</v>
      </c>
      <c r="FP91" s="2"/>
      <c r="FQ91" s="4" t="str">
        <f>IF(FI91=0,"0",IF(FI91="5/16","3",IF(FI91="3/8","3.3",IF(FI91="1/2","4",IF(FI91="5/8","5",IF(FI91="3/4","5.5","3"))))))</f>
        <v>3</v>
      </c>
      <c r="FR91" s="4" t="str">
        <f t="shared" ref="FR91:FS97" si="57">IF(FJ91="Yes","3","0")</f>
        <v>3</v>
      </c>
      <c r="FS91" s="4" t="str">
        <f t="shared" si="57"/>
        <v>3</v>
      </c>
      <c r="FT91" s="4" t="str">
        <f t="shared" ref="FT91:FT104" si="58">IF(FM91="Yes","2","0")</f>
        <v>2</v>
      </c>
      <c r="FU91" s="4" t="str">
        <f>IF(FN91="Yes","4","0")</f>
        <v>4</v>
      </c>
      <c r="FV91" s="44" t="str">
        <f>IF(FL91="Yes",FQ91*2,FQ91)</f>
        <v>3</v>
      </c>
      <c r="FW91" s="45" t="s">
        <v>92</v>
      </c>
      <c r="FX91" s="2"/>
      <c r="FY91" s="2" t="s">
        <v>363</v>
      </c>
      <c r="FZ91" s="2"/>
      <c r="GA91" s="2"/>
      <c r="GB91" s="2"/>
      <c r="GD91" s="43" t="s">
        <v>96</v>
      </c>
    </row>
    <row r="92" spans="1:186" ht="15.75" thickBot="1" x14ac:dyDescent="0.3">
      <c r="A92" s="129"/>
      <c r="B92" s="129"/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Y92" s="53" t="s">
        <v>554</v>
      </c>
      <c r="Z92" s="54">
        <v>1</v>
      </c>
      <c r="AA92" s="53" t="s">
        <v>555</v>
      </c>
      <c r="AB92" s="12" t="s">
        <v>556</v>
      </c>
      <c r="AC92" s="100"/>
      <c r="AD92" s="101"/>
      <c r="AE92" s="57"/>
      <c r="AF92" s="58" t="s">
        <v>127</v>
      </c>
      <c r="AG92" s="1"/>
      <c r="AH92" s="53" t="s">
        <v>554</v>
      </c>
      <c r="AI92" s="54">
        <v>1</v>
      </c>
      <c r="AJ92" s="53" t="s">
        <v>557</v>
      </c>
      <c r="AK92" s="12" t="s">
        <v>556</v>
      </c>
      <c r="AL92" s="100"/>
      <c r="AM92" s="101"/>
      <c r="AN92" s="57"/>
      <c r="AO92" s="58" t="s">
        <v>127</v>
      </c>
      <c r="AX92" s="53" t="s">
        <v>554</v>
      </c>
      <c r="AY92" s="54">
        <v>1</v>
      </c>
      <c r="AZ92" s="53" t="s">
        <v>555</v>
      </c>
      <c r="BA92" s="12" t="s">
        <v>558</v>
      </c>
      <c r="BB92" s="100">
        <f>AY92*7</f>
        <v>7</v>
      </c>
      <c r="BC92" s="60"/>
      <c r="BD92" s="57">
        <v>45376</v>
      </c>
      <c r="BE92" s="59" t="s">
        <v>129</v>
      </c>
      <c r="BF92" s="1"/>
      <c r="BG92" s="53" t="s">
        <v>554</v>
      </c>
      <c r="BH92" s="54">
        <v>1</v>
      </c>
      <c r="BI92" s="53" t="s">
        <v>557</v>
      </c>
      <c r="BJ92" s="12" t="s">
        <v>558</v>
      </c>
      <c r="BK92" s="100"/>
      <c r="BL92" s="101"/>
      <c r="BM92" s="57"/>
      <c r="BN92" s="59" t="s">
        <v>129</v>
      </c>
      <c r="BX92" s="53" t="s">
        <v>554</v>
      </c>
      <c r="BY92" s="54">
        <v>1</v>
      </c>
      <c r="BZ92" s="53" t="s">
        <v>555</v>
      </c>
      <c r="CA92" s="12" t="s">
        <v>559</v>
      </c>
      <c r="CB92" s="100">
        <f>BY92*11</f>
        <v>11</v>
      </c>
      <c r="CC92" s="102"/>
      <c r="CD92" s="57">
        <v>45376</v>
      </c>
      <c r="CE92" s="58" t="s">
        <v>131</v>
      </c>
      <c r="CF92" s="1"/>
      <c r="CG92" s="53" t="s">
        <v>554</v>
      </c>
      <c r="CH92" s="54">
        <v>1</v>
      </c>
      <c r="CI92" s="53" t="s">
        <v>557</v>
      </c>
      <c r="CJ92" s="64" t="s">
        <v>559</v>
      </c>
      <c r="CK92" s="100"/>
      <c r="CL92" s="60"/>
      <c r="CM92" s="57"/>
      <c r="CN92" s="58" t="s">
        <v>131</v>
      </c>
      <c r="DA92" s="168" t="s">
        <v>560</v>
      </c>
      <c r="DB92" s="2" t="s">
        <v>560</v>
      </c>
      <c r="DC92" s="2" t="s">
        <v>560</v>
      </c>
      <c r="DD92" s="2" t="s">
        <v>560</v>
      </c>
      <c r="DE92" s="169" t="s">
        <v>364</v>
      </c>
      <c r="DH92" s="168" t="s">
        <v>561</v>
      </c>
      <c r="DI92" s="2" t="s">
        <v>561</v>
      </c>
      <c r="DJ92" s="2" t="s">
        <v>561</v>
      </c>
      <c r="DK92" s="169" t="s">
        <v>364</v>
      </c>
      <c r="DN92" s="168" t="s">
        <v>562</v>
      </c>
      <c r="DO92" s="2" t="s">
        <v>562</v>
      </c>
      <c r="DP92" s="2" t="s">
        <v>562</v>
      </c>
      <c r="DQ92" s="2" t="s">
        <v>562</v>
      </c>
      <c r="DR92" s="2" t="s">
        <v>563</v>
      </c>
      <c r="DS92" s="2" t="s">
        <v>552</v>
      </c>
      <c r="DT92" s="169" t="s">
        <v>553</v>
      </c>
      <c r="FG92" s="2" t="s">
        <v>140</v>
      </c>
      <c r="FH92" s="2">
        <v>1</v>
      </c>
      <c r="FI92" s="43" t="s">
        <v>211</v>
      </c>
      <c r="FJ92" s="43" t="s">
        <v>94</v>
      </c>
      <c r="FK92" s="43" t="s">
        <v>94</v>
      </c>
      <c r="FL92" s="43"/>
      <c r="FM92" s="2" t="s">
        <v>94</v>
      </c>
      <c r="FN92" s="2" t="s">
        <v>94</v>
      </c>
      <c r="FO92" s="26">
        <f t="shared" si="56"/>
        <v>17.5</v>
      </c>
      <c r="FP92" s="2"/>
      <c r="FQ92" s="4" t="str">
        <f>IF(FI92=0,"0",IF(FI92="5/16","3",IF(FI92="3/8","3.3",IF(FI92="1/2","4",IF(FI92="5/8","5",IF(FI92="3/4","5.5","3"))))))</f>
        <v>5.5</v>
      </c>
      <c r="FR92" s="4" t="str">
        <f t="shared" si="57"/>
        <v>3</v>
      </c>
      <c r="FS92" s="4" t="str">
        <f t="shared" si="57"/>
        <v>3</v>
      </c>
      <c r="FT92" s="4" t="str">
        <f t="shared" si="58"/>
        <v>2</v>
      </c>
      <c r="FU92" s="4" t="str">
        <f t="shared" ref="FU92:FU104" si="59">IF(FN92="Yes","4","0")</f>
        <v>4</v>
      </c>
      <c r="FV92" s="44" t="str">
        <f t="shared" ref="FV92:FV104" si="60">IF(FL92="Yes",FQ92*2,FQ92)</f>
        <v>5.5</v>
      </c>
      <c r="FW92" s="45" t="s">
        <v>140</v>
      </c>
      <c r="FX92" s="2"/>
      <c r="FY92" s="2" t="s">
        <v>363</v>
      </c>
      <c r="FZ92" s="2"/>
      <c r="GA92" s="2"/>
      <c r="GB92" s="2"/>
      <c r="GD92" s="43" t="s">
        <v>93</v>
      </c>
    </row>
    <row r="93" spans="1:186" ht="24.75" thickBot="1" x14ac:dyDescent="0.45">
      <c r="A93" s="269" t="s">
        <v>564</v>
      </c>
      <c r="B93" s="269"/>
      <c r="C93" s="269"/>
      <c r="D93" s="269"/>
      <c r="E93" s="269"/>
      <c r="F93" s="269"/>
      <c r="G93" s="1"/>
      <c r="H93" s="269" t="s">
        <v>564</v>
      </c>
      <c r="I93" s="269"/>
      <c r="J93" s="269"/>
      <c r="K93" s="269"/>
      <c r="L93" s="269"/>
      <c r="M93" s="269"/>
      <c r="N93" s="1"/>
      <c r="O93" s="269" t="s">
        <v>564</v>
      </c>
      <c r="P93" s="269"/>
      <c r="Q93" s="269"/>
      <c r="R93" s="269"/>
      <c r="S93" s="269"/>
      <c r="T93" s="269"/>
      <c r="Y93" s="53" t="s">
        <v>554</v>
      </c>
      <c r="Z93" s="54">
        <v>1</v>
      </c>
      <c r="AA93" s="53" t="s">
        <v>565</v>
      </c>
      <c r="AB93" s="12" t="s">
        <v>556</v>
      </c>
      <c r="AC93" s="100"/>
      <c r="AD93" s="101"/>
      <c r="AE93" s="57"/>
      <c r="AF93" s="58" t="s">
        <v>347</v>
      </c>
      <c r="AG93" s="1"/>
      <c r="AH93" s="53" t="s">
        <v>554</v>
      </c>
      <c r="AI93" s="54">
        <v>1</v>
      </c>
      <c r="AJ93" s="53" t="s">
        <v>566</v>
      </c>
      <c r="AK93" s="12" t="s">
        <v>556</v>
      </c>
      <c r="AL93" s="100"/>
      <c r="AM93" s="101"/>
      <c r="AN93" s="57"/>
      <c r="AO93" s="58" t="s">
        <v>347</v>
      </c>
      <c r="AQ93" s="271" t="s">
        <v>82</v>
      </c>
      <c r="AR93" s="271"/>
      <c r="AS93" s="271"/>
      <c r="AT93" s="271"/>
      <c r="AU93" s="271"/>
      <c r="AX93" s="53" t="s">
        <v>554</v>
      </c>
      <c r="AY93" s="54">
        <v>1</v>
      </c>
      <c r="AZ93" s="53" t="s">
        <v>565</v>
      </c>
      <c r="BA93" s="12" t="s">
        <v>558</v>
      </c>
      <c r="BB93" s="100"/>
      <c r="BC93" s="101"/>
      <c r="BD93" s="57"/>
      <c r="BE93" s="59" t="s">
        <v>129</v>
      </c>
      <c r="BF93" s="1"/>
      <c r="BG93" s="53" t="s">
        <v>554</v>
      </c>
      <c r="BH93" s="54">
        <v>1</v>
      </c>
      <c r="BI93" s="53" t="s">
        <v>566</v>
      </c>
      <c r="BJ93" s="12" t="s">
        <v>558</v>
      </c>
      <c r="BK93" s="100"/>
      <c r="BL93" s="101"/>
      <c r="BM93" s="57"/>
      <c r="BN93" s="59" t="s">
        <v>129</v>
      </c>
      <c r="BP93" s="271" t="s">
        <v>82</v>
      </c>
      <c r="BQ93" s="271"/>
      <c r="BR93" s="271"/>
      <c r="BS93" s="271"/>
      <c r="BT93" s="271"/>
      <c r="BX93" s="53" t="s">
        <v>554</v>
      </c>
      <c r="BY93" s="54">
        <v>1</v>
      </c>
      <c r="BZ93" s="53" t="s">
        <v>565</v>
      </c>
      <c r="CA93" s="12" t="s">
        <v>559</v>
      </c>
      <c r="CB93" s="100">
        <f>BY93*20</f>
        <v>20</v>
      </c>
      <c r="CC93" s="102"/>
      <c r="CD93" s="57">
        <v>45376</v>
      </c>
      <c r="CE93" s="58" t="s">
        <v>131</v>
      </c>
      <c r="CF93" s="1"/>
      <c r="CG93" s="53" t="s">
        <v>554</v>
      </c>
      <c r="CH93" s="54">
        <v>1</v>
      </c>
      <c r="CI93" s="53" t="s">
        <v>566</v>
      </c>
      <c r="CJ93" s="64" t="s">
        <v>559</v>
      </c>
      <c r="CK93" s="100"/>
      <c r="CL93" s="60"/>
      <c r="CM93" s="57"/>
      <c r="CN93" s="58" t="s">
        <v>131</v>
      </c>
      <c r="CP93" s="271" t="s">
        <v>82</v>
      </c>
      <c r="CQ93" s="271"/>
      <c r="CR93" s="271"/>
      <c r="CS93" s="271"/>
      <c r="CT93" s="271"/>
      <c r="CX93" s="77" t="s">
        <v>147</v>
      </c>
      <c r="CY93" s="78" t="s">
        <v>148</v>
      </c>
      <c r="CZ93" s="120"/>
      <c r="DA93" s="171">
        <v>1</v>
      </c>
      <c r="DB93" s="172">
        <v>0</v>
      </c>
      <c r="DC93" s="172">
        <v>1</v>
      </c>
      <c r="DD93" s="172">
        <v>1</v>
      </c>
      <c r="DE93" s="40">
        <f t="shared" ref="DE93:DE115" si="61">SUM(DA93:DD93)</f>
        <v>3</v>
      </c>
      <c r="DF93" s="173"/>
      <c r="DG93" s="174"/>
      <c r="DH93" s="171">
        <v>2</v>
      </c>
      <c r="DI93" s="172">
        <v>1</v>
      </c>
      <c r="DJ93" s="172">
        <v>1</v>
      </c>
      <c r="DK93" s="40">
        <f>SUM(DH93:DJ93)</f>
        <v>4</v>
      </c>
      <c r="DL93" s="173"/>
      <c r="DM93" s="174"/>
      <c r="DN93" s="171">
        <v>1</v>
      </c>
      <c r="DO93" s="172">
        <v>0</v>
      </c>
      <c r="DP93" s="172">
        <f t="shared" ref="DP93:DP100" si="62">DO93+2</f>
        <v>2</v>
      </c>
      <c r="DQ93" s="172">
        <v>1</v>
      </c>
      <c r="DR93" s="172">
        <v>1</v>
      </c>
      <c r="DS93" s="172">
        <f t="shared" ref="DS93:DS115" si="63">DN93+DO93+DQ93+DR93</f>
        <v>3</v>
      </c>
      <c r="DT93" s="40">
        <f t="shared" ref="DT93:DT115" si="64">DN93+DP93+DQ93+DR93</f>
        <v>5</v>
      </c>
      <c r="FG93" s="2" t="s">
        <v>151</v>
      </c>
      <c r="FH93" s="2">
        <v>1</v>
      </c>
      <c r="FI93" s="43" t="s">
        <v>211</v>
      </c>
      <c r="FJ93" s="43" t="s">
        <v>94</v>
      </c>
      <c r="FK93" s="43" t="s">
        <v>94</v>
      </c>
      <c r="FL93" s="43"/>
      <c r="FM93" s="2" t="s">
        <v>94</v>
      </c>
      <c r="FN93" s="2" t="s">
        <v>94</v>
      </c>
      <c r="FO93" s="26">
        <f t="shared" si="56"/>
        <v>17.5</v>
      </c>
      <c r="FP93" s="2"/>
      <c r="FQ93" s="4" t="str">
        <f>IF(FI93=0,"0",IF(FI93="5/16","3",IF(FI93="3/8","3.3",IF(FI93="1/2","4",IF(FI93="5/8","5",IF(FI93="3/4","5.5","3"))))))</f>
        <v>5.5</v>
      </c>
      <c r="FR93" s="4" t="str">
        <f t="shared" si="57"/>
        <v>3</v>
      </c>
      <c r="FS93" s="4" t="str">
        <f t="shared" si="57"/>
        <v>3</v>
      </c>
      <c r="FT93" s="4" t="str">
        <f t="shared" si="58"/>
        <v>2</v>
      </c>
      <c r="FU93" s="4" t="str">
        <f t="shared" si="59"/>
        <v>4</v>
      </c>
      <c r="FV93" s="44" t="str">
        <f t="shared" si="60"/>
        <v>5.5</v>
      </c>
      <c r="FW93" s="45" t="s">
        <v>151</v>
      </c>
      <c r="FX93" s="2"/>
      <c r="FY93" s="2" t="s">
        <v>363</v>
      </c>
      <c r="FZ93" s="2"/>
      <c r="GA93" s="2"/>
      <c r="GB93" s="2"/>
      <c r="GD93" s="43" t="s">
        <v>152</v>
      </c>
    </row>
    <row r="94" spans="1:186" ht="15.75" thickBot="1" x14ac:dyDescent="0.3">
      <c r="A94" s="11"/>
      <c r="B94" s="12"/>
      <c r="C94" s="13"/>
      <c r="D94" s="12"/>
      <c r="E94" s="14"/>
      <c r="F94" s="15"/>
      <c r="G94" s="1"/>
      <c r="H94" s="11"/>
      <c r="I94" s="12"/>
      <c r="J94" s="13"/>
      <c r="K94" s="12"/>
      <c r="L94" s="14"/>
      <c r="M94" s="15"/>
      <c r="N94" s="1"/>
      <c r="O94" s="11"/>
      <c r="P94" s="12"/>
      <c r="Q94" s="13"/>
      <c r="R94" s="12"/>
      <c r="S94" s="14"/>
      <c r="T94" s="15"/>
      <c r="Y94" s="53" t="s">
        <v>554</v>
      </c>
      <c r="Z94" s="54">
        <v>1</v>
      </c>
      <c r="AA94" s="53" t="s">
        <v>567</v>
      </c>
      <c r="AB94" s="12" t="s">
        <v>556</v>
      </c>
      <c r="AC94" s="100"/>
      <c r="AD94" s="101"/>
      <c r="AE94" s="57"/>
      <c r="AF94" s="58" t="s">
        <v>127</v>
      </c>
      <c r="AG94" s="1"/>
      <c r="AH94" s="53" t="s">
        <v>554</v>
      </c>
      <c r="AI94" s="54">
        <v>1</v>
      </c>
      <c r="AJ94" s="53" t="s">
        <v>568</v>
      </c>
      <c r="AK94" s="12" t="s">
        <v>556</v>
      </c>
      <c r="AL94" s="100"/>
      <c r="AM94" s="101"/>
      <c r="AN94" s="57"/>
      <c r="AO94" s="58" t="s">
        <v>127</v>
      </c>
      <c r="AQ94" s="271"/>
      <c r="AR94" s="271"/>
      <c r="AS94" s="271"/>
      <c r="AT94" s="271"/>
      <c r="AU94" s="271"/>
      <c r="AX94" s="53" t="s">
        <v>554</v>
      </c>
      <c r="AY94" s="54">
        <v>1</v>
      </c>
      <c r="AZ94" s="53" t="s">
        <v>567</v>
      </c>
      <c r="BA94" s="12" t="s">
        <v>558</v>
      </c>
      <c r="BB94" s="100">
        <f>AY94*14</f>
        <v>14</v>
      </c>
      <c r="BC94" s="60"/>
      <c r="BD94" s="57">
        <v>45376</v>
      </c>
      <c r="BE94" s="59" t="s">
        <v>129</v>
      </c>
      <c r="BF94" s="1"/>
      <c r="BG94" s="53" t="s">
        <v>554</v>
      </c>
      <c r="BH94" s="54">
        <v>1</v>
      </c>
      <c r="BI94" s="53" t="s">
        <v>568</v>
      </c>
      <c r="BJ94" s="12" t="s">
        <v>558</v>
      </c>
      <c r="BK94" s="100"/>
      <c r="BL94" s="101"/>
      <c r="BM94" s="57"/>
      <c r="BN94" s="59" t="s">
        <v>129</v>
      </c>
      <c r="BP94" s="271"/>
      <c r="BQ94" s="271"/>
      <c r="BR94" s="271"/>
      <c r="BS94" s="271"/>
      <c r="BT94" s="271"/>
      <c r="BX94" s="53" t="s">
        <v>554</v>
      </c>
      <c r="BY94" s="54">
        <v>1</v>
      </c>
      <c r="BZ94" s="53" t="s">
        <v>567</v>
      </c>
      <c r="CA94" s="12" t="s">
        <v>559</v>
      </c>
      <c r="CB94" s="100">
        <f>BY94*25</f>
        <v>25</v>
      </c>
      <c r="CC94" s="102"/>
      <c r="CD94" s="57">
        <v>45376</v>
      </c>
      <c r="CE94" s="58" t="s">
        <v>131</v>
      </c>
      <c r="CF94" s="1"/>
      <c r="CG94" s="53" t="s">
        <v>554</v>
      </c>
      <c r="CH94" s="54">
        <v>1</v>
      </c>
      <c r="CI94" s="53" t="s">
        <v>568</v>
      </c>
      <c r="CJ94" s="64" t="s">
        <v>559</v>
      </c>
      <c r="CK94" s="100"/>
      <c r="CL94" s="60"/>
      <c r="CM94" s="57"/>
      <c r="CN94" s="58" t="s">
        <v>131</v>
      </c>
      <c r="CP94" s="271"/>
      <c r="CQ94" s="271"/>
      <c r="CR94" s="271"/>
      <c r="CS94" s="271"/>
      <c r="CT94" s="271"/>
      <c r="CX94" s="92" t="s">
        <v>158</v>
      </c>
      <c r="CY94" s="93" t="s">
        <v>159</v>
      </c>
      <c r="CZ94" s="25"/>
      <c r="DA94" s="17">
        <v>1</v>
      </c>
      <c r="DB94" s="18">
        <v>0</v>
      </c>
      <c r="DC94" s="18">
        <v>1</v>
      </c>
      <c r="DD94" s="18">
        <v>2</v>
      </c>
      <c r="DE94" s="124">
        <f t="shared" si="61"/>
        <v>4</v>
      </c>
      <c r="DF94" s="175"/>
      <c r="DG94" s="176"/>
      <c r="DH94" s="17">
        <v>2</v>
      </c>
      <c r="DI94" s="18">
        <v>1</v>
      </c>
      <c r="DJ94" s="18">
        <v>2</v>
      </c>
      <c r="DK94" s="124">
        <f t="shared" ref="DK94:DK115" si="65">SUM(DH94:DJ94)</f>
        <v>5</v>
      </c>
      <c r="DL94" s="175"/>
      <c r="DM94" s="176"/>
      <c r="DN94" s="17">
        <v>1</v>
      </c>
      <c r="DO94" s="18">
        <v>0</v>
      </c>
      <c r="DP94" s="18">
        <f t="shared" si="62"/>
        <v>2</v>
      </c>
      <c r="DQ94" s="18">
        <v>2</v>
      </c>
      <c r="DR94" s="18">
        <v>2</v>
      </c>
      <c r="DS94" s="18">
        <f t="shared" si="63"/>
        <v>5</v>
      </c>
      <c r="DT94" s="124">
        <f t="shared" si="64"/>
        <v>7</v>
      </c>
      <c r="FG94" s="2" t="s">
        <v>161</v>
      </c>
      <c r="FH94" s="2">
        <v>1</v>
      </c>
      <c r="FI94" s="43" t="s">
        <v>211</v>
      </c>
      <c r="FJ94" s="43" t="s">
        <v>94</v>
      </c>
      <c r="FK94" s="43" t="s">
        <v>94</v>
      </c>
      <c r="FL94" s="43"/>
      <c r="FM94" s="2" t="s">
        <v>94</v>
      </c>
      <c r="FN94" s="2" t="s">
        <v>94</v>
      </c>
      <c r="FO94" s="26">
        <f t="shared" si="56"/>
        <v>18.5</v>
      </c>
      <c r="FP94" s="2"/>
      <c r="FQ94" s="4" t="str">
        <f>IF(FI94=0,"0",IF(FI94="5/16","3.5",IF(FI94="3/8","4",IF(FI94="1/2","5.5",IF(FI94="5/8","6",IF(FI94="3/4","6.5","3.5"))))))</f>
        <v>6.5</v>
      </c>
      <c r="FR94" s="4" t="str">
        <f t="shared" si="57"/>
        <v>3</v>
      </c>
      <c r="FS94" s="4" t="str">
        <f t="shared" si="57"/>
        <v>3</v>
      </c>
      <c r="FT94" s="4" t="str">
        <f t="shared" si="58"/>
        <v>2</v>
      </c>
      <c r="FU94" s="4" t="str">
        <f t="shared" si="59"/>
        <v>4</v>
      </c>
      <c r="FV94" s="44" t="str">
        <f t="shared" si="60"/>
        <v>6.5</v>
      </c>
      <c r="FW94" s="45" t="s">
        <v>161</v>
      </c>
      <c r="FX94" s="2"/>
      <c r="FY94" s="2" t="s">
        <v>569</v>
      </c>
      <c r="FZ94" s="2"/>
      <c r="GA94" s="2"/>
      <c r="GB94" s="2"/>
      <c r="GD94" s="43" t="s">
        <v>162</v>
      </c>
    </row>
    <row r="95" spans="1:186" ht="15.75" thickBot="1" x14ac:dyDescent="0.3">
      <c r="A95" s="11" t="s">
        <v>570</v>
      </c>
      <c r="B95" s="12">
        <v>1</v>
      </c>
      <c r="C95" s="52" t="s">
        <v>117</v>
      </c>
      <c r="D95" s="12" t="s">
        <v>118</v>
      </c>
      <c r="E95" s="14"/>
      <c r="F95" s="15"/>
      <c r="G95" s="1"/>
      <c r="H95" s="11" t="s">
        <v>570</v>
      </c>
      <c r="I95" s="12">
        <v>1</v>
      </c>
      <c r="J95" s="52" t="s">
        <v>117</v>
      </c>
      <c r="K95" s="12" t="s">
        <v>119</v>
      </c>
      <c r="L95" s="14"/>
      <c r="M95" s="15"/>
      <c r="N95" s="1"/>
      <c r="O95" s="11" t="s">
        <v>570</v>
      </c>
      <c r="P95" s="12">
        <v>1</v>
      </c>
      <c r="Q95" s="52" t="s">
        <v>117</v>
      </c>
      <c r="R95" s="12" t="s">
        <v>120</v>
      </c>
      <c r="S95" s="14"/>
      <c r="T95" s="15"/>
      <c r="Y95" s="53" t="s">
        <v>554</v>
      </c>
      <c r="Z95" s="54">
        <v>1</v>
      </c>
      <c r="AA95" s="53" t="s">
        <v>571</v>
      </c>
      <c r="AB95" s="12" t="s">
        <v>556</v>
      </c>
      <c r="AC95" s="100"/>
      <c r="AD95" s="101"/>
      <c r="AE95" s="57"/>
      <c r="AF95" s="58" t="s">
        <v>127</v>
      </c>
      <c r="AG95" s="1"/>
      <c r="AH95" s="53" t="s">
        <v>554</v>
      </c>
      <c r="AI95" s="54">
        <v>1</v>
      </c>
      <c r="AJ95" s="53" t="s">
        <v>572</v>
      </c>
      <c r="AK95" s="12" t="s">
        <v>556</v>
      </c>
      <c r="AL95" s="100"/>
      <c r="AM95" s="101"/>
      <c r="AN95" s="57"/>
      <c r="AO95" s="58" t="s">
        <v>347</v>
      </c>
      <c r="AQ95" s="271"/>
      <c r="AR95" s="271"/>
      <c r="AS95" s="271"/>
      <c r="AT95" s="271"/>
      <c r="AU95" s="271"/>
      <c r="AX95" s="53" t="s">
        <v>554</v>
      </c>
      <c r="AY95" s="54">
        <v>1</v>
      </c>
      <c r="AZ95" s="53" t="s">
        <v>571</v>
      </c>
      <c r="BA95" s="12" t="s">
        <v>558</v>
      </c>
      <c r="BB95" s="100">
        <f>AY95*36</f>
        <v>36</v>
      </c>
      <c r="BC95" s="60"/>
      <c r="BD95" s="57">
        <v>45376</v>
      </c>
      <c r="BE95" s="59" t="s">
        <v>129</v>
      </c>
      <c r="BF95" s="1"/>
      <c r="BG95" s="53" t="s">
        <v>554</v>
      </c>
      <c r="BH95" s="54">
        <v>1</v>
      </c>
      <c r="BI95" s="53" t="s">
        <v>572</v>
      </c>
      <c r="BJ95" s="12" t="s">
        <v>558</v>
      </c>
      <c r="BK95" s="100"/>
      <c r="BL95" s="101"/>
      <c r="BM95" s="57"/>
      <c r="BN95" s="59" t="s">
        <v>129</v>
      </c>
      <c r="BP95" s="271"/>
      <c r="BQ95" s="271"/>
      <c r="BR95" s="271"/>
      <c r="BS95" s="271"/>
      <c r="BT95" s="271"/>
      <c r="BX95" s="177" t="s">
        <v>554</v>
      </c>
      <c r="BY95" s="178">
        <v>1</v>
      </c>
      <c r="BZ95" s="177" t="s">
        <v>571</v>
      </c>
      <c r="CA95" s="64" t="s">
        <v>559</v>
      </c>
      <c r="CB95" s="100">
        <f>BY95*50</f>
        <v>50</v>
      </c>
      <c r="CC95" s="60"/>
      <c r="CD95" s="57">
        <v>45376</v>
      </c>
      <c r="CE95" s="58" t="s">
        <v>131</v>
      </c>
      <c r="CF95" s="1"/>
      <c r="CG95" s="53" t="s">
        <v>554</v>
      </c>
      <c r="CH95" s="54">
        <v>1</v>
      </c>
      <c r="CI95" s="53" t="s">
        <v>572</v>
      </c>
      <c r="CJ95" s="64" t="s">
        <v>559</v>
      </c>
      <c r="CK95" s="100"/>
      <c r="CL95" s="60"/>
      <c r="CM95" s="57"/>
      <c r="CN95" s="58" t="s">
        <v>131</v>
      </c>
      <c r="CP95" s="271"/>
      <c r="CQ95" s="271"/>
      <c r="CR95" s="271"/>
      <c r="CS95" s="271"/>
      <c r="CT95" s="271"/>
      <c r="CX95" s="92" t="s">
        <v>168</v>
      </c>
      <c r="CY95" s="93" t="s">
        <v>169</v>
      </c>
      <c r="CZ95" s="25"/>
      <c r="DA95" s="17">
        <v>1</v>
      </c>
      <c r="DB95" s="18">
        <v>0</v>
      </c>
      <c r="DC95" s="18">
        <v>1</v>
      </c>
      <c r="DD95" s="18">
        <v>2</v>
      </c>
      <c r="DE95" s="124">
        <f t="shared" si="61"/>
        <v>4</v>
      </c>
      <c r="DF95" s="175"/>
      <c r="DG95" s="176"/>
      <c r="DH95" s="17">
        <v>2</v>
      </c>
      <c r="DI95" s="18">
        <v>1</v>
      </c>
      <c r="DJ95" s="18">
        <v>2</v>
      </c>
      <c r="DK95" s="124">
        <f t="shared" si="65"/>
        <v>5</v>
      </c>
      <c r="DL95" s="175"/>
      <c r="DM95" s="176"/>
      <c r="DN95" s="17">
        <v>1</v>
      </c>
      <c r="DO95" s="18">
        <v>0</v>
      </c>
      <c r="DP95" s="18">
        <f t="shared" si="62"/>
        <v>2</v>
      </c>
      <c r="DQ95" s="18">
        <v>2</v>
      </c>
      <c r="DR95" s="18">
        <v>2</v>
      </c>
      <c r="DS95" s="18">
        <f t="shared" si="63"/>
        <v>5</v>
      </c>
      <c r="DT95" s="124">
        <f t="shared" si="64"/>
        <v>7</v>
      </c>
      <c r="FG95" s="2" t="s">
        <v>172</v>
      </c>
      <c r="FH95" s="2">
        <v>1</v>
      </c>
      <c r="FI95" s="43" t="s">
        <v>211</v>
      </c>
      <c r="FJ95" s="43" t="s">
        <v>94</v>
      </c>
      <c r="FK95" s="43" t="s">
        <v>94</v>
      </c>
      <c r="FL95" s="43"/>
      <c r="FM95" s="2" t="s">
        <v>94</v>
      </c>
      <c r="FN95" s="2" t="s">
        <v>94</v>
      </c>
      <c r="FO95" s="26">
        <f t="shared" si="56"/>
        <v>21</v>
      </c>
      <c r="FP95" s="2"/>
      <c r="FQ95" s="4" t="str">
        <f>IF(FI95=0,"0",IF(FI95="5/16","5",IF(FI95="3/8","5.5",IF(FI95="1/2","7.5",IF(FI95="5/8","8.5",IF(FI95="3/4","9","5"))))))</f>
        <v>9</v>
      </c>
      <c r="FR95" s="4" t="str">
        <f t="shared" si="57"/>
        <v>3</v>
      </c>
      <c r="FS95" s="4" t="str">
        <f t="shared" si="57"/>
        <v>3</v>
      </c>
      <c r="FT95" s="4" t="str">
        <f t="shared" si="58"/>
        <v>2</v>
      </c>
      <c r="FU95" s="4" t="str">
        <f t="shared" si="59"/>
        <v>4</v>
      </c>
      <c r="FV95" s="44" t="str">
        <f t="shared" si="60"/>
        <v>9</v>
      </c>
      <c r="FW95" s="45" t="s">
        <v>172</v>
      </c>
      <c r="FX95" s="2"/>
      <c r="FY95" s="2" t="s">
        <v>429</v>
      </c>
      <c r="FZ95" s="2"/>
      <c r="GA95" s="2"/>
      <c r="GB95" s="2"/>
      <c r="GD95" s="43" t="s">
        <v>174</v>
      </c>
    </row>
    <row r="96" spans="1:186" ht="15.75" thickBot="1" x14ac:dyDescent="0.3">
      <c r="A96" s="11" t="s">
        <v>573</v>
      </c>
      <c r="B96" s="12">
        <v>2</v>
      </c>
      <c r="C96" s="52" t="s">
        <v>574</v>
      </c>
      <c r="D96" s="12" t="s">
        <v>118</v>
      </c>
      <c r="E96" s="14"/>
      <c r="F96" s="15"/>
      <c r="G96" s="1"/>
      <c r="H96" s="11" t="s">
        <v>573</v>
      </c>
      <c r="I96" s="12">
        <v>2</v>
      </c>
      <c r="J96" s="52" t="s">
        <v>574</v>
      </c>
      <c r="K96" s="12" t="s">
        <v>119</v>
      </c>
      <c r="L96" s="14"/>
      <c r="M96" s="15"/>
      <c r="N96" s="1"/>
      <c r="O96" s="11" t="s">
        <v>573</v>
      </c>
      <c r="P96" s="12">
        <v>2</v>
      </c>
      <c r="Q96" s="52" t="s">
        <v>574</v>
      </c>
      <c r="R96" s="12" t="s">
        <v>120</v>
      </c>
      <c r="S96" s="14"/>
      <c r="T96" s="15"/>
      <c r="Y96" s="53" t="s">
        <v>554</v>
      </c>
      <c r="Z96" s="54">
        <v>1</v>
      </c>
      <c r="AA96" s="53" t="s">
        <v>575</v>
      </c>
      <c r="AB96" s="12" t="s">
        <v>556</v>
      </c>
      <c r="AC96" s="100"/>
      <c r="AD96" s="101"/>
      <c r="AE96" s="57"/>
      <c r="AF96" s="58" t="s">
        <v>127</v>
      </c>
      <c r="AG96" s="1"/>
      <c r="AH96" s="53" t="s">
        <v>554</v>
      </c>
      <c r="AI96" s="54">
        <v>1</v>
      </c>
      <c r="AJ96" s="53" t="s">
        <v>576</v>
      </c>
      <c r="AK96" s="12" t="s">
        <v>556</v>
      </c>
      <c r="AL96" s="100"/>
      <c r="AM96" s="101"/>
      <c r="AN96" s="57"/>
      <c r="AO96" s="58" t="s">
        <v>347</v>
      </c>
      <c r="AQ96" s="271"/>
      <c r="AR96" s="271"/>
      <c r="AS96" s="271"/>
      <c r="AT96" s="271"/>
      <c r="AU96" s="271"/>
      <c r="AX96" s="53" t="s">
        <v>554</v>
      </c>
      <c r="AY96" s="54">
        <v>1</v>
      </c>
      <c r="AZ96" s="53" t="s">
        <v>575</v>
      </c>
      <c r="BA96" s="12" t="s">
        <v>558</v>
      </c>
      <c r="BB96" s="100">
        <f>AY96*50</f>
        <v>50</v>
      </c>
      <c r="BC96" s="101"/>
      <c r="BD96" s="57">
        <v>45376</v>
      </c>
      <c r="BE96" s="59" t="s">
        <v>129</v>
      </c>
      <c r="BF96" s="1"/>
      <c r="BG96" s="53" t="s">
        <v>554</v>
      </c>
      <c r="BH96" s="54">
        <v>1</v>
      </c>
      <c r="BI96" s="53" t="s">
        <v>576</v>
      </c>
      <c r="BJ96" s="12" t="s">
        <v>558</v>
      </c>
      <c r="BK96" s="100"/>
      <c r="BL96" s="101"/>
      <c r="BM96" s="57"/>
      <c r="BN96" s="59" t="s">
        <v>129</v>
      </c>
      <c r="BP96" s="271"/>
      <c r="BQ96" s="271"/>
      <c r="BR96" s="271"/>
      <c r="BS96" s="271"/>
      <c r="BT96" s="271"/>
      <c r="BX96" s="53" t="s">
        <v>554</v>
      </c>
      <c r="BY96" s="54">
        <v>1</v>
      </c>
      <c r="BZ96" s="53" t="s">
        <v>575</v>
      </c>
      <c r="CA96" s="12" t="s">
        <v>559</v>
      </c>
      <c r="CB96" s="100">
        <f>BY96*65</f>
        <v>65</v>
      </c>
      <c r="CC96" s="102"/>
      <c r="CD96" s="57">
        <v>45376</v>
      </c>
      <c r="CE96" s="58" t="s">
        <v>131</v>
      </c>
      <c r="CF96" s="1"/>
      <c r="CG96" s="53" t="s">
        <v>554</v>
      </c>
      <c r="CH96" s="54">
        <v>1</v>
      </c>
      <c r="CI96" s="53" t="s">
        <v>576</v>
      </c>
      <c r="CJ96" s="64" t="s">
        <v>559</v>
      </c>
      <c r="CK96" s="100"/>
      <c r="CL96" s="60"/>
      <c r="CM96" s="57"/>
      <c r="CN96" s="58" t="s">
        <v>131</v>
      </c>
      <c r="CP96" s="271"/>
      <c r="CQ96" s="271"/>
      <c r="CR96" s="271"/>
      <c r="CS96" s="271"/>
      <c r="CT96" s="271"/>
      <c r="CX96" s="179" t="s">
        <v>577</v>
      </c>
      <c r="CY96" s="180" t="s">
        <v>578</v>
      </c>
      <c r="CZ96" s="25"/>
      <c r="DA96" s="17">
        <v>1</v>
      </c>
      <c r="DB96" s="18">
        <v>0</v>
      </c>
      <c r="DC96" s="18">
        <v>2</v>
      </c>
      <c r="DD96" s="18">
        <v>3</v>
      </c>
      <c r="DE96" s="124">
        <f t="shared" si="61"/>
        <v>6</v>
      </c>
      <c r="DF96" s="175"/>
      <c r="DG96" s="176"/>
      <c r="DH96" s="17">
        <v>2</v>
      </c>
      <c r="DI96" s="18">
        <v>2</v>
      </c>
      <c r="DJ96" s="18">
        <v>3</v>
      </c>
      <c r="DK96" s="124">
        <f t="shared" si="65"/>
        <v>7</v>
      </c>
      <c r="DL96" s="175"/>
      <c r="DM96" s="176"/>
      <c r="DN96" s="17">
        <v>1</v>
      </c>
      <c r="DO96" s="18">
        <v>0</v>
      </c>
      <c r="DP96" s="18">
        <f t="shared" si="62"/>
        <v>2</v>
      </c>
      <c r="DQ96" s="18">
        <v>2</v>
      </c>
      <c r="DR96" s="18">
        <v>2</v>
      </c>
      <c r="DS96" s="18">
        <f t="shared" si="63"/>
        <v>5</v>
      </c>
      <c r="DT96" s="124">
        <f t="shared" si="64"/>
        <v>7</v>
      </c>
      <c r="FG96" s="2" t="s">
        <v>186</v>
      </c>
      <c r="FH96" s="2">
        <v>1</v>
      </c>
      <c r="FI96" s="43" t="s">
        <v>211</v>
      </c>
      <c r="FJ96" s="43" t="s">
        <v>94</v>
      </c>
      <c r="FK96" s="43" t="s">
        <v>94</v>
      </c>
      <c r="FL96" s="43"/>
      <c r="FM96" s="2" t="s">
        <v>94</v>
      </c>
      <c r="FN96" s="2" t="s">
        <v>94</v>
      </c>
      <c r="FO96" s="26">
        <f t="shared" si="56"/>
        <v>23.5</v>
      </c>
      <c r="FP96" s="2"/>
      <c r="FQ96" s="4" t="str">
        <f>IF(FI96=0,"0",IF(FI96="5/16","7",IF(FI96="3/8","7.5",IF(FI96="1/2","9",IF(FI96="5/8","10.5",IF(FI96="3/4","11.5","7"))))))</f>
        <v>11.5</v>
      </c>
      <c r="FR96" s="4" t="str">
        <f t="shared" si="57"/>
        <v>3</v>
      </c>
      <c r="FS96" s="4" t="str">
        <f t="shared" si="57"/>
        <v>3</v>
      </c>
      <c r="FT96" s="4" t="str">
        <f t="shared" si="58"/>
        <v>2</v>
      </c>
      <c r="FU96" s="4" t="str">
        <f t="shared" si="59"/>
        <v>4</v>
      </c>
      <c r="FV96" s="44" t="str">
        <f t="shared" si="60"/>
        <v>11.5</v>
      </c>
      <c r="FW96" s="45" t="s">
        <v>186</v>
      </c>
      <c r="FX96" s="2"/>
      <c r="FY96" s="2" t="s">
        <v>263</v>
      </c>
      <c r="FZ96" s="2"/>
      <c r="GA96" s="2"/>
      <c r="GB96" s="2"/>
      <c r="GD96" s="43" t="s">
        <v>188</v>
      </c>
    </row>
    <row r="97" spans="1:186" ht="15.75" thickBot="1" x14ac:dyDescent="0.3">
      <c r="A97" s="11" t="s">
        <v>143</v>
      </c>
      <c r="B97" s="12">
        <v>1</v>
      </c>
      <c r="C97" s="52" t="s">
        <v>144</v>
      </c>
      <c r="D97" s="12" t="s">
        <v>118</v>
      </c>
      <c r="E97" s="14"/>
      <c r="F97" s="15"/>
      <c r="G97" s="1"/>
      <c r="H97" s="11" t="s">
        <v>143</v>
      </c>
      <c r="I97" s="12">
        <v>1</v>
      </c>
      <c r="J97" s="52" t="s">
        <v>144</v>
      </c>
      <c r="K97" s="12" t="s">
        <v>119</v>
      </c>
      <c r="L97" s="14"/>
      <c r="M97" s="15"/>
      <c r="N97" s="1"/>
      <c r="O97" s="11" t="s">
        <v>143</v>
      </c>
      <c r="P97" s="12">
        <v>1</v>
      </c>
      <c r="Q97" s="52" t="s">
        <v>144</v>
      </c>
      <c r="R97" s="12" t="s">
        <v>120</v>
      </c>
      <c r="S97" s="14"/>
      <c r="T97" s="15"/>
      <c r="Y97" s="53" t="s">
        <v>554</v>
      </c>
      <c r="Z97" s="54">
        <v>1</v>
      </c>
      <c r="AA97" s="53" t="s">
        <v>579</v>
      </c>
      <c r="AB97" s="12" t="s">
        <v>556</v>
      </c>
      <c r="AC97" s="114"/>
      <c r="AD97" s="61"/>
      <c r="AE97" s="57"/>
      <c r="AF97" s="58" t="s">
        <v>347</v>
      </c>
      <c r="AG97" s="1"/>
      <c r="AH97" s="53" t="s">
        <v>554</v>
      </c>
      <c r="AI97" s="54">
        <v>1</v>
      </c>
      <c r="AJ97" s="53" t="s">
        <v>580</v>
      </c>
      <c r="AK97" s="12" t="s">
        <v>556</v>
      </c>
      <c r="AL97" s="114"/>
      <c r="AM97" s="61"/>
      <c r="AN97" s="57"/>
      <c r="AO97" s="58" t="s">
        <v>347</v>
      </c>
      <c r="AQ97" s="271"/>
      <c r="AR97" s="271"/>
      <c r="AS97" s="271"/>
      <c r="AT97" s="271"/>
      <c r="AU97" s="271"/>
      <c r="AX97" s="53" t="s">
        <v>554</v>
      </c>
      <c r="AY97" s="54">
        <v>1</v>
      </c>
      <c r="AZ97" s="53" t="s">
        <v>579</v>
      </c>
      <c r="BA97" s="12" t="s">
        <v>558</v>
      </c>
      <c r="BB97" s="114"/>
      <c r="BC97" s="61"/>
      <c r="BD97" s="57"/>
      <c r="BE97" s="59" t="s">
        <v>129</v>
      </c>
      <c r="BF97" s="1"/>
      <c r="BG97" s="53" t="s">
        <v>554</v>
      </c>
      <c r="BH97" s="54">
        <v>1</v>
      </c>
      <c r="BI97" s="53" t="s">
        <v>580</v>
      </c>
      <c r="BJ97" s="12" t="s">
        <v>558</v>
      </c>
      <c r="BK97" s="114"/>
      <c r="BL97" s="61"/>
      <c r="BM97" s="57"/>
      <c r="BN97" s="59" t="s">
        <v>129</v>
      </c>
      <c r="BP97" s="271"/>
      <c r="BQ97" s="271"/>
      <c r="BR97" s="271"/>
      <c r="BS97" s="271"/>
      <c r="BT97" s="271"/>
      <c r="BX97" s="53" t="s">
        <v>554</v>
      </c>
      <c r="BY97" s="54">
        <v>1</v>
      </c>
      <c r="BZ97" s="53" t="s">
        <v>579</v>
      </c>
      <c r="CA97" s="12" t="s">
        <v>559</v>
      </c>
      <c r="CB97" s="114"/>
      <c r="CC97" s="76"/>
      <c r="CD97" s="57"/>
      <c r="CE97" s="58" t="s">
        <v>131</v>
      </c>
      <c r="CF97" s="1"/>
      <c r="CG97" s="53" t="s">
        <v>554</v>
      </c>
      <c r="CH97" s="54">
        <v>1</v>
      </c>
      <c r="CI97" s="53" t="s">
        <v>580</v>
      </c>
      <c r="CJ97" s="12" t="s">
        <v>559</v>
      </c>
      <c r="CK97" s="114"/>
      <c r="CL97" s="76"/>
      <c r="CM97" s="57"/>
      <c r="CN97" s="58" t="s">
        <v>131</v>
      </c>
      <c r="CP97" s="271"/>
      <c r="CQ97" s="271"/>
      <c r="CR97" s="271"/>
      <c r="CS97" s="271"/>
      <c r="CT97" s="271"/>
      <c r="CX97" s="92" t="s">
        <v>581</v>
      </c>
      <c r="CY97" s="93" t="s">
        <v>582</v>
      </c>
      <c r="CZ97" s="25"/>
      <c r="DA97" s="17">
        <v>1</v>
      </c>
      <c r="DB97" s="18">
        <v>3</v>
      </c>
      <c r="DC97" s="18">
        <v>2</v>
      </c>
      <c r="DD97" s="18">
        <v>3</v>
      </c>
      <c r="DE97" s="124">
        <f t="shared" si="61"/>
        <v>9</v>
      </c>
      <c r="DF97" s="175"/>
      <c r="DG97" s="176"/>
      <c r="DH97" s="17">
        <v>2</v>
      </c>
      <c r="DI97" s="18">
        <v>2</v>
      </c>
      <c r="DJ97" s="18">
        <v>3</v>
      </c>
      <c r="DK97" s="124">
        <f t="shared" si="65"/>
        <v>7</v>
      </c>
      <c r="DL97" s="175"/>
      <c r="DM97" s="176"/>
      <c r="DN97" s="17">
        <v>1</v>
      </c>
      <c r="DO97" s="18">
        <v>3</v>
      </c>
      <c r="DP97" s="18">
        <f t="shared" si="62"/>
        <v>5</v>
      </c>
      <c r="DQ97" s="18">
        <v>2</v>
      </c>
      <c r="DR97" s="18">
        <v>2</v>
      </c>
      <c r="DS97" s="18">
        <f t="shared" si="63"/>
        <v>8</v>
      </c>
      <c r="DT97" s="124">
        <f t="shared" si="64"/>
        <v>10</v>
      </c>
      <c r="FG97" s="2" t="s">
        <v>209</v>
      </c>
      <c r="FH97" s="2">
        <v>1</v>
      </c>
      <c r="FI97" s="43" t="s">
        <v>211</v>
      </c>
      <c r="FJ97" s="43" t="s">
        <v>94</v>
      </c>
      <c r="FK97" s="43" t="s">
        <v>94</v>
      </c>
      <c r="FL97" s="43"/>
      <c r="FM97" s="2" t="s">
        <v>94</v>
      </c>
      <c r="FN97" s="2" t="s">
        <v>94</v>
      </c>
      <c r="FO97" s="26">
        <f t="shared" si="56"/>
        <v>26</v>
      </c>
      <c r="FP97" s="2"/>
      <c r="FQ97" s="4" t="str">
        <f>IF(FI97=0,"0",IF(FI97="5/16","8",IF(FI97="3/8","8.5",IF(FI97="1/2","11",IF(FI97="5/8","13",IF(FI97="3/4","14","8"))))))</f>
        <v>14</v>
      </c>
      <c r="FR97" s="4" t="str">
        <f t="shared" si="57"/>
        <v>3</v>
      </c>
      <c r="FS97" s="4" t="str">
        <f t="shared" si="57"/>
        <v>3</v>
      </c>
      <c r="FT97" s="4" t="str">
        <f t="shared" si="58"/>
        <v>2</v>
      </c>
      <c r="FU97" s="4" t="str">
        <f t="shared" si="59"/>
        <v>4</v>
      </c>
      <c r="FV97" s="44" t="str">
        <f t="shared" si="60"/>
        <v>14</v>
      </c>
      <c r="FW97" s="45" t="s">
        <v>209</v>
      </c>
      <c r="FX97" s="2"/>
      <c r="FY97" s="2" t="s">
        <v>583</v>
      </c>
      <c r="FZ97" s="2"/>
      <c r="GA97" s="2"/>
      <c r="GB97" s="2"/>
      <c r="GD97" s="43" t="s">
        <v>211</v>
      </c>
    </row>
    <row r="98" spans="1:186" ht="15.75" thickBot="1" x14ac:dyDescent="0.3">
      <c r="A98" s="11" t="s">
        <v>155</v>
      </c>
      <c r="B98" s="12">
        <v>1</v>
      </c>
      <c r="C98" s="52" t="s">
        <v>117</v>
      </c>
      <c r="D98" s="12" t="s">
        <v>118</v>
      </c>
      <c r="E98" s="14"/>
      <c r="F98" s="15"/>
      <c r="G98" s="1"/>
      <c r="H98" s="11" t="s">
        <v>155</v>
      </c>
      <c r="I98" s="12">
        <v>1</v>
      </c>
      <c r="J98" s="52" t="s">
        <v>117</v>
      </c>
      <c r="K98" s="12" t="s">
        <v>119</v>
      </c>
      <c r="L98" s="14"/>
      <c r="M98" s="15"/>
      <c r="N98" s="1"/>
      <c r="O98" s="11" t="s">
        <v>155</v>
      </c>
      <c r="P98" s="12">
        <v>1</v>
      </c>
      <c r="Q98" s="52" t="s">
        <v>117</v>
      </c>
      <c r="R98" s="12" t="s">
        <v>120</v>
      </c>
      <c r="S98" s="14"/>
      <c r="T98" s="15"/>
      <c r="Y98" s="53" t="s">
        <v>554</v>
      </c>
      <c r="Z98" s="54">
        <v>1</v>
      </c>
      <c r="AA98" s="53" t="s">
        <v>584</v>
      </c>
      <c r="AB98" s="12" t="s">
        <v>556</v>
      </c>
      <c r="AC98" s="60">
        <v>112</v>
      </c>
      <c r="AD98" s="61"/>
      <c r="AE98" s="57"/>
      <c r="AF98" s="58" t="s">
        <v>127</v>
      </c>
      <c r="AG98" s="1"/>
      <c r="AH98" s="53" t="s">
        <v>554</v>
      </c>
      <c r="AI98" s="54">
        <v>1</v>
      </c>
      <c r="AJ98" s="53" t="s">
        <v>585</v>
      </c>
      <c r="AK98" s="12" t="s">
        <v>556</v>
      </c>
      <c r="AL98" s="60"/>
      <c r="AM98" s="65"/>
      <c r="AN98" s="57"/>
      <c r="AO98" s="181" t="s">
        <v>127</v>
      </c>
      <c r="AX98" s="53" t="s">
        <v>554</v>
      </c>
      <c r="AY98" s="54">
        <v>1</v>
      </c>
      <c r="AZ98" s="53" t="s">
        <v>584</v>
      </c>
      <c r="BA98" s="12" t="s">
        <v>558</v>
      </c>
      <c r="BB98" s="60">
        <f>AY98*89</f>
        <v>89</v>
      </c>
      <c r="BC98" s="61"/>
      <c r="BD98" s="57">
        <v>45376</v>
      </c>
      <c r="BE98" s="59" t="s">
        <v>129</v>
      </c>
      <c r="BF98" s="1"/>
      <c r="BG98" s="53" t="s">
        <v>554</v>
      </c>
      <c r="BH98" s="54">
        <v>1</v>
      </c>
      <c r="BI98" s="53" t="s">
        <v>585</v>
      </c>
      <c r="BJ98" s="12" t="s">
        <v>558</v>
      </c>
      <c r="BK98" s="60"/>
      <c r="BL98" s="61"/>
      <c r="BM98" s="57"/>
      <c r="BN98" s="59" t="s">
        <v>129</v>
      </c>
      <c r="BX98" s="53" t="s">
        <v>554</v>
      </c>
      <c r="BY98" s="54">
        <v>1</v>
      </c>
      <c r="BZ98" s="53" t="s">
        <v>584</v>
      </c>
      <c r="CA98" s="12" t="s">
        <v>559</v>
      </c>
      <c r="CB98" s="60">
        <v>155</v>
      </c>
      <c r="CC98" s="76"/>
      <c r="CD98" s="57"/>
      <c r="CE98" s="58" t="s">
        <v>131</v>
      </c>
      <c r="CF98" s="1"/>
      <c r="CG98" s="53" t="s">
        <v>554</v>
      </c>
      <c r="CH98" s="54">
        <v>1</v>
      </c>
      <c r="CI98" s="53" t="s">
        <v>585</v>
      </c>
      <c r="CJ98" s="12" t="s">
        <v>559</v>
      </c>
      <c r="CK98" s="60"/>
      <c r="CL98" s="76"/>
      <c r="CM98" s="57"/>
      <c r="CN98" s="58" t="s">
        <v>131</v>
      </c>
      <c r="CX98" s="92" t="s">
        <v>219</v>
      </c>
      <c r="CY98" s="93" t="s">
        <v>220</v>
      </c>
      <c r="CZ98" s="25"/>
      <c r="DA98" s="17">
        <v>1</v>
      </c>
      <c r="DB98" s="18">
        <v>3</v>
      </c>
      <c r="DC98" s="18">
        <v>2</v>
      </c>
      <c r="DD98" s="18">
        <v>3</v>
      </c>
      <c r="DE98" s="124">
        <f t="shared" si="61"/>
        <v>9</v>
      </c>
      <c r="DF98" s="175"/>
      <c r="DG98" s="176"/>
      <c r="DH98" s="17">
        <v>2</v>
      </c>
      <c r="DI98" s="18">
        <v>2</v>
      </c>
      <c r="DJ98" s="18">
        <v>3</v>
      </c>
      <c r="DK98" s="124">
        <f t="shared" si="65"/>
        <v>7</v>
      </c>
      <c r="DL98" s="175"/>
      <c r="DM98" s="176"/>
      <c r="DN98" s="17">
        <v>1</v>
      </c>
      <c r="DO98" s="18">
        <v>3</v>
      </c>
      <c r="DP98" s="18">
        <f t="shared" si="62"/>
        <v>5</v>
      </c>
      <c r="DQ98" s="18">
        <v>3</v>
      </c>
      <c r="DR98" s="18">
        <v>3</v>
      </c>
      <c r="DS98" s="18">
        <f t="shared" si="63"/>
        <v>10</v>
      </c>
      <c r="DT98" s="124">
        <f t="shared" si="64"/>
        <v>12</v>
      </c>
      <c r="FG98" s="2" t="s">
        <v>222</v>
      </c>
      <c r="FH98" s="2">
        <v>1</v>
      </c>
      <c r="FI98" s="43" t="s">
        <v>211</v>
      </c>
      <c r="FJ98" s="43" t="s">
        <v>94</v>
      </c>
      <c r="FK98" s="43" t="s">
        <v>94</v>
      </c>
      <c r="FL98" s="43"/>
      <c r="FM98" s="2" t="s">
        <v>94</v>
      </c>
      <c r="FN98" s="2" t="s">
        <v>94</v>
      </c>
      <c r="FO98" s="26">
        <f t="shared" si="56"/>
        <v>30</v>
      </c>
      <c r="FP98" s="2"/>
      <c r="FQ98" s="4" t="str">
        <f>IF(FI98=0,"0",IF(FI98="5/16","10",IF(FI98="3/8","10.5",IF(FI98="1/2","13.5",IF(FI98="5/8","15.5",IF(FI98="3/4","16","10"))))))</f>
        <v>16</v>
      </c>
      <c r="FR98" s="4" t="str">
        <f t="shared" ref="FR98:FS101" si="66">IF(FJ98="Yes","4","0")</f>
        <v>4</v>
      </c>
      <c r="FS98" s="4" t="str">
        <f t="shared" si="66"/>
        <v>4</v>
      </c>
      <c r="FT98" s="4" t="str">
        <f t="shared" si="58"/>
        <v>2</v>
      </c>
      <c r="FU98" s="4" t="str">
        <f t="shared" si="59"/>
        <v>4</v>
      </c>
      <c r="FV98" s="44" t="str">
        <f t="shared" si="60"/>
        <v>16</v>
      </c>
      <c r="FW98" s="45" t="s">
        <v>222</v>
      </c>
      <c r="FX98" s="2"/>
      <c r="FY98" s="2" t="s">
        <v>586</v>
      </c>
      <c r="FZ98" s="2"/>
      <c r="GA98" s="2"/>
      <c r="GB98" s="2"/>
      <c r="GD98" s="43"/>
    </row>
    <row r="99" spans="1:186" ht="15.75" thickBot="1" x14ac:dyDescent="0.3">
      <c r="A99" s="11"/>
      <c r="B99" s="12">
        <v>1</v>
      </c>
      <c r="C99" s="52" t="s">
        <v>117</v>
      </c>
      <c r="D99" s="12" t="s">
        <v>118</v>
      </c>
      <c r="E99" s="14"/>
      <c r="F99" s="15"/>
      <c r="G99" s="1"/>
      <c r="H99" s="11"/>
      <c r="I99" s="12">
        <v>1</v>
      </c>
      <c r="J99" s="52" t="s">
        <v>117</v>
      </c>
      <c r="K99" s="12" t="s">
        <v>119</v>
      </c>
      <c r="L99" s="14"/>
      <c r="M99" s="15"/>
      <c r="N99" s="1"/>
      <c r="O99" s="11"/>
      <c r="P99" s="12">
        <v>1</v>
      </c>
      <c r="Q99" s="52" t="s">
        <v>117</v>
      </c>
      <c r="R99" s="12" t="s">
        <v>120</v>
      </c>
      <c r="S99" s="14"/>
      <c r="T99" s="15"/>
      <c r="Y99" s="53" t="s">
        <v>554</v>
      </c>
      <c r="Z99" s="54">
        <v>1</v>
      </c>
      <c r="AA99" s="53" t="s">
        <v>587</v>
      </c>
      <c r="AB99" s="12" t="s">
        <v>556</v>
      </c>
      <c r="AC99" s="60">
        <v>121</v>
      </c>
      <c r="AD99" s="61"/>
      <c r="AE99" s="57"/>
      <c r="AF99" s="58" t="s">
        <v>127</v>
      </c>
      <c r="AG99" s="1"/>
      <c r="AH99" s="53" t="s">
        <v>554</v>
      </c>
      <c r="AI99" s="54">
        <v>1</v>
      </c>
      <c r="AJ99" s="53" t="s">
        <v>588</v>
      </c>
      <c r="AK99" s="12" t="s">
        <v>556</v>
      </c>
      <c r="AL99" s="60"/>
      <c r="AM99" s="61"/>
      <c r="AN99" s="57"/>
      <c r="AO99" s="58" t="s">
        <v>127</v>
      </c>
      <c r="AX99" s="53" t="s">
        <v>554</v>
      </c>
      <c r="AY99" s="54">
        <v>1</v>
      </c>
      <c r="AZ99" s="53" t="s">
        <v>587</v>
      </c>
      <c r="BA99" s="12" t="s">
        <v>558</v>
      </c>
      <c r="BB99" s="60">
        <f>AY99*121</f>
        <v>121</v>
      </c>
      <c r="BC99" s="65"/>
      <c r="BD99" s="57">
        <v>45376</v>
      </c>
      <c r="BE99" s="59" t="s">
        <v>129</v>
      </c>
      <c r="BF99" s="1"/>
      <c r="BG99" s="53" t="s">
        <v>554</v>
      </c>
      <c r="BH99" s="54">
        <v>1</v>
      </c>
      <c r="BI99" s="53" t="s">
        <v>588</v>
      </c>
      <c r="BJ99" s="12" t="s">
        <v>558</v>
      </c>
      <c r="BK99" s="60"/>
      <c r="BL99" s="61"/>
      <c r="BM99" s="57"/>
      <c r="BN99" s="59" t="s">
        <v>129</v>
      </c>
      <c r="BX99" s="53" t="s">
        <v>554</v>
      </c>
      <c r="BY99" s="54">
        <v>1</v>
      </c>
      <c r="BZ99" s="53" t="s">
        <v>587</v>
      </c>
      <c r="CA99" s="12" t="s">
        <v>559</v>
      </c>
      <c r="CB99" s="60">
        <f>BY99*205</f>
        <v>205</v>
      </c>
      <c r="CC99" s="76"/>
      <c r="CD99" s="57">
        <v>45376</v>
      </c>
      <c r="CE99" s="58" t="s">
        <v>131</v>
      </c>
      <c r="CF99" s="1"/>
      <c r="CG99" s="53" t="s">
        <v>554</v>
      </c>
      <c r="CH99" s="54">
        <v>1</v>
      </c>
      <c r="CI99" s="53" t="s">
        <v>588</v>
      </c>
      <c r="CJ99" s="12" t="s">
        <v>559</v>
      </c>
      <c r="CK99" s="60"/>
      <c r="CL99" s="65"/>
      <c r="CM99" s="57"/>
      <c r="CN99" s="58" t="s">
        <v>131</v>
      </c>
      <c r="CX99" s="92" t="s">
        <v>231</v>
      </c>
      <c r="CY99" s="93" t="s">
        <v>232</v>
      </c>
      <c r="CZ99" s="25"/>
      <c r="DA99" s="17">
        <v>1</v>
      </c>
      <c r="DB99" s="18">
        <v>3</v>
      </c>
      <c r="DC99" s="18">
        <v>2</v>
      </c>
      <c r="DD99" s="18">
        <v>3</v>
      </c>
      <c r="DE99" s="124">
        <f t="shared" si="61"/>
        <v>9</v>
      </c>
      <c r="DF99" s="175"/>
      <c r="DG99" s="176"/>
      <c r="DH99" s="17">
        <v>2</v>
      </c>
      <c r="DI99" s="18">
        <v>3</v>
      </c>
      <c r="DJ99" s="18">
        <v>3</v>
      </c>
      <c r="DK99" s="124">
        <f t="shared" si="65"/>
        <v>8</v>
      </c>
      <c r="DL99" s="175"/>
      <c r="DM99" s="176"/>
      <c r="DN99" s="17">
        <v>1</v>
      </c>
      <c r="DO99" s="18">
        <v>3</v>
      </c>
      <c r="DP99" s="18">
        <f t="shared" si="62"/>
        <v>5</v>
      </c>
      <c r="DQ99" s="18">
        <v>3</v>
      </c>
      <c r="DR99" s="18">
        <v>3</v>
      </c>
      <c r="DS99" s="18">
        <f t="shared" si="63"/>
        <v>10</v>
      </c>
      <c r="DT99" s="124">
        <f t="shared" si="64"/>
        <v>12</v>
      </c>
      <c r="FG99" s="2" t="s">
        <v>234</v>
      </c>
      <c r="FH99" s="2">
        <v>1</v>
      </c>
      <c r="FI99" s="43" t="s">
        <v>211</v>
      </c>
      <c r="FJ99" s="43" t="s">
        <v>94</v>
      </c>
      <c r="FK99" s="43" t="s">
        <v>94</v>
      </c>
      <c r="FL99" s="43"/>
      <c r="FM99" s="2" t="s">
        <v>94</v>
      </c>
      <c r="FN99" s="2" t="s">
        <v>94</v>
      </c>
      <c r="FO99" s="26">
        <f t="shared" si="56"/>
        <v>36</v>
      </c>
      <c r="FP99" s="2"/>
      <c r="FQ99" s="4" t="str">
        <f>IF(FI99=0,"0",IF(FI99="5/16","12",IF(FI99="3/8","13",IF(FI99="1/2","17",IF(FI99="5/8","20",IF(FI99="3/4","22","12"))))))</f>
        <v>22</v>
      </c>
      <c r="FR99" s="4" t="str">
        <f t="shared" si="66"/>
        <v>4</v>
      </c>
      <c r="FS99" s="4" t="str">
        <f t="shared" si="66"/>
        <v>4</v>
      </c>
      <c r="FT99" s="4" t="str">
        <f t="shared" si="58"/>
        <v>2</v>
      </c>
      <c r="FU99" s="4" t="str">
        <f t="shared" si="59"/>
        <v>4</v>
      </c>
      <c r="FV99" s="44" t="str">
        <f t="shared" si="60"/>
        <v>22</v>
      </c>
      <c r="FW99" s="45" t="s">
        <v>234</v>
      </c>
      <c r="FX99" s="2"/>
      <c r="FY99" s="2" t="s">
        <v>288</v>
      </c>
      <c r="FZ99" s="2"/>
      <c r="GA99" s="2"/>
      <c r="GB99" s="2"/>
      <c r="GD99" s="43"/>
    </row>
    <row r="100" spans="1:186" ht="15.75" thickBot="1" x14ac:dyDescent="0.3">
      <c r="A100" s="11" t="s">
        <v>589</v>
      </c>
      <c r="B100" s="12">
        <v>1</v>
      </c>
      <c r="C100" s="52" t="s">
        <v>117</v>
      </c>
      <c r="D100" s="12" t="s">
        <v>118</v>
      </c>
      <c r="E100" s="14"/>
      <c r="F100" s="15"/>
      <c r="G100" s="1"/>
      <c r="H100" s="11" t="s">
        <v>589</v>
      </c>
      <c r="I100" s="12">
        <v>1</v>
      </c>
      <c r="J100" s="52" t="s">
        <v>117</v>
      </c>
      <c r="K100" s="12" t="s">
        <v>119</v>
      </c>
      <c r="L100" s="14"/>
      <c r="M100" s="15"/>
      <c r="N100" s="1"/>
      <c r="O100" s="11" t="s">
        <v>589</v>
      </c>
      <c r="P100" s="12">
        <v>1</v>
      </c>
      <c r="Q100" s="52" t="s">
        <v>117</v>
      </c>
      <c r="R100" s="12" t="s">
        <v>120</v>
      </c>
      <c r="S100" s="14"/>
      <c r="T100" s="15"/>
      <c r="Y100" s="53" t="s">
        <v>554</v>
      </c>
      <c r="Z100" s="54">
        <v>1</v>
      </c>
      <c r="AA100" s="53" t="s">
        <v>590</v>
      </c>
      <c r="AB100" s="12" t="s">
        <v>556</v>
      </c>
      <c r="AC100" s="100"/>
      <c r="AD100" s="61"/>
      <c r="AE100" s="57"/>
      <c r="AF100" s="58" t="s">
        <v>127</v>
      </c>
      <c r="AG100" s="1"/>
      <c r="AH100" s="53" t="s">
        <v>554</v>
      </c>
      <c r="AI100" s="54">
        <v>1</v>
      </c>
      <c r="AJ100" s="53" t="s">
        <v>591</v>
      </c>
      <c r="AK100" s="12" t="s">
        <v>556</v>
      </c>
      <c r="AL100" s="100"/>
      <c r="AM100" s="61"/>
      <c r="AN100" s="57"/>
      <c r="AO100" s="58" t="s">
        <v>347</v>
      </c>
      <c r="AX100" s="53" t="s">
        <v>554</v>
      </c>
      <c r="AY100" s="54">
        <v>1</v>
      </c>
      <c r="AZ100" s="53" t="s">
        <v>590</v>
      </c>
      <c r="BA100" s="12" t="s">
        <v>558</v>
      </c>
      <c r="BB100" s="100">
        <f>AY100*177</f>
        <v>177</v>
      </c>
      <c r="BC100" s="65"/>
      <c r="BD100" s="57">
        <v>45376</v>
      </c>
      <c r="BE100" s="59" t="s">
        <v>129</v>
      </c>
      <c r="BF100" s="1"/>
      <c r="BG100" s="53" t="s">
        <v>554</v>
      </c>
      <c r="BH100" s="54">
        <v>1</v>
      </c>
      <c r="BI100" s="53" t="s">
        <v>591</v>
      </c>
      <c r="BJ100" s="12" t="s">
        <v>558</v>
      </c>
      <c r="BK100" s="100"/>
      <c r="BL100" s="61"/>
      <c r="BM100" s="57"/>
      <c r="BN100" s="59" t="s">
        <v>129</v>
      </c>
      <c r="BX100" s="53" t="s">
        <v>554</v>
      </c>
      <c r="BY100" s="54">
        <v>1</v>
      </c>
      <c r="BZ100" s="53" t="s">
        <v>590</v>
      </c>
      <c r="CA100" s="12" t="s">
        <v>559</v>
      </c>
      <c r="CB100" s="100"/>
      <c r="CC100" s="65"/>
      <c r="CD100" s="57"/>
      <c r="CE100" s="58" t="s">
        <v>131</v>
      </c>
      <c r="CF100" s="1"/>
      <c r="CG100" s="53" t="s">
        <v>554</v>
      </c>
      <c r="CH100" s="54">
        <v>1</v>
      </c>
      <c r="CI100" s="53" t="s">
        <v>591</v>
      </c>
      <c r="CJ100" s="64" t="s">
        <v>559</v>
      </c>
      <c r="CK100" s="100"/>
      <c r="CL100" s="65"/>
      <c r="CM100" s="57"/>
      <c r="CN100" s="58" t="s">
        <v>131</v>
      </c>
      <c r="CX100" s="92" t="s">
        <v>242</v>
      </c>
      <c r="CY100" s="93" t="s">
        <v>243</v>
      </c>
      <c r="CZ100" s="25"/>
      <c r="DA100" s="17">
        <v>1</v>
      </c>
      <c r="DB100" s="18">
        <v>3</v>
      </c>
      <c r="DC100" s="18">
        <v>3</v>
      </c>
      <c r="DD100" s="18">
        <v>4</v>
      </c>
      <c r="DE100" s="124">
        <f t="shared" si="61"/>
        <v>11</v>
      </c>
      <c r="DF100" s="175"/>
      <c r="DG100" s="176"/>
      <c r="DH100" s="17">
        <v>2</v>
      </c>
      <c r="DI100" s="18">
        <v>3</v>
      </c>
      <c r="DJ100" s="18">
        <v>4</v>
      </c>
      <c r="DK100" s="124">
        <f t="shared" si="65"/>
        <v>9</v>
      </c>
      <c r="DL100" s="175"/>
      <c r="DM100" s="176"/>
      <c r="DN100" s="17">
        <v>1</v>
      </c>
      <c r="DO100" s="18">
        <v>3</v>
      </c>
      <c r="DP100" s="18">
        <f t="shared" si="62"/>
        <v>5</v>
      </c>
      <c r="DQ100" s="18">
        <v>3</v>
      </c>
      <c r="DR100" s="18">
        <v>3</v>
      </c>
      <c r="DS100" s="18">
        <f t="shared" si="63"/>
        <v>10</v>
      </c>
      <c r="DT100" s="124">
        <f t="shared" si="64"/>
        <v>12</v>
      </c>
      <c r="FG100" s="2" t="s">
        <v>245</v>
      </c>
      <c r="FH100" s="2">
        <v>1</v>
      </c>
      <c r="FI100" s="43" t="s">
        <v>211</v>
      </c>
      <c r="FJ100" s="43" t="s">
        <v>94</v>
      </c>
      <c r="FK100" s="43" t="s">
        <v>94</v>
      </c>
      <c r="FL100" s="43"/>
      <c r="FM100" s="2" t="s">
        <v>94</v>
      </c>
      <c r="FN100" s="2" t="s">
        <v>94</v>
      </c>
      <c r="FO100" s="26">
        <f t="shared" si="56"/>
        <v>40</v>
      </c>
      <c r="FP100" s="2"/>
      <c r="FQ100" s="4" t="str">
        <f>IF(FI100=0,"0",IF(FI100="5/16","13",IF(FI100="3/8","15",IF(FI100="1/2","20",IF(FI100="5/8","24",IF(FI100="3/4","26","13"))))))</f>
        <v>26</v>
      </c>
      <c r="FR100" s="4" t="str">
        <f t="shared" si="66"/>
        <v>4</v>
      </c>
      <c r="FS100" s="4" t="str">
        <f t="shared" si="66"/>
        <v>4</v>
      </c>
      <c r="FT100" s="4" t="str">
        <f t="shared" si="58"/>
        <v>2</v>
      </c>
      <c r="FU100" s="4" t="str">
        <f t="shared" si="59"/>
        <v>4</v>
      </c>
      <c r="FV100" s="44" t="str">
        <f t="shared" si="60"/>
        <v>26</v>
      </c>
      <c r="FW100" s="45" t="s">
        <v>245</v>
      </c>
      <c r="FX100" s="2"/>
      <c r="FY100" s="2" t="s">
        <v>461</v>
      </c>
      <c r="FZ100" s="2"/>
      <c r="GA100" s="2"/>
      <c r="GB100" s="2"/>
      <c r="GD100" s="2"/>
    </row>
    <row r="101" spans="1:186" ht="15.75" thickBot="1" x14ac:dyDescent="0.3">
      <c r="A101" s="11" t="s">
        <v>201</v>
      </c>
      <c r="B101" s="12">
        <v>2</v>
      </c>
      <c r="C101" s="52" t="s">
        <v>117</v>
      </c>
      <c r="D101" s="12" t="s">
        <v>118</v>
      </c>
      <c r="E101" s="14"/>
      <c r="F101" s="111"/>
      <c r="G101" s="1"/>
      <c r="H101" s="11" t="s">
        <v>201</v>
      </c>
      <c r="I101" s="12">
        <v>2</v>
      </c>
      <c r="J101" s="52" t="s">
        <v>117</v>
      </c>
      <c r="K101" s="12" t="s">
        <v>119</v>
      </c>
      <c r="L101" s="14"/>
      <c r="M101" s="111"/>
      <c r="N101" s="1"/>
      <c r="O101" s="11" t="s">
        <v>201</v>
      </c>
      <c r="P101" s="12">
        <v>2</v>
      </c>
      <c r="Q101" s="52" t="s">
        <v>117</v>
      </c>
      <c r="R101" s="12" t="s">
        <v>119</v>
      </c>
      <c r="S101" s="14"/>
      <c r="T101" s="111"/>
      <c r="Y101" s="53" t="s">
        <v>554</v>
      </c>
      <c r="Z101" s="54">
        <v>1</v>
      </c>
      <c r="AA101" s="53" t="s">
        <v>592</v>
      </c>
      <c r="AB101" s="12" t="s">
        <v>556</v>
      </c>
      <c r="AC101" s="118"/>
      <c r="AD101" s="61"/>
      <c r="AE101" s="57"/>
      <c r="AF101" s="58" t="s">
        <v>127</v>
      </c>
      <c r="AG101" s="1"/>
      <c r="AH101" s="53" t="s">
        <v>554</v>
      </c>
      <c r="AI101" s="54">
        <v>1</v>
      </c>
      <c r="AJ101" s="53" t="s">
        <v>593</v>
      </c>
      <c r="AK101" s="12" t="s">
        <v>556</v>
      </c>
      <c r="AL101" s="118"/>
      <c r="AM101" s="61"/>
      <c r="AN101" s="57"/>
      <c r="AO101" s="58" t="s">
        <v>347</v>
      </c>
      <c r="AX101" s="53" t="s">
        <v>554</v>
      </c>
      <c r="AY101" s="54">
        <v>1</v>
      </c>
      <c r="AZ101" s="53" t="s">
        <v>592</v>
      </c>
      <c r="BA101" s="12" t="s">
        <v>558</v>
      </c>
      <c r="BB101" s="114">
        <f>AY101*232</f>
        <v>232</v>
      </c>
      <c r="BC101" s="65"/>
      <c r="BD101" s="57">
        <v>45376</v>
      </c>
      <c r="BE101" s="59" t="s">
        <v>129</v>
      </c>
      <c r="BF101" s="1"/>
      <c r="BG101" s="53" t="s">
        <v>554</v>
      </c>
      <c r="BH101" s="54">
        <v>1</v>
      </c>
      <c r="BI101" s="53" t="s">
        <v>593</v>
      </c>
      <c r="BJ101" s="12" t="s">
        <v>558</v>
      </c>
      <c r="BK101" s="118"/>
      <c r="BL101" s="61"/>
      <c r="BM101" s="57"/>
      <c r="BN101" s="59" t="s">
        <v>129</v>
      </c>
      <c r="BX101" s="53" t="s">
        <v>554</v>
      </c>
      <c r="BY101" s="54">
        <v>1</v>
      </c>
      <c r="BZ101" s="53" t="s">
        <v>592</v>
      </c>
      <c r="CA101" s="12" t="s">
        <v>559</v>
      </c>
      <c r="CB101" s="118"/>
      <c r="CC101" s="65"/>
      <c r="CD101" s="57"/>
      <c r="CE101" s="58" t="s">
        <v>131</v>
      </c>
      <c r="CF101" s="1"/>
      <c r="CG101" s="53" t="s">
        <v>554</v>
      </c>
      <c r="CH101" s="54">
        <v>1</v>
      </c>
      <c r="CI101" s="53" t="s">
        <v>593</v>
      </c>
      <c r="CJ101" s="64" t="s">
        <v>559</v>
      </c>
      <c r="CK101" s="118"/>
      <c r="CL101" s="65"/>
      <c r="CM101" s="57"/>
      <c r="CN101" s="58" t="s">
        <v>131</v>
      </c>
      <c r="CX101" s="92" t="s">
        <v>252</v>
      </c>
      <c r="CY101" s="93" t="s">
        <v>253</v>
      </c>
      <c r="CZ101" s="25"/>
      <c r="DA101" s="17">
        <v>1</v>
      </c>
      <c r="DB101" s="18">
        <v>4</v>
      </c>
      <c r="DC101" s="18">
        <v>3</v>
      </c>
      <c r="DD101" s="18">
        <v>4</v>
      </c>
      <c r="DE101" s="124">
        <f t="shared" si="61"/>
        <v>12</v>
      </c>
      <c r="DF101" s="175"/>
      <c r="DG101" s="176"/>
      <c r="DH101" s="17">
        <v>2</v>
      </c>
      <c r="DI101" s="18">
        <v>3</v>
      </c>
      <c r="DJ101" s="18">
        <v>4</v>
      </c>
      <c r="DK101" s="124">
        <f t="shared" si="65"/>
        <v>9</v>
      </c>
      <c r="DL101" s="175"/>
      <c r="DM101" s="176"/>
      <c r="DN101" s="17">
        <v>1</v>
      </c>
      <c r="DO101" s="18">
        <v>4</v>
      </c>
      <c r="DP101" s="18">
        <v>7</v>
      </c>
      <c r="DQ101" s="18">
        <v>3</v>
      </c>
      <c r="DR101" s="18">
        <v>3</v>
      </c>
      <c r="DS101" s="18">
        <f t="shared" si="63"/>
        <v>11</v>
      </c>
      <c r="DT101" s="124">
        <f t="shared" si="64"/>
        <v>14</v>
      </c>
      <c r="FG101" s="2" t="s">
        <v>254</v>
      </c>
      <c r="FH101" s="2">
        <v>1</v>
      </c>
      <c r="FI101" s="43" t="s">
        <v>211</v>
      </c>
      <c r="FJ101" s="43" t="s">
        <v>94</v>
      </c>
      <c r="FK101" s="43" t="s">
        <v>94</v>
      </c>
      <c r="FL101" s="43"/>
      <c r="FM101" s="2" t="s">
        <v>94</v>
      </c>
      <c r="FN101" s="2" t="s">
        <v>94</v>
      </c>
      <c r="FO101" s="26">
        <f t="shared" si="56"/>
        <v>42</v>
      </c>
      <c r="FP101" s="2"/>
      <c r="FQ101" s="4" t="str">
        <f>IF(FI101=0,"0",IF(FI101="5/16","14",IF(FI101="3/8","16",IF(FI101="1/2","22",IF(FI101="5/8","26",IF(FI101="3/4","28","14"))))))</f>
        <v>28</v>
      </c>
      <c r="FR101" s="4" t="str">
        <f t="shared" si="66"/>
        <v>4</v>
      </c>
      <c r="FS101" s="4" t="str">
        <f t="shared" si="66"/>
        <v>4</v>
      </c>
      <c r="FT101" s="4" t="str">
        <f t="shared" si="58"/>
        <v>2</v>
      </c>
      <c r="FU101" s="4" t="str">
        <f t="shared" si="59"/>
        <v>4</v>
      </c>
      <c r="FV101" s="44" t="str">
        <f t="shared" si="60"/>
        <v>28</v>
      </c>
      <c r="FW101" s="45" t="s">
        <v>254</v>
      </c>
      <c r="FX101" s="2"/>
      <c r="FY101" s="2" t="s">
        <v>594</v>
      </c>
      <c r="FZ101" s="2"/>
      <c r="GA101" s="2"/>
      <c r="GB101" s="2"/>
      <c r="GD101" s="2"/>
    </row>
    <row r="102" spans="1:186" ht="15" customHeight="1" thickBot="1" x14ac:dyDescent="0.3">
      <c r="A102" s="11" t="s">
        <v>215</v>
      </c>
      <c r="B102" s="12">
        <v>1</v>
      </c>
      <c r="C102" s="52" t="s">
        <v>216</v>
      </c>
      <c r="D102" s="12" t="s">
        <v>118</v>
      </c>
      <c r="E102" s="14">
        <v>25</v>
      </c>
      <c r="F102" s="111">
        <v>1</v>
      </c>
      <c r="G102" s="1"/>
      <c r="H102" s="11" t="s">
        <v>215</v>
      </c>
      <c r="I102" s="12">
        <v>1</v>
      </c>
      <c r="J102" s="52" t="s">
        <v>216</v>
      </c>
      <c r="K102" s="12" t="s">
        <v>119</v>
      </c>
      <c r="L102" s="14">
        <v>30</v>
      </c>
      <c r="M102" s="111">
        <v>1</v>
      </c>
      <c r="N102" s="1"/>
      <c r="O102" s="11" t="s">
        <v>215</v>
      </c>
      <c r="P102" s="12">
        <v>1</v>
      </c>
      <c r="Q102" s="52" t="s">
        <v>216</v>
      </c>
      <c r="R102" s="12" t="s">
        <v>119</v>
      </c>
      <c r="S102" s="14">
        <v>30</v>
      </c>
      <c r="T102" s="111">
        <v>1</v>
      </c>
      <c r="Y102" s="53" t="s">
        <v>595</v>
      </c>
      <c r="Z102" s="54">
        <v>1</v>
      </c>
      <c r="AA102" s="53" t="s">
        <v>596</v>
      </c>
      <c r="AB102" s="12" t="s">
        <v>410</v>
      </c>
      <c r="AC102" s="331" t="s">
        <v>597</v>
      </c>
      <c r="AD102" s="332"/>
      <c r="AE102" s="332"/>
      <c r="AF102" s="333"/>
      <c r="AG102" s="1"/>
      <c r="AH102" s="53" t="s">
        <v>595</v>
      </c>
      <c r="AI102" s="54">
        <v>1</v>
      </c>
      <c r="AJ102" s="53" t="s">
        <v>598</v>
      </c>
      <c r="AK102" s="12" t="s">
        <v>410</v>
      </c>
      <c r="AL102" s="331" t="s">
        <v>597</v>
      </c>
      <c r="AM102" s="332"/>
      <c r="AN102" s="332"/>
      <c r="AO102" s="333"/>
      <c r="AX102" s="53" t="s">
        <v>595</v>
      </c>
      <c r="AY102" s="54">
        <v>1</v>
      </c>
      <c r="AZ102" s="53" t="s">
        <v>596</v>
      </c>
      <c r="BA102" s="12" t="s">
        <v>119</v>
      </c>
      <c r="BB102" s="331" t="s">
        <v>597</v>
      </c>
      <c r="BC102" s="332"/>
      <c r="BD102" s="332"/>
      <c r="BE102" s="333"/>
      <c r="BF102" s="1"/>
      <c r="BG102" s="53" t="s">
        <v>595</v>
      </c>
      <c r="BH102" s="54">
        <v>1</v>
      </c>
      <c r="BI102" s="53" t="s">
        <v>598</v>
      </c>
      <c r="BJ102" s="12" t="s">
        <v>119</v>
      </c>
      <c r="BK102" s="331" t="s">
        <v>597</v>
      </c>
      <c r="BL102" s="332"/>
      <c r="BM102" s="332"/>
      <c r="BN102" s="333"/>
      <c r="BX102" s="53" t="s">
        <v>595</v>
      </c>
      <c r="BY102" s="54">
        <v>1</v>
      </c>
      <c r="BZ102" s="53" t="s">
        <v>596</v>
      </c>
      <c r="CA102" s="12" t="s">
        <v>120</v>
      </c>
      <c r="CB102" s="331" t="s">
        <v>597</v>
      </c>
      <c r="CC102" s="332"/>
      <c r="CD102" s="332"/>
      <c r="CE102" s="333"/>
      <c r="CF102" s="1"/>
      <c r="CG102" s="53" t="s">
        <v>595</v>
      </c>
      <c r="CH102" s="54">
        <v>1</v>
      </c>
      <c r="CI102" s="53" t="s">
        <v>598</v>
      </c>
      <c r="CJ102" s="12" t="s">
        <v>120</v>
      </c>
      <c r="CK102" s="331" t="s">
        <v>597</v>
      </c>
      <c r="CL102" s="332"/>
      <c r="CM102" s="332"/>
      <c r="CN102" s="333"/>
      <c r="CX102" s="92" t="s">
        <v>259</v>
      </c>
      <c r="CY102" s="93" t="s">
        <v>260</v>
      </c>
      <c r="CZ102" s="25"/>
      <c r="DA102" s="17">
        <v>1</v>
      </c>
      <c r="DB102" s="18">
        <v>4</v>
      </c>
      <c r="DC102" s="18">
        <v>3</v>
      </c>
      <c r="DD102" s="18">
        <v>4</v>
      </c>
      <c r="DE102" s="124">
        <f t="shared" si="61"/>
        <v>12</v>
      </c>
      <c r="DF102" s="175"/>
      <c r="DG102" s="176"/>
      <c r="DH102" s="17">
        <v>2</v>
      </c>
      <c r="DI102" s="18">
        <v>3</v>
      </c>
      <c r="DJ102" s="18">
        <v>4</v>
      </c>
      <c r="DK102" s="124">
        <f t="shared" si="65"/>
        <v>9</v>
      </c>
      <c r="DL102" s="175"/>
      <c r="DM102" s="176"/>
      <c r="DN102" s="17">
        <v>1</v>
      </c>
      <c r="DO102" s="18">
        <v>4</v>
      </c>
      <c r="DP102" s="18">
        <v>7</v>
      </c>
      <c r="DQ102" s="18">
        <v>3</v>
      </c>
      <c r="DR102" s="18">
        <v>3</v>
      </c>
      <c r="DS102" s="18">
        <f t="shared" si="63"/>
        <v>11</v>
      </c>
      <c r="DT102" s="124">
        <f t="shared" si="64"/>
        <v>14</v>
      </c>
      <c r="FG102" s="2" t="s">
        <v>262</v>
      </c>
      <c r="FH102" s="2">
        <v>1</v>
      </c>
      <c r="FI102" s="43" t="s">
        <v>211</v>
      </c>
      <c r="FJ102" s="43" t="s">
        <v>94</v>
      </c>
      <c r="FK102" s="43" t="s">
        <v>94</v>
      </c>
      <c r="FL102" s="43"/>
      <c r="FM102" s="2" t="s">
        <v>94</v>
      </c>
      <c r="FN102" s="2" t="s">
        <v>94</v>
      </c>
      <c r="FO102" s="26">
        <f t="shared" si="56"/>
        <v>48</v>
      </c>
      <c r="FP102" s="2"/>
      <c r="FQ102" s="4" t="str">
        <f>IF(FI102=0,"0",IF(FI102="5/16","16",IF(FI102="3/8","18",IF(FI102="1/2","25",IF(FI102="5/8","30",IF(FI102="3/4","32","16"))))))</f>
        <v>32</v>
      </c>
      <c r="FR102" s="4" t="str">
        <f>IF(FJ102="Yes","5","0")</f>
        <v>5</v>
      </c>
      <c r="FS102" s="4" t="str">
        <f>IF(FK102="Yes","5","0")</f>
        <v>5</v>
      </c>
      <c r="FT102" s="4" t="str">
        <f t="shared" si="58"/>
        <v>2</v>
      </c>
      <c r="FU102" s="4" t="str">
        <f t="shared" si="59"/>
        <v>4</v>
      </c>
      <c r="FV102" s="44" t="str">
        <f t="shared" si="60"/>
        <v>32</v>
      </c>
      <c r="FW102" s="45" t="s">
        <v>262</v>
      </c>
      <c r="FX102" s="2"/>
      <c r="FY102" s="2" t="s">
        <v>467</v>
      </c>
      <c r="FZ102" s="2"/>
      <c r="GA102" s="2"/>
      <c r="GB102" s="2"/>
      <c r="GD102" s="2"/>
    </row>
    <row r="103" spans="1:186" ht="15" customHeight="1" thickBot="1" x14ac:dyDescent="0.3">
      <c r="A103" s="11" t="s">
        <v>227</v>
      </c>
      <c r="B103" s="12">
        <v>1</v>
      </c>
      <c r="C103" s="52" t="s">
        <v>228</v>
      </c>
      <c r="D103" s="12" t="s">
        <v>118</v>
      </c>
      <c r="E103" s="14"/>
      <c r="F103" s="113">
        <f>B103*1</f>
        <v>1</v>
      </c>
      <c r="G103" s="1"/>
      <c r="H103" s="11" t="s">
        <v>227</v>
      </c>
      <c r="I103" s="12">
        <v>1</v>
      </c>
      <c r="J103" s="52" t="s">
        <v>228</v>
      </c>
      <c r="K103" s="12" t="s">
        <v>119</v>
      </c>
      <c r="L103" s="14"/>
      <c r="M103" s="113">
        <f>I103*1</f>
        <v>1</v>
      </c>
      <c r="N103" s="1"/>
      <c r="O103" s="11" t="s">
        <v>227</v>
      </c>
      <c r="P103" s="12">
        <v>1</v>
      </c>
      <c r="Q103" s="52" t="s">
        <v>228</v>
      </c>
      <c r="R103" s="12" t="s">
        <v>119</v>
      </c>
      <c r="S103" s="14"/>
      <c r="T103" s="113">
        <f>P103*1</f>
        <v>1</v>
      </c>
      <c r="Y103" s="53" t="s">
        <v>599</v>
      </c>
      <c r="Z103" s="54">
        <v>1</v>
      </c>
      <c r="AA103" s="53" t="s">
        <v>600</v>
      </c>
      <c r="AB103" s="12" t="s">
        <v>410</v>
      </c>
      <c r="AC103" s="334"/>
      <c r="AD103" s="335"/>
      <c r="AE103" s="335"/>
      <c r="AF103" s="336"/>
      <c r="AG103" s="1"/>
      <c r="AH103" s="53" t="s">
        <v>599</v>
      </c>
      <c r="AI103" s="54">
        <v>1</v>
      </c>
      <c r="AJ103" s="53" t="s">
        <v>601</v>
      </c>
      <c r="AK103" s="12" t="s">
        <v>410</v>
      </c>
      <c r="AL103" s="334"/>
      <c r="AM103" s="335"/>
      <c r="AN103" s="335"/>
      <c r="AO103" s="336"/>
      <c r="AX103" s="53" t="s">
        <v>599</v>
      </c>
      <c r="AY103" s="54">
        <v>1</v>
      </c>
      <c r="AZ103" s="53" t="s">
        <v>600</v>
      </c>
      <c r="BA103" s="12" t="s">
        <v>119</v>
      </c>
      <c r="BB103" s="334"/>
      <c r="BC103" s="335"/>
      <c r="BD103" s="335"/>
      <c r="BE103" s="336"/>
      <c r="BF103" s="1"/>
      <c r="BG103" s="53" t="s">
        <v>599</v>
      </c>
      <c r="BH103" s="54">
        <v>1</v>
      </c>
      <c r="BI103" s="53" t="s">
        <v>601</v>
      </c>
      <c r="BJ103" s="12" t="s">
        <v>119</v>
      </c>
      <c r="BK103" s="334"/>
      <c r="BL103" s="335"/>
      <c r="BM103" s="335"/>
      <c r="BN103" s="336"/>
      <c r="BX103" s="53" t="s">
        <v>599</v>
      </c>
      <c r="BY103" s="54">
        <v>1</v>
      </c>
      <c r="BZ103" s="53" t="s">
        <v>600</v>
      </c>
      <c r="CA103" s="12" t="s">
        <v>120</v>
      </c>
      <c r="CB103" s="334"/>
      <c r="CC103" s="335"/>
      <c r="CD103" s="335"/>
      <c r="CE103" s="336"/>
      <c r="CF103" s="1"/>
      <c r="CG103" s="53" t="s">
        <v>599</v>
      </c>
      <c r="CH103" s="54">
        <v>1</v>
      </c>
      <c r="CI103" s="53" t="s">
        <v>601</v>
      </c>
      <c r="CJ103" s="12" t="s">
        <v>120</v>
      </c>
      <c r="CK103" s="334"/>
      <c r="CL103" s="335"/>
      <c r="CM103" s="335"/>
      <c r="CN103" s="336"/>
      <c r="CX103" s="92" t="s">
        <v>270</v>
      </c>
      <c r="CY103" s="93" t="s">
        <v>271</v>
      </c>
      <c r="CZ103" s="25"/>
      <c r="DA103" s="17">
        <v>1</v>
      </c>
      <c r="DB103" s="18">
        <v>4</v>
      </c>
      <c r="DC103" s="18">
        <v>3</v>
      </c>
      <c r="DD103" s="18">
        <v>4</v>
      </c>
      <c r="DE103" s="124">
        <f t="shared" si="61"/>
        <v>12</v>
      </c>
      <c r="DF103" s="175"/>
      <c r="DG103" s="176"/>
      <c r="DH103" s="17">
        <v>3</v>
      </c>
      <c r="DI103" s="18">
        <v>3</v>
      </c>
      <c r="DJ103" s="18">
        <v>4</v>
      </c>
      <c r="DK103" s="124">
        <f t="shared" si="65"/>
        <v>10</v>
      </c>
      <c r="DL103" s="175"/>
      <c r="DM103" s="176"/>
      <c r="DN103" s="17">
        <v>1</v>
      </c>
      <c r="DO103" s="18">
        <v>4</v>
      </c>
      <c r="DP103" s="18">
        <v>7</v>
      </c>
      <c r="DQ103" s="18">
        <v>3</v>
      </c>
      <c r="DR103" s="18">
        <v>3</v>
      </c>
      <c r="DS103" s="18">
        <f t="shared" si="63"/>
        <v>11</v>
      </c>
      <c r="DT103" s="124">
        <f t="shared" si="64"/>
        <v>14</v>
      </c>
      <c r="FG103" s="2" t="s">
        <v>274</v>
      </c>
      <c r="FH103" s="2">
        <v>1</v>
      </c>
      <c r="FI103" s="43" t="s">
        <v>211</v>
      </c>
      <c r="FJ103" s="43" t="s">
        <v>94</v>
      </c>
      <c r="FK103" s="43" t="s">
        <v>94</v>
      </c>
      <c r="FL103" s="43"/>
      <c r="FM103" s="2" t="s">
        <v>94</v>
      </c>
      <c r="FN103" s="2" t="s">
        <v>94</v>
      </c>
      <c r="FO103" s="26">
        <f t="shared" si="56"/>
        <v>50</v>
      </c>
      <c r="FP103" s="2"/>
      <c r="FQ103" s="4" t="str">
        <f>IF(FI103=0,"0",IF(FI103="5/16","18",IF(FI103="3/8","20",IF(FI103="1/2","26",IF(FI103="5/8","32",IF(FI103="3/4","34","18"))))))</f>
        <v>34</v>
      </c>
      <c r="FR103" s="4" t="str">
        <f>IF(FJ103="Yes","5","0")</f>
        <v>5</v>
      </c>
      <c r="FS103" s="4" t="str">
        <f>IF(FK103="Yes","5","0")</f>
        <v>5</v>
      </c>
      <c r="FT103" s="4" t="str">
        <f t="shared" si="58"/>
        <v>2</v>
      </c>
      <c r="FU103" s="4" t="str">
        <f t="shared" si="59"/>
        <v>4</v>
      </c>
      <c r="FV103" s="44" t="str">
        <f t="shared" si="60"/>
        <v>34</v>
      </c>
      <c r="FW103" s="45" t="s">
        <v>274</v>
      </c>
      <c r="FX103" s="2"/>
      <c r="FY103" s="2" t="s">
        <v>602</v>
      </c>
      <c r="FZ103" s="2"/>
      <c r="GA103" s="2"/>
      <c r="GB103" s="2"/>
      <c r="GD103" s="2"/>
    </row>
    <row r="104" spans="1:186" ht="15" customHeight="1" thickBot="1" x14ac:dyDescent="0.3">
      <c r="A104" s="11" t="s">
        <v>450</v>
      </c>
      <c r="B104" s="12">
        <v>4</v>
      </c>
      <c r="C104" s="52" t="s">
        <v>451</v>
      </c>
      <c r="D104" s="12" t="s">
        <v>118</v>
      </c>
      <c r="E104" s="14"/>
      <c r="F104" s="113"/>
      <c r="G104" s="1"/>
      <c r="H104" s="11" t="s">
        <v>450</v>
      </c>
      <c r="I104" s="12">
        <v>4</v>
      </c>
      <c r="J104" s="52" t="s">
        <v>451</v>
      </c>
      <c r="K104" s="12" t="s">
        <v>119</v>
      </c>
      <c r="L104" s="14"/>
      <c r="M104" s="113"/>
      <c r="N104" s="1"/>
      <c r="O104" s="11" t="s">
        <v>450</v>
      </c>
      <c r="P104" s="12">
        <v>4</v>
      </c>
      <c r="Q104" s="52" t="s">
        <v>451</v>
      </c>
      <c r="R104" s="12" t="s">
        <v>119</v>
      </c>
      <c r="S104" s="14"/>
      <c r="T104" s="113"/>
      <c r="Y104" s="53" t="s">
        <v>603</v>
      </c>
      <c r="Z104" s="54">
        <v>1</v>
      </c>
      <c r="AA104" s="53" t="s">
        <v>604</v>
      </c>
      <c r="AB104" s="12" t="s">
        <v>410</v>
      </c>
      <c r="AC104" s="334"/>
      <c r="AD104" s="335"/>
      <c r="AE104" s="335"/>
      <c r="AF104" s="336"/>
      <c r="AG104" s="1"/>
      <c r="AH104" s="53" t="s">
        <v>603</v>
      </c>
      <c r="AI104" s="54">
        <v>1</v>
      </c>
      <c r="AJ104" s="53" t="s">
        <v>605</v>
      </c>
      <c r="AK104" s="12" t="s">
        <v>410</v>
      </c>
      <c r="AL104" s="334"/>
      <c r="AM104" s="335"/>
      <c r="AN104" s="335"/>
      <c r="AO104" s="336"/>
      <c r="AX104" s="53" t="s">
        <v>603</v>
      </c>
      <c r="AY104" s="54">
        <v>1</v>
      </c>
      <c r="AZ104" s="53" t="s">
        <v>604</v>
      </c>
      <c r="BA104" s="12" t="s">
        <v>119</v>
      </c>
      <c r="BB104" s="334"/>
      <c r="BC104" s="335"/>
      <c r="BD104" s="335"/>
      <c r="BE104" s="336"/>
      <c r="BF104" s="1"/>
      <c r="BG104" s="53" t="s">
        <v>603</v>
      </c>
      <c r="BH104" s="54">
        <v>1</v>
      </c>
      <c r="BI104" s="53" t="s">
        <v>605</v>
      </c>
      <c r="BJ104" s="12" t="s">
        <v>119</v>
      </c>
      <c r="BK104" s="334"/>
      <c r="BL104" s="335"/>
      <c r="BM104" s="335"/>
      <c r="BN104" s="336"/>
      <c r="BX104" s="53" t="s">
        <v>603</v>
      </c>
      <c r="BY104" s="54">
        <v>1</v>
      </c>
      <c r="BZ104" s="53" t="s">
        <v>604</v>
      </c>
      <c r="CA104" s="12" t="s">
        <v>120</v>
      </c>
      <c r="CB104" s="334"/>
      <c r="CC104" s="335"/>
      <c r="CD104" s="335"/>
      <c r="CE104" s="336"/>
      <c r="CF104" s="1"/>
      <c r="CG104" s="53" t="s">
        <v>603</v>
      </c>
      <c r="CH104" s="54">
        <v>1</v>
      </c>
      <c r="CI104" s="53" t="s">
        <v>605</v>
      </c>
      <c r="CJ104" s="12" t="s">
        <v>120</v>
      </c>
      <c r="CK104" s="334"/>
      <c r="CL104" s="335"/>
      <c r="CM104" s="335"/>
      <c r="CN104" s="336"/>
      <c r="CX104" s="92" t="s">
        <v>283</v>
      </c>
      <c r="CY104" s="93" t="s">
        <v>284</v>
      </c>
      <c r="CZ104" s="25"/>
      <c r="DA104" s="17">
        <v>2</v>
      </c>
      <c r="DB104" s="18">
        <v>4</v>
      </c>
      <c r="DC104" s="18">
        <v>3</v>
      </c>
      <c r="DD104" s="18">
        <v>4</v>
      </c>
      <c r="DE104" s="124">
        <f t="shared" si="61"/>
        <v>13</v>
      </c>
      <c r="DF104" s="175"/>
      <c r="DG104" s="176"/>
      <c r="DH104" s="17">
        <v>3</v>
      </c>
      <c r="DI104" s="18">
        <v>3</v>
      </c>
      <c r="DJ104" s="18">
        <v>4</v>
      </c>
      <c r="DK104" s="124">
        <f t="shared" si="65"/>
        <v>10</v>
      </c>
      <c r="DL104" s="175"/>
      <c r="DM104" s="176"/>
      <c r="DN104" s="17">
        <v>2</v>
      </c>
      <c r="DO104" s="18">
        <v>4</v>
      </c>
      <c r="DP104" s="18">
        <v>7</v>
      </c>
      <c r="DQ104" s="18">
        <v>3</v>
      </c>
      <c r="DR104" s="18">
        <v>3</v>
      </c>
      <c r="DS104" s="18">
        <f t="shared" si="63"/>
        <v>12</v>
      </c>
      <c r="DT104" s="124">
        <f t="shared" si="64"/>
        <v>15</v>
      </c>
      <c r="FG104" s="2" t="s">
        <v>287</v>
      </c>
      <c r="FH104" s="2">
        <v>1</v>
      </c>
      <c r="FI104" s="43" t="s">
        <v>211</v>
      </c>
      <c r="FJ104" s="43" t="s">
        <v>94</v>
      </c>
      <c r="FK104" s="43" t="s">
        <v>94</v>
      </c>
      <c r="FL104" s="43"/>
      <c r="FM104" s="2" t="s">
        <v>94</v>
      </c>
      <c r="FN104" s="2" t="s">
        <v>94</v>
      </c>
      <c r="FO104" s="26">
        <f t="shared" si="56"/>
        <v>56</v>
      </c>
      <c r="FP104" s="2"/>
      <c r="FQ104" s="4" t="str">
        <f>IF(FI104=0,"0",IF(FI104="5/16","22",IF(FI104="3/8","24",IF(FI104="1/2","32",IF(FI104="5/8","36",IF(FI104="3/4","38","22"))))))</f>
        <v>38</v>
      </c>
      <c r="FR104" s="4" t="str">
        <f>IF(FJ104="Yes","6","0")</f>
        <v>6</v>
      </c>
      <c r="FS104" s="4" t="str">
        <f>IF(FK104="Yes","6","0")</f>
        <v>6</v>
      </c>
      <c r="FT104" s="4" t="str">
        <f t="shared" si="58"/>
        <v>2</v>
      </c>
      <c r="FU104" s="4" t="str">
        <f t="shared" si="59"/>
        <v>4</v>
      </c>
      <c r="FV104" s="44" t="str">
        <f t="shared" si="60"/>
        <v>38</v>
      </c>
      <c r="FW104" s="45" t="s">
        <v>287</v>
      </c>
      <c r="FX104" s="2"/>
      <c r="FY104" s="2" t="s">
        <v>606</v>
      </c>
      <c r="FZ104" s="2"/>
      <c r="GA104" s="2"/>
      <c r="GB104" s="2"/>
      <c r="GD104" s="2"/>
    </row>
    <row r="105" spans="1:186" ht="15" customHeight="1" x14ac:dyDescent="0.25">
      <c r="A105" s="11" t="s">
        <v>456</v>
      </c>
      <c r="B105" s="12">
        <v>4</v>
      </c>
      <c r="C105" s="52" t="s">
        <v>457</v>
      </c>
      <c r="D105" s="12" t="s">
        <v>118</v>
      </c>
      <c r="E105" s="14"/>
      <c r="F105" s="113"/>
      <c r="G105" s="1"/>
      <c r="H105" s="11" t="s">
        <v>456</v>
      </c>
      <c r="I105" s="12">
        <v>4</v>
      </c>
      <c r="J105" s="52" t="s">
        <v>457</v>
      </c>
      <c r="K105" s="12" t="s">
        <v>119</v>
      </c>
      <c r="L105" s="14"/>
      <c r="M105" s="113"/>
      <c r="N105" s="1"/>
      <c r="O105" s="11" t="s">
        <v>456</v>
      </c>
      <c r="P105" s="12">
        <v>4</v>
      </c>
      <c r="Q105" s="52" t="s">
        <v>457</v>
      </c>
      <c r="R105" s="12" t="s">
        <v>119</v>
      </c>
      <c r="S105" s="14"/>
      <c r="T105" s="113"/>
      <c r="Y105" s="53" t="s">
        <v>607</v>
      </c>
      <c r="Z105" s="54">
        <v>1</v>
      </c>
      <c r="AA105" s="53" t="s">
        <v>608</v>
      </c>
      <c r="AB105" s="12" t="s">
        <v>410</v>
      </c>
      <c r="AC105" s="334"/>
      <c r="AD105" s="335"/>
      <c r="AE105" s="335"/>
      <c r="AF105" s="336"/>
      <c r="AG105" s="1"/>
      <c r="AH105" s="53" t="s">
        <v>607</v>
      </c>
      <c r="AI105" s="54">
        <v>1</v>
      </c>
      <c r="AJ105" s="53" t="s">
        <v>609</v>
      </c>
      <c r="AK105" s="12" t="s">
        <v>410</v>
      </c>
      <c r="AL105" s="334"/>
      <c r="AM105" s="335"/>
      <c r="AN105" s="335"/>
      <c r="AO105" s="336"/>
      <c r="AX105" s="53" t="s">
        <v>607</v>
      </c>
      <c r="AY105" s="54">
        <v>1</v>
      </c>
      <c r="AZ105" s="53" t="s">
        <v>608</v>
      </c>
      <c r="BA105" s="12" t="s">
        <v>119</v>
      </c>
      <c r="BB105" s="334"/>
      <c r="BC105" s="335"/>
      <c r="BD105" s="335"/>
      <c r="BE105" s="336"/>
      <c r="BF105" s="1"/>
      <c r="BG105" s="53" t="s">
        <v>607</v>
      </c>
      <c r="BH105" s="54">
        <v>1</v>
      </c>
      <c r="BI105" s="53" t="s">
        <v>609</v>
      </c>
      <c r="BJ105" s="12" t="s">
        <v>119</v>
      </c>
      <c r="BK105" s="334"/>
      <c r="BL105" s="335"/>
      <c r="BM105" s="335"/>
      <c r="BN105" s="336"/>
      <c r="BX105" s="53" t="s">
        <v>607</v>
      </c>
      <c r="BY105" s="54">
        <v>1</v>
      </c>
      <c r="BZ105" s="53" t="s">
        <v>608</v>
      </c>
      <c r="CA105" s="12" t="s">
        <v>120</v>
      </c>
      <c r="CB105" s="334"/>
      <c r="CC105" s="335"/>
      <c r="CD105" s="335"/>
      <c r="CE105" s="336"/>
      <c r="CF105" s="1"/>
      <c r="CG105" s="53" t="s">
        <v>607</v>
      </c>
      <c r="CH105" s="54">
        <v>1</v>
      </c>
      <c r="CI105" s="53" t="s">
        <v>609</v>
      </c>
      <c r="CJ105" s="12" t="s">
        <v>120</v>
      </c>
      <c r="CK105" s="334"/>
      <c r="CL105" s="335"/>
      <c r="CM105" s="335"/>
      <c r="CN105" s="336"/>
      <c r="CX105" s="92" t="s">
        <v>296</v>
      </c>
      <c r="CY105" s="93" t="s">
        <v>297</v>
      </c>
      <c r="CZ105" s="25"/>
      <c r="DA105" s="17">
        <v>2</v>
      </c>
      <c r="DB105" s="18">
        <v>4</v>
      </c>
      <c r="DC105" s="18">
        <v>3</v>
      </c>
      <c r="DD105" s="18">
        <v>4</v>
      </c>
      <c r="DE105" s="124">
        <f t="shared" si="61"/>
        <v>13</v>
      </c>
      <c r="DF105" s="175"/>
      <c r="DG105" s="176"/>
      <c r="DH105" s="17">
        <v>3</v>
      </c>
      <c r="DI105" s="18">
        <v>3</v>
      </c>
      <c r="DJ105" s="18">
        <v>4</v>
      </c>
      <c r="DK105" s="124">
        <f t="shared" si="65"/>
        <v>10</v>
      </c>
      <c r="DL105" s="175"/>
      <c r="DM105" s="176"/>
      <c r="DN105" s="17">
        <v>2</v>
      </c>
      <c r="DO105" s="18">
        <v>4</v>
      </c>
      <c r="DP105" s="18">
        <v>7</v>
      </c>
      <c r="DQ105" s="18">
        <v>4</v>
      </c>
      <c r="DR105" s="18">
        <v>4</v>
      </c>
      <c r="DS105" s="18">
        <f t="shared" si="63"/>
        <v>14</v>
      </c>
      <c r="DT105" s="124">
        <f t="shared" si="64"/>
        <v>17</v>
      </c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4"/>
      <c r="FU105" s="4"/>
      <c r="FV105" s="4"/>
      <c r="GD105" s="2"/>
    </row>
    <row r="106" spans="1:186" ht="15" customHeight="1" x14ac:dyDescent="0.25">
      <c r="A106" s="11" t="s">
        <v>462</v>
      </c>
      <c r="B106" s="12">
        <v>4</v>
      </c>
      <c r="C106" s="52" t="s">
        <v>463</v>
      </c>
      <c r="D106" s="12" t="s">
        <v>118</v>
      </c>
      <c r="E106" s="14"/>
      <c r="F106" s="113"/>
      <c r="G106" s="1"/>
      <c r="H106" s="11" t="s">
        <v>462</v>
      </c>
      <c r="I106" s="12">
        <v>4</v>
      </c>
      <c r="J106" s="52" t="s">
        <v>463</v>
      </c>
      <c r="K106" s="12" t="s">
        <v>119</v>
      </c>
      <c r="L106" s="14"/>
      <c r="M106" s="113"/>
      <c r="N106" s="1"/>
      <c r="O106" s="11" t="s">
        <v>462</v>
      </c>
      <c r="P106" s="12">
        <v>4</v>
      </c>
      <c r="Q106" s="52" t="s">
        <v>463</v>
      </c>
      <c r="R106" s="12" t="s">
        <v>119</v>
      </c>
      <c r="S106" s="14"/>
      <c r="T106" s="113"/>
      <c r="Y106" s="53" t="s">
        <v>610</v>
      </c>
      <c r="Z106" s="54">
        <v>1</v>
      </c>
      <c r="AA106" s="53" t="s">
        <v>611</v>
      </c>
      <c r="AB106" s="12" t="s">
        <v>410</v>
      </c>
      <c r="AC106" s="334"/>
      <c r="AD106" s="335"/>
      <c r="AE106" s="335"/>
      <c r="AF106" s="336"/>
      <c r="AG106" s="1"/>
      <c r="AH106" s="53" t="s">
        <v>610</v>
      </c>
      <c r="AI106" s="54">
        <v>1</v>
      </c>
      <c r="AJ106" s="53" t="s">
        <v>612</v>
      </c>
      <c r="AK106" s="12" t="s">
        <v>410</v>
      </c>
      <c r="AL106" s="334"/>
      <c r="AM106" s="335"/>
      <c r="AN106" s="335"/>
      <c r="AO106" s="336"/>
      <c r="AX106" s="53" t="s">
        <v>610</v>
      </c>
      <c r="AY106" s="54">
        <v>1</v>
      </c>
      <c r="AZ106" s="53" t="s">
        <v>611</v>
      </c>
      <c r="BA106" s="12" t="s">
        <v>119</v>
      </c>
      <c r="BB106" s="334"/>
      <c r="BC106" s="335"/>
      <c r="BD106" s="335"/>
      <c r="BE106" s="336"/>
      <c r="BF106" s="1"/>
      <c r="BG106" s="53" t="s">
        <v>610</v>
      </c>
      <c r="BH106" s="54">
        <v>1</v>
      </c>
      <c r="BI106" s="53" t="s">
        <v>612</v>
      </c>
      <c r="BJ106" s="12" t="s">
        <v>119</v>
      </c>
      <c r="BK106" s="334"/>
      <c r="BL106" s="335"/>
      <c r="BM106" s="335"/>
      <c r="BN106" s="336"/>
      <c r="BX106" s="53" t="s">
        <v>610</v>
      </c>
      <c r="BY106" s="54">
        <v>1</v>
      </c>
      <c r="BZ106" s="53" t="s">
        <v>611</v>
      </c>
      <c r="CA106" s="12" t="s">
        <v>120</v>
      </c>
      <c r="CB106" s="334"/>
      <c r="CC106" s="335"/>
      <c r="CD106" s="335"/>
      <c r="CE106" s="336"/>
      <c r="CF106" s="1"/>
      <c r="CG106" s="53" t="s">
        <v>610</v>
      </c>
      <c r="CH106" s="54">
        <v>1</v>
      </c>
      <c r="CI106" s="53" t="s">
        <v>612</v>
      </c>
      <c r="CJ106" s="12" t="s">
        <v>120</v>
      </c>
      <c r="CK106" s="334"/>
      <c r="CL106" s="335"/>
      <c r="CM106" s="335"/>
      <c r="CN106" s="336"/>
      <c r="CX106" s="92" t="s">
        <v>302</v>
      </c>
      <c r="CY106" s="93" t="s">
        <v>303</v>
      </c>
      <c r="CZ106" s="25"/>
      <c r="DA106" s="17">
        <v>2</v>
      </c>
      <c r="DB106" s="18">
        <v>4</v>
      </c>
      <c r="DC106" s="18">
        <v>3</v>
      </c>
      <c r="DD106" s="18">
        <v>4</v>
      </c>
      <c r="DE106" s="124">
        <f t="shared" si="61"/>
        <v>13</v>
      </c>
      <c r="DF106" s="175"/>
      <c r="DG106" s="176"/>
      <c r="DH106" s="17">
        <v>3</v>
      </c>
      <c r="DI106" s="18">
        <v>3</v>
      </c>
      <c r="DJ106" s="18">
        <v>4</v>
      </c>
      <c r="DK106" s="124">
        <f t="shared" si="65"/>
        <v>10</v>
      </c>
      <c r="DL106" s="175"/>
      <c r="DM106" s="176"/>
      <c r="DN106" s="17">
        <v>2</v>
      </c>
      <c r="DO106" s="18">
        <v>4</v>
      </c>
      <c r="DP106" s="18">
        <v>7</v>
      </c>
      <c r="DQ106" s="18">
        <v>4</v>
      </c>
      <c r="DR106" s="18">
        <v>4</v>
      </c>
      <c r="DS106" s="18">
        <f t="shared" si="63"/>
        <v>14</v>
      </c>
      <c r="DT106" s="124">
        <f t="shared" si="64"/>
        <v>17</v>
      </c>
      <c r="FG106" s="2"/>
      <c r="FH106" s="2"/>
      <c r="FI106" s="2"/>
      <c r="FJ106" s="2"/>
      <c r="FK106" s="2"/>
      <c r="FL106" s="2"/>
      <c r="FM106" s="2"/>
      <c r="FN106" s="122" t="s">
        <v>308</v>
      </c>
      <c r="FO106" s="123">
        <f>SUM(FO91:FO104)</f>
        <v>441</v>
      </c>
      <c r="FP106" s="2"/>
      <c r="FQ106" s="2"/>
      <c r="FR106" s="2"/>
      <c r="FS106" s="2"/>
      <c r="FT106" s="4"/>
      <c r="FU106" s="4"/>
      <c r="FV106" s="4"/>
      <c r="GD106" s="2"/>
    </row>
    <row r="107" spans="1:186" ht="15" customHeight="1" x14ac:dyDescent="0.25">
      <c r="A107" s="11" t="s">
        <v>468</v>
      </c>
      <c r="B107" s="12">
        <v>4</v>
      </c>
      <c r="C107" s="52" t="s">
        <v>469</v>
      </c>
      <c r="D107" s="12" t="s">
        <v>118</v>
      </c>
      <c r="E107" s="14"/>
      <c r="F107" s="113"/>
      <c r="G107" s="1"/>
      <c r="H107" s="11" t="s">
        <v>468</v>
      </c>
      <c r="I107" s="12">
        <v>4</v>
      </c>
      <c r="J107" s="52" t="s">
        <v>469</v>
      </c>
      <c r="K107" s="12" t="s">
        <v>119</v>
      </c>
      <c r="L107" s="14"/>
      <c r="M107" s="113"/>
      <c r="N107" s="1"/>
      <c r="O107" s="11" t="s">
        <v>468</v>
      </c>
      <c r="P107" s="12">
        <v>4</v>
      </c>
      <c r="Q107" s="52" t="s">
        <v>469</v>
      </c>
      <c r="R107" s="12" t="s">
        <v>119</v>
      </c>
      <c r="S107" s="14"/>
      <c r="T107" s="113"/>
      <c r="Y107" s="53" t="s">
        <v>613</v>
      </c>
      <c r="Z107" s="54">
        <v>1</v>
      </c>
      <c r="AA107" s="53" t="s">
        <v>614</v>
      </c>
      <c r="AB107" s="12" t="s">
        <v>410</v>
      </c>
      <c r="AC107" s="337"/>
      <c r="AD107" s="338"/>
      <c r="AE107" s="338"/>
      <c r="AF107" s="339"/>
      <c r="AG107" s="1"/>
      <c r="AH107" s="53" t="s">
        <v>613</v>
      </c>
      <c r="AI107" s="54">
        <v>1</v>
      </c>
      <c r="AJ107" s="53" t="s">
        <v>615</v>
      </c>
      <c r="AK107" s="12" t="s">
        <v>410</v>
      </c>
      <c r="AL107" s="337"/>
      <c r="AM107" s="338"/>
      <c r="AN107" s="338"/>
      <c r="AO107" s="339"/>
      <c r="AX107" s="53" t="s">
        <v>613</v>
      </c>
      <c r="AY107" s="54">
        <v>1</v>
      </c>
      <c r="AZ107" s="53" t="s">
        <v>614</v>
      </c>
      <c r="BA107" s="12" t="s">
        <v>119</v>
      </c>
      <c r="BB107" s="337"/>
      <c r="BC107" s="338"/>
      <c r="BD107" s="338"/>
      <c r="BE107" s="339"/>
      <c r="BF107" s="1"/>
      <c r="BG107" s="53" t="s">
        <v>613</v>
      </c>
      <c r="BH107" s="54">
        <v>1</v>
      </c>
      <c r="BI107" s="53" t="s">
        <v>615</v>
      </c>
      <c r="BJ107" s="12" t="s">
        <v>119</v>
      </c>
      <c r="BK107" s="337"/>
      <c r="BL107" s="338"/>
      <c r="BM107" s="338"/>
      <c r="BN107" s="339"/>
      <c r="BX107" s="53" t="s">
        <v>613</v>
      </c>
      <c r="BY107" s="54">
        <v>1</v>
      </c>
      <c r="BZ107" s="53" t="s">
        <v>614</v>
      </c>
      <c r="CA107" s="12" t="s">
        <v>120</v>
      </c>
      <c r="CB107" s="337"/>
      <c r="CC107" s="338"/>
      <c r="CD107" s="338"/>
      <c r="CE107" s="339"/>
      <c r="CF107" s="1"/>
      <c r="CG107" s="53" t="s">
        <v>613</v>
      </c>
      <c r="CH107" s="54">
        <v>1</v>
      </c>
      <c r="CI107" s="53" t="s">
        <v>615</v>
      </c>
      <c r="CJ107" s="12" t="s">
        <v>120</v>
      </c>
      <c r="CK107" s="337"/>
      <c r="CL107" s="338"/>
      <c r="CM107" s="338"/>
      <c r="CN107" s="339"/>
      <c r="CX107" s="92" t="s">
        <v>311</v>
      </c>
      <c r="CY107" s="93" t="s">
        <v>312</v>
      </c>
      <c r="CZ107" s="25"/>
      <c r="DA107" s="17">
        <v>2</v>
      </c>
      <c r="DB107" s="18">
        <v>4</v>
      </c>
      <c r="DC107" s="18">
        <v>3</v>
      </c>
      <c r="DD107" s="18">
        <v>4</v>
      </c>
      <c r="DE107" s="124">
        <f t="shared" si="61"/>
        <v>13</v>
      </c>
      <c r="DF107" s="175"/>
      <c r="DG107" s="176"/>
      <c r="DH107" s="17">
        <v>3</v>
      </c>
      <c r="DI107" s="18">
        <v>3</v>
      </c>
      <c r="DJ107" s="18">
        <v>4</v>
      </c>
      <c r="DK107" s="124">
        <f t="shared" si="65"/>
        <v>10</v>
      </c>
      <c r="DL107" s="175"/>
      <c r="DM107" s="176"/>
      <c r="DN107" s="17">
        <v>2</v>
      </c>
      <c r="DO107" s="18">
        <v>4</v>
      </c>
      <c r="DP107" s="18">
        <v>7</v>
      </c>
      <c r="DQ107" s="18">
        <v>4</v>
      </c>
      <c r="DR107" s="18">
        <v>4</v>
      </c>
      <c r="DS107" s="18">
        <f t="shared" si="63"/>
        <v>14</v>
      </c>
      <c r="DT107" s="124">
        <f t="shared" si="64"/>
        <v>17</v>
      </c>
    </row>
    <row r="108" spans="1:186" x14ac:dyDescent="0.25">
      <c r="A108" s="11"/>
      <c r="B108" s="12"/>
      <c r="C108" s="52"/>
      <c r="D108" s="12"/>
      <c r="E108" s="14"/>
      <c r="F108" s="113"/>
      <c r="G108" s="1"/>
      <c r="H108" s="11"/>
      <c r="I108" s="12"/>
      <c r="J108" s="52"/>
      <c r="K108" s="12"/>
      <c r="L108" s="14"/>
      <c r="M108" s="113"/>
      <c r="N108" s="1"/>
      <c r="O108" s="11"/>
      <c r="P108" s="12"/>
      <c r="Q108" s="52"/>
      <c r="R108" s="12"/>
      <c r="S108" s="14"/>
      <c r="T108" s="113"/>
      <c r="CX108" s="92" t="s">
        <v>319</v>
      </c>
      <c r="CY108" s="93" t="s">
        <v>320</v>
      </c>
      <c r="CZ108" s="25"/>
      <c r="DA108" s="17">
        <v>2</v>
      </c>
      <c r="DB108" s="18">
        <v>4</v>
      </c>
      <c r="DC108" s="18">
        <v>4</v>
      </c>
      <c r="DD108" s="18">
        <v>5</v>
      </c>
      <c r="DE108" s="124">
        <f t="shared" si="61"/>
        <v>15</v>
      </c>
      <c r="DF108" s="175"/>
      <c r="DG108" s="176"/>
      <c r="DH108" s="17">
        <v>3</v>
      </c>
      <c r="DI108" s="18">
        <v>4</v>
      </c>
      <c r="DJ108" s="18">
        <v>5</v>
      </c>
      <c r="DK108" s="124">
        <f t="shared" si="65"/>
        <v>12</v>
      </c>
      <c r="DL108" s="175"/>
      <c r="DM108" s="176"/>
      <c r="DN108" s="17">
        <v>2</v>
      </c>
      <c r="DO108" s="18">
        <v>4</v>
      </c>
      <c r="DP108" s="18">
        <v>7</v>
      </c>
      <c r="DQ108" s="18">
        <v>4</v>
      </c>
      <c r="DR108" s="18">
        <v>4</v>
      </c>
      <c r="DS108" s="18">
        <f t="shared" si="63"/>
        <v>14</v>
      </c>
      <c r="DT108" s="124">
        <f t="shared" si="64"/>
        <v>17</v>
      </c>
    </row>
    <row r="109" spans="1:186" x14ac:dyDescent="0.25">
      <c r="A109" s="11" t="s">
        <v>266</v>
      </c>
      <c r="B109" s="12">
        <v>4</v>
      </c>
      <c r="C109" s="52" t="s">
        <v>267</v>
      </c>
      <c r="D109" s="12" t="s">
        <v>118</v>
      </c>
      <c r="E109" s="14"/>
      <c r="F109" s="113"/>
      <c r="G109" s="1"/>
      <c r="H109" s="11" t="s">
        <v>266</v>
      </c>
      <c r="I109" s="12">
        <v>4</v>
      </c>
      <c r="J109" s="52" t="s">
        <v>267</v>
      </c>
      <c r="K109" s="12" t="s">
        <v>119</v>
      </c>
      <c r="L109" s="14"/>
      <c r="M109" s="113"/>
      <c r="N109" s="1"/>
      <c r="O109" s="11" t="s">
        <v>266</v>
      </c>
      <c r="P109" s="12">
        <v>4</v>
      </c>
      <c r="Q109" s="52" t="s">
        <v>267</v>
      </c>
      <c r="R109" s="12" t="s">
        <v>120</v>
      </c>
      <c r="S109" s="14"/>
      <c r="T109" s="113"/>
      <c r="CX109" s="92" t="s">
        <v>323</v>
      </c>
      <c r="CY109" s="93" t="s">
        <v>324</v>
      </c>
      <c r="CZ109" s="25"/>
      <c r="DA109" s="17">
        <v>2</v>
      </c>
      <c r="DB109" s="18">
        <v>4</v>
      </c>
      <c r="DC109" s="18">
        <v>4</v>
      </c>
      <c r="DD109" s="18">
        <v>5</v>
      </c>
      <c r="DE109" s="124">
        <f t="shared" si="61"/>
        <v>15</v>
      </c>
      <c r="DF109" s="175"/>
      <c r="DG109" s="176"/>
      <c r="DH109" s="17">
        <v>3</v>
      </c>
      <c r="DI109" s="18">
        <v>4</v>
      </c>
      <c r="DJ109" s="18">
        <v>5</v>
      </c>
      <c r="DK109" s="124">
        <f t="shared" si="65"/>
        <v>12</v>
      </c>
      <c r="DL109" s="175"/>
      <c r="DM109" s="176"/>
      <c r="DN109" s="17">
        <v>2</v>
      </c>
      <c r="DO109" s="18">
        <v>4</v>
      </c>
      <c r="DP109" s="18">
        <v>7</v>
      </c>
      <c r="DQ109" s="18">
        <v>4</v>
      </c>
      <c r="DR109" s="18">
        <v>4</v>
      </c>
      <c r="DS109" s="18">
        <f t="shared" si="63"/>
        <v>14</v>
      </c>
      <c r="DT109" s="124">
        <f t="shared" si="64"/>
        <v>17</v>
      </c>
    </row>
    <row r="110" spans="1:186" x14ac:dyDescent="0.25">
      <c r="A110" s="11" t="s">
        <v>279</v>
      </c>
      <c r="B110" s="12">
        <v>16</v>
      </c>
      <c r="C110" s="52" t="s">
        <v>280</v>
      </c>
      <c r="D110" s="12" t="s">
        <v>118</v>
      </c>
      <c r="E110" s="14"/>
      <c r="F110" s="113"/>
      <c r="G110" s="1"/>
      <c r="H110" s="11" t="s">
        <v>279</v>
      </c>
      <c r="I110" s="12">
        <v>16</v>
      </c>
      <c r="J110" s="52" t="s">
        <v>280</v>
      </c>
      <c r="K110" s="12" t="s">
        <v>119</v>
      </c>
      <c r="L110" s="14"/>
      <c r="M110" s="113"/>
      <c r="N110" s="1"/>
      <c r="O110" s="11" t="s">
        <v>279</v>
      </c>
      <c r="P110" s="12">
        <v>16</v>
      </c>
      <c r="Q110" s="52" t="s">
        <v>280</v>
      </c>
      <c r="R110" s="12" t="s">
        <v>120</v>
      </c>
      <c r="S110" s="14"/>
      <c r="T110" s="113"/>
      <c r="CX110" s="92" t="s">
        <v>330</v>
      </c>
      <c r="CY110" s="93" t="s">
        <v>331</v>
      </c>
      <c r="CZ110" s="25"/>
      <c r="DA110" s="17">
        <v>2</v>
      </c>
      <c r="DB110" s="18">
        <v>4</v>
      </c>
      <c r="DC110" s="18">
        <v>4</v>
      </c>
      <c r="DD110" s="18">
        <v>5</v>
      </c>
      <c r="DE110" s="124">
        <f t="shared" si="61"/>
        <v>15</v>
      </c>
      <c r="DF110" s="175"/>
      <c r="DG110" s="176"/>
      <c r="DH110" s="17">
        <v>3</v>
      </c>
      <c r="DI110" s="18">
        <v>4</v>
      </c>
      <c r="DJ110" s="18">
        <v>5</v>
      </c>
      <c r="DK110" s="124">
        <f t="shared" si="65"/>
        <v>12</v>
      </c>
      <c r="DL110" s="175"/>
      <c r="DM110" s="176"/>
      <c r="DN110" s="17">
        <v>2</v>
      </c>
      <c r="DO110" s="18">
        <v>4</v>
      </c>
      <c r="DP110" s="18">
        <v>7</v>
      </c>
      <c r="DQ110" s="18">
        <v>4</v>
      </c>
      <c r="DR110" s="18">
        <v>4</v>
      </c>
      <c r="DS110" s="18">
        <f t="shared" si="63"/>
        <v>14</v>
      </c>
      <c r="DT110" s="124">
        <f t="shared" si="64"/>
        <v>17</v>
      </c>
    </row>
    <row r="111" spans="1:186" x14ac:dyDescent="0.25">
      <c r="A111" s="11"/>
      <c r="B111" s="12"/>
      <c r="C111" s="13"/>
      <c r="D111" s="12"/>
      <c r="E111" s="14"/>
      <c r="F111" s="113"/>
      <c r="G111" s="1"/>
      <c r="H111" s="11"/>
      <c r="I111" s="12"/>
      <c r="J111" s="13"/>
      <c r="K111" s="12"/>
      <c r="L111" s="14"/>
      <c r="M111" s="113"/>
      <c r="N111" s="1"/>
      <c r="O111" s="11"/>
      <c r="P111" s="12"/>
      <c r="Q111" s="13"/>
      <c r="R111" s="12"/>
      <c r="S111" s="14"/>
      <c r="T111" s="113"/>
      <c r="CX111" s="92" t="s">
        <v>334</v>
      </c>
      <c r="CY111" s="93" t="s">
        <v>335</v>
      </c>
      <c r="CZ111" s="25"/>
      <c r="DA111" s="17">
        <v>2</v>
      </c>
      <c r="DB111" s="18">
        <v>4</v>
      </c>
      <c r="DC111" s="18">
        <v>4</v>
      </c>
      <c r="DD111" s="18">
        <v>5</v>
      </c>
      <c r="DE111" s="124">
        <f t="shared" si="61"/>
        <v>15</v>
      </c>
      <c r="DF111" s="175"/>
      <c r="DG111" s="176"/>
      <c r="DH111" s="17">
        <v>3</v>
      </c>
      <c r="DI111" s="18">
        <v>4</v>
      </c>
      <c r="DJ111" s="18">
        <v>5</v>
      </c>
      <c r="DK111" s="124">
        <f t="shared" si="65"/>
        <v>12</v>
      </c>
      <c r="DL111" s="175"/>
      <c r="DM111" s="176"/>
      <c r="DN111" s="17">
        <v>2</v>
      </c>
      <c r="DO111" s="18">
        <v>4</v>
      </c>
      <c r="DP111" s="18">
        <v>7</v>
      </c>
      <c r="DQ111" s="18">
        <v>4</v>
      </c>
      <c r="DR111" s="18">
        <v>4</v>
      </c>
      <c r="DS111" s="18">
        <f t="shared" si="63"/>
        <v>14</v>
      </c>
      <c r="DT111" s="124">
        <f t="shared" si="64"/>
        <v>17</v>
      </c>
    </row>
    <row r="112" spans="1:186" x14ac:dyDescent="0.25">
      <c r="A112" s="290" t="s">
        <v>82</v>
      </c>
      <c r="B112" s="290"/>
      <c r="C112" s="290"/>
      <c r="D112" s="290"/>
      <c r="E112" s="290"/>
      <c r="F112" s="290"/>
      <c r="G112" s="290"/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CX112" s="92" t="s">
        <v>341</v>
      </c>
      <c r="CY112" s="93" t="s">
        <v>342</v>
      </c>
      <c r="CZ112" s="25"/>
      <c r="DA112" s="17">
        <v>2</v>
      </c>
      <c r="DB112" s="18">
        <v>4</v>
      </c>
      <c r="DC112" s="18">
        <v>4</v>
      </c>
      <c r="DD112" s="18">
        <v>5</v>
      </c>
      <c r="DE112" s="124">
        <f t="shared" si="61"/>
        <v>15</v>
      </c>
      <c r="DF112" s="175"/>
      <c r="DG112" s="176"/>
      <c r="DH112" s="17">
        <v>4</v>
      </c>
      <c r="DI112" s="18">
        <v>4</v>
      </c>
      <c r="DJ112" s="18">
        <v>5</v>
      </c>
      <c r="DK112" s="124">
        <f t="shared" si="65"/>
        <v>13</v>
      </c>
      <c r="DL112" s="175"/>
      <c r="DM112" s="176"/>
      <c r="DN112" s="17">
        <v>2</v>
      </c>
      <c r="DO112" s="18">
        <v>4</v>
      </c>
      <c r="DP112" s="18">
        <v>7</v>
      </c>
      <c r="DQ112" s="18">
        <v>4</v>
      </c>
      <c r="DR112" s="18">
        <v>4</v>
      </c>
      <c r="DS112" s="18">
        <f t="shared" si="63"/>
        <v>14</v>
      </c>
      <c r="DT112" s="124">
        <f t="shared" si="64"/>
        <v>17</v>
      </c>
    </row>
    <row r="113" spans="1:124" x14ac:dyDescent="0.25">
      <c r="A113" s="290"/>
      <c r="B113" s="290"/>
      <c r="C113" s="290"/>
      <c r="D113" s="290"/>
      <c r="E113" s="290"/>
      <c r="F113" s="290"/>
      <c r="G113" s="290"/>
      <c r="H113" s="290"/>
      <c r="I113" s="290"/>
      <c r="J113" s="290"/>
      <c r="K113" s="290"/>
      <c r="L113" s="290"/>
      <c r="M113" s="290"/>
      <c r="N113" s="290"/>
      <c r="O113" s="290"/>
      <c r="P113" s="290"/>
      <c r="Q113" s="290"/>
      <c r="R113" s="290"/>
      <c r="S113" s="290"/>
      <c r="T113" s="290"/>
      <c r="CX113" s="92" t="s">
        <v>349</v>
      </c>
      <c r="CY113" s="93" t="s">
        <v>350</v>
      </c>
      <c r="CZ113" s="25"/>
      <c r="DA113" s="17">
        <v>2</v>
      </c>
      <c r="DB113" s="18">
        <v>4</v>
      </c>
      <c r="DC113" s="18">
        <v>4</v>
      </c>
      <c r="DD113" s="18">
        <v>5</v>
      </c>
      <c r="DE113" s="124">
        <f t="shared" si="61"/>
        <v>15</v>
      </c>
      <c r="DF113" s="175"/>
      <c r="DG113" s="176"/>
      <c r="DH113" s="17">
        <v>4</v>
      </c>
      <c r="DI113" s="18">
        <v>4</v>
      </c>
      <c r="DJ113" s="18">
        <v>5</v>
      </c>
      <c r="DK113" s="124">
        <f t="shared" si="65"/>
        <v>13</v>
      </c>
      <c r="DL113" s="175"/>
      <c r="DM113" s="176"/>
      <c r="DN113" s="17">
        <v>2</v>
      </c>
      <c r="DO113" s="18">
        <v>4</v>
      </c>
      <c r="DP113" s="18">
        <v>7</v>
      </c>
      <c r="DQ113" s="18">
        <v>4</v>
      </c>
      <c r="DR113" s="18">
        <v>4</v>
      </c>
      <c r="DS113" s="18">
        <f t="shared" si="63"/>
        <v>14</v>
      </c>
      <c r="DT113" s="124">
        <f t="shared" si="64"/>
        <v>17</v>
      </c>
    </row>
    <row r="114" spans="1:124" x14ac:dyDescent="0.25">
      <c r="A114" s="290"/>
      <c r="B114" s="290"/>
      <c r="C114" s="290"/>
      <c r="D114" s="290"/>
      <c r="E114" s="290"/>
      <c r="F114" s="290"/>
      <c r="G114" s="290"/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CX114" s="92" t="s">
        <v>355</v>
      </c>
      <c r="CY114" s="93" t="s">
        <v>356</v>
      </c>
      <c r="CZ114" s="25"/>
      <c r="DA114" s="17">
        <v>2</v>
      </c>
      <c r="DB114" s="18">
        <v>4</v>
      </c>
      <c r="DC114" s="18">
        <v>4</v>
      </c>
      <c r="DD114" s="18">
        <v>5</v>
      </c>
      <c r="DE114" s="124">
        <f t="shared" si="61"/>
        <v>15</v>
      </c>
      <c r="DF114" s="175"/>
      <c r="DG114" s="176"/>
      <c r="DH114" s="17">
        <v>4</v>
      </c>
      <c r="DI114" s="18">
        <v>4</v>
      </c>
      <c r="DJ114" s="18">
        <v>5</v>
      </c>
      <c r="DK114" s="124">
        <f t="shared" si="65"/>
        <v>13</v>
      </c>
      <c r="DL114" s="175"/>
      <c r="DM114" s="176"/>
      <c r="DN114" s="17">
        <v>2</v>
      </c>
      <c r="DO114" s="18">
        <v>4</v>
      </c>
      <c r="DP114" s="18">
        <v>7</v>
      </c>
      <c r="DQ114" s="18">
        <v>4</v>
      </c>
      <c r="DR114" s="18">
        <v>4</v>
      </c>
      <c r="DS114" s="18">
        <f t="shared" si="63"/>
        <v>14</v>
      </c>
      <c r="DT114" s="124">
        <f t="shared" si="64"/>
        <v>17</v>
      </c>
    </row>
    <row r="115" spans="1:124" ht="15.75" thickBot="1" x14ac:dyDescent="0.3">
      <c r="A115" s="290"/>
      <c r="B115" s="290"/>
      <c r="C115" s="290"/>
      <c r="D115" s="290"/>
      <c r="E115" s="290"/>
      <c r="F115" s="290"/>
      <c r="G115" s="290"/>
      <c r="H115" s="290"/>
      <c r="I115" s="290"/>
      <c r="J115" s="290"/>
      <c r="K115" s="290"/>
      <c r="L115" s="290"/>
      <c r="M115" s="290"/>
      <c r="N115" s="290"/>
      <c r="O115" s="290"/>
      <c r="P115" s="290"/>
      <c r="Q115" s="290"/>
      <c r="R115" s="290"/>
      <c r="S115" s="290"/>
      <c r="T115" s="290"/>
      <c r="CX115" s="144" t="s">
        <v>361</v>
      </c>
      <c r="CY115" s="145" t="s">
        <v>362</v>
      </c>
      <c r="CZ115" s="115"/>
      <c r="DA115" s="48">
        <v>2</v>
      </c>
      <c r="DB115" s="49">
        <v>4</v>
      </c>
      <c r="DC115" s="49">
        <v>4</v>
      </c>
      <c r="DD115" s="49">
        <v>5</v>
      </c>
      <c r="DE115" s="158">
        <f t="shared" si="61"/>
        <v>15</v>
      </c>
      <c r="DF115" s="182"/>
      <c r="DG115" s="183"/>
      <c r="DH115" s="48">
        <v>4</v>
      </c>
      <c r="DI115" s="49">
        <v>4</v>
      </c>
      <c r="DJ115" s="49">
        <v>5</v>
      </c>
      <c r="DK115" s="158">
        <f t="shared" si="65"/>
        <v>13</v>
      </c>
      <c r="DL115" s="182"/>
      <c r="DM115" s="183"/>
      <c r="DN115" s="48">
        <v>2</v>
      </c>
      <c r="DO115" s="49">
        <v>4</v>
      </c>
      <c r="DP115" s="49">
        <v>7</v>
      </c>
      <c r="DQ115" s="49">
        <v>4</v>
      </c>
      <c r="DR115" s="49">
        <v>4</v>
      </c>
      <c r="DS115" s="49">
        <f t="shared" si="63"/>
        <v>14</v>
      </c>
      <c r="DT115" s="158">
        <f t="shared" si="64"/>
        <v>17</v>
      </c>
    </row>
    <row r="116" spans="1:124" x14ac:dyDescent="0.25">
      <c r="A116" s="290"/>
      <c r="B116" s="290"/>
      <c r="C116" s="290"/>
      <c r="D116" s="290"/>
      <c r="E116" s="290"/>
      <c r="F116" s="290"/>
      <c r="G116" s="290"/>
      <c r="H116" s="290"/>
      <c r="I116" s="290"/>
      <c r="J116" s="290"/>
      <c r="K116" s="290"/>
      <c r="L116" s="290"/>
      <c r="M116" s="290"/>
      <c r="N116" s="290"/>
      <c r="O116" s="290"/>
      <c r="P116" s="290"/>
      <c r="Q116" s="290"/>
      <c r="R116" s="290"/>
      <c r="S116" s="290"/>
      <c r="T116" s="290"/>
    </row>
    <row r="117" spans="1:124" x14ac:dyDescent="0.25">
      <c r="A117" s="129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</row>
    <row r="118" spans="1:124" x14ac:dyDescent="0.25">
      <c r="A118" s="129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</row>
    <row r="119" spans="1:124" x14ac:dyDescent="0.25">
      <c r="A119" s="129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</row>
    <row r="120" spans="1:124" x14ac:dyDescent="0.25">
      <c r="A120" s="129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</row>
    <row r="121" spans="1:124" x14ac:dyDescent="0.25">
      <c r="A121" s="129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</row>
    <row r="122" spans="1:124" x14ac:dyDescent="0.25">
      <c r="A122" s="129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</row>
    <row r="123" spans="1:124" x14ac:dyDescent="0.25">
      <c r="A123" s="129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</row>
    <row r="124" spans="1:124" x14ac:dyDescent="0.25">
      <c r="A124" s="129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</row>
    <row r="125" spans="1:124" x14ac:dyDescent="0.25">
      <c r="A125" s="129"/>
      <c r="B125" s="129"/>
      <c r="C125" s="12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</row>
    <row r="126" spans="1:124" x14ac:dyDescent="0.25">
      <c r="A126" s="129"/>
      <c r="B126" s="129"/>
      <c r="C126" s="12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</row>
    <row r="127" spans="1:124" x14ac:dyDescent="0.25">
      <c r="A127" s="129"/>
      <c r="B127" s="129"/>
      <c r="C127" s="129"/>
      <c r="D127" s="129"/>
      <c r="E127" s="129"/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</row>
    <row r="128" spans="1:124" ht="21" x14ac:dyDescent="0.25">
      <c r="A128" s="129"/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CX128" s="322" t="s">
        <v>616</v>
      </c>
      <c r="CY128" s="322"/>
      <c r="CZ128" s="322"/>
      <c r="DA128" s="322"/>
      <c r="DB128" s="322"/>
      <c r="DC128" s="322"/>
      <c r="DD128" s="322"/>
      <c r="DE128" s="322"/>
      <c r="DF128" s="322"/>
      <c r="DG128" s="322"/>
      <c r="DH128" s="322"/>
      <c r="DI128" s="322"/>
      <c r="DJ128" s="322"/>
      <c r="DK128" s="322"/>
      <c r="DL128" s="322"/>
      <c r="DM128" s="322"/>
      <c r="DN128" s="322"/>
      <c r="DO128" s="322"/>
    </row>
    <row r="129" spans="1:129" ht="18.75" x14ac:dyDescent="0.3">
      <c r="A129" s="129"/>
      <c r="B129" s="129"/>
      <c r="C129" s="12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CX129" s="330" t="s">
        <v>617</v>
      </c>
      <c r="CY129" s="330"/>
      <c r="CZ129" s="330"/>
      <c r="DA129" s="330"/>
      <c r="DB129" s="330"/>
      <c r="DC129" s="330"/>
      <c r="DD129" s="330"/>
      <c r="DE129" s="330"/>
      <c r="DF129" s="330"/>
      <c r="DG129" s="330"/>
      <c r="DH129" s="330"/>
      <c r="DI129" s="330"/>
      <c r="DJ129" s="330"/>
      <c r="DK129" s="330"/>
      <c r="DL129" s="330"/>
      <c r="DM129" s="330"/>
      <c r="DN129" s="330"/>
      <c r="DO129" s="330"/>
    </row>
    <row r="130" spans="1:129" ht="15.75" thickBot="1" x14ac:dyDescent="0.3">
      <c r="A130" s="129"/>
      <c r="B130" s="129"/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</row>
    <row r="131" spans="1:129" ht="15.75" x14ac:dyDescent="0.25">
      <c r="A131" s="129"/>
      <c r="B131" s="129"/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CX131" s="184"/>
      <c r="DB131" s="324" t="s">
        <v>618</v>
      </c>
      <c r="DC131" s="325"/>
      <c r="DD131" s="325"/>
      <c r="DE131" s="326"/>
      <c r="DG131" s="324" t="s">
        <v>619</v>
      </c>
      <c r="DH131" s="325"/>
      <c r="DI131" s="325"/>
      <c r="DJ131" s="326"/>
      <c r="DL131" s="324" t="s">
        <v>620</v>
      </c>
      <c r="DM131" s="325"/>
      <c r="DN131" s="325"/>
      <c r="DO131" s="326"/>
      <c r="DQ131" s="324" t="s">
        <v>621</v>
      </c>
      <c r="DR131" s="325"/>
      <c r="DS131" s="325"/>
      <c r="DT131" s="326"/>
      <c r="DV131" s="324" t="s">
        <v>622</v>
      </c>
      <c r="DW131" s="325"/>
      <c r="DX131" s="325"/>
      <c r="DY131" s="326"/>
    </row>
    <row r="132" spans="1:129" x14ac:dyDescent="0.25">
      <c r="A132" s="129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DB132" s="185" t="s">
        <v>623</v>
      </c>
      <c r="DC132" s="186" t="s">
        <v>551</v>
      </c>
      <c r="DD132" s="186" t="s">
        <v>551</v>
      </c>
      <c r="DE132" s="187"/>
      <c r="DF132" s="2"/>
      <c r="DG132" s="185" t="s">
        <v>623</v>
      </c>
      <c r="DH132" s="186" t="s">
        <v>551</v>
      </c>
      <c r="DI132" s="186" t="s">
        <v>551</v>
      </c>
      <c r="DJ132" s="187"/>
      <c r="DL132" s="185" t="s">
        <v>623</v>
      </c>
      <c r="DM132" s="186" t="s">
        <v>551</v>
      </c>
      <c r="DN132" s="186" t="s">
        <v>551</v>
      </c>
      <c r="DO132" s="187"/>
      <c r="DQ132" s="185" t="s">
        <v>623</v>
      </c>
      <c r="DR132" s="186" t="s">
        <v>551</v>
      </c>
      <c r="DS132" s="186" t="s">
        <v>551</v>
      </c>
      <c r="DT132" s="187"/>
      <c r="DV132" s="185" t="s">
        <v>623</v>
      </c>
      <c r="DW132" s="186" t="s">
        <v>551</v>
      </c>
      <c r="DX132" s="186" t="s">
        <v>551</v>
      </c>
      <c r="DY132" s="187"/>
    </row>
    <row r="133" spans="1:129" ht="15.75" thickBot="1" x14ac:dyDescent="0.3">
      <c r="A133" s="129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DB133" s="185" t="s">
        <v>624</v>
      </c>
      <c r="DC133" s="188" t="s">
        <v>625</v>
      </c>
      <c r="DD133" s="188" t="s">
        <v>626</v>
      </c>
      <c r="DE133" s="152" t="s">
        <v>364</v>
      </c>
      <c r="DF133" s="2"/>
      <c r="DG133" s="185" t="s">
        <v>624</v>
      </c>
      <c r="DH133" s="188" t="s">
        <v>625</v>
      </c>
      <c r="DI133" s="188" t="s">
        <v>626</v>
      </c>
      <c r="DJ133" s="152" t="s">
        <v>364</v>
      </c>
      <c r="DL133" s="185" t="s">
        <v>624</v>
      </c>
      <c r="DM133" s="188" t="s">
        <v>625</v>
      </c>
      <c r="DN133" s="188" t="s">
        <v>626</v>
      </c>
      <c r="DO133" s="152" t="s">
        <v>364</v>
      </c>
      <c r="DQ133" s="185" t="s">
        <v>624</v>
      </c>
      <c r="DR133" s="189" t="s">
        <v>625</v>
      </c>
      <c r="DS133" s="189" t="s">
        <v>626</v>
      </c>
      <c r="DT133" s="139" t="s">
        <v>364</v>
      </c>
      <c r="DV133" s="185" t="s">
        <v>624</v>
      </c>
      <c r="DW133" s="189" t="s">
        <v>625</v>
      </c>
      <c r="DX133" s="189" t="s">
        <v>626</v>
      </c>
      <c r="DY133" s="139" t="s">
        <v>364</v>
      </c>
    </row>
    <row r="134" spans="1:129" x14ac:dyDescent="0.25">
      <c r="A134" s="129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CX134" s="77" t="s">
        <v>147</v>
      </c>
      <c r="CY134" s="78" t="s">
        <v>148</v>
      </c>
      <c r="CZ134" s="190"/>
      <c r="DA134" s="191"/>
      <c r="DB134" s="171">
        <v>2</v>
      </c>
      <c r="DC134" s="171">
        <v>2</v>
      </c>
      <c r="DD134" s="171">
        <v>2</v>
      </c>
      <c r="DE134" s="40">
        <f>SUM(DB134:DD134)</f>
        <v>6</v>
      </c>
      <c r="DF134" s="191"/>
      <c r="DG134" s="171">
        <v>2</v>
      </c>
      <c r="DH134" s="172">
        <v>3</v>
      </c>
      <c r="DI134" s="172">
        <v>4</v>
      </c>
      <c r="DJ134" s="40">
        <f>SUM(DG134:DI134)</f>
        <v>9</v>
      </c>
      <c r="DK134" s="191"/>
      <c r="DL134" s="171">
        <v>2</v>
      </c>
      <c r="DM134" s="172">
        <v>5</v>
      </c>
      <c r="DN134" s="172">
        <v>4</v>
      </c>
      <c r="DO134" s="40">
        <f>SUM(DL134:DN134)</f>
        <v>11</v>
      </c>
      <c r="DQ134" s="171">
        <v>2</v>
      </c>
      <c r="DR134" s="172">
        <f>DM134-DH134+DM134</f>
        <v>7</v>
      </c>
      <c r="DS134" s="172">
        <v>4</v>
      </c>
      <c r="DT134" s="40">
        <f>SUM(DQ134:DS134)</f>
        <v>13</v>
      </c>
      <c r="DV134" s="171">
        <v>2</v>
      </c>
      <c r="DW134" s="172">
        <f>DR134-DM134+DR134</f>
        <v>9</v>
      </c>
      <c r="DX134" s="172">
        <v>4</v>
      </c>
      <c r="DY134" s="40">
        <f>SUM(DV134:DX134)</f>
        <v>15</v>
      </c>
    </row>
    <row r="135" spans="1:129" ht="26.25" x14ac:dyDescent="0.4">
      <c r="A135" s="129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Y135" s="260" t="s">
        <v>627</v>
      </c>
      <c r="Z135" s="261"/>
      <c r="AA135" s="261"/>
      <c r="AB135" s="261"/>
      <c r="AC135" s="261"/>
      <c r="AD135" s="261"/>
      <c r="AE135" s="261"/>
      <c r="AF135" s="261"/>
      <c r="AG135" s="261"/>
      <c r="AH135" s="261"/>
      <c r="AI135" s="261"/>
      <c r="AJ135" s="261"/>
      <c r="AK135" s="261"/>
      <c r="AL135" s="261"/>
      <c r="AM135" s="261"/>
      <c r="AN135" s="261"/>
      <c r="AO135" s="261"/>
      <c r="AX135" s="260" t="s">
        <v>628</v>
      </c>
      <c r="AY135" s="261"/>
      <c r="AZ135" s="261"/>
      <c r="BA135" s="261"/>
      <c r="BB135" s="261"/>
      <c r="BC135" s="261"/>
      <c r="BD135" s="261"/>
      <c r="BE135" s="261"/>
      <c r="BF135" s="261"/>
      <c r="BG135" s="261"/>
      <c r="BH135" s="261"/>
      <c r="BI135" s="261"/>
      <c r="BJ135" s="261"/>
      <c r="BK135" s="261"/>
      <c r="BL135" s="261"/>
      <c r="BM135" s="261"/>
      <c r="BN135" s="261"/>
      <c r="BX135" s="260" t="s">
        <v>629</v>
      </c>
      <c r="BY135" s="261"/>
      <c r="BZ135" s="261"/>
      <c r="CA135" s="261"/>
      <c r="CB135" s="261"/>
      <c r="CC135" s="261"/>
      <c r="CD135" s="261"/>
      <c r="CE135" s="261"/>
      <c r="CF135" s="261"/>
      <c r="CG135" s="261"/>
      <c r="CH135" s="261"/>
      <c r="CI135" s="261"/>
      <c r="CJ135" s="261"/>
      <c r="CK135" s="261"/>
      <c r="CL135" s="261"/>
      <c r="CM135" s="261"/>
      <c r="CN135" s="261"/>
      <c r="CX135" s="92" t="s">
        <v>158</v>
      </c>
      <c r="CY135" s="93" t="s">
        <v>159</v>
      </c>
      <c r="CZ135" s="192"/>
      <c r="DA135" s="193"/>
      <c r="DB135" s="17">
        <v>2</v>
      </c>
      <c r="DC135" s="17">
        <v>2</v>
      </c>
      <c r="DD135" s="17">
        <v>2</v>
      </c>
      <c r="DE135" s="124">
        <f t="shared" ref="DE135:DE156" si="67">SUM(DB135:DD135)</f>
        <v>6</v>
      </c>
      <c r="DF135" s="193"/>
      <c r="DG135" s="17">
        <v>2</v>
      </c>
      <c r="DH135" s="18">
        <v>3</v>
      </c>
      <c r="DI135" s="18">
        <v>4</v>
      </c>
      <c r="DJ135" s="124">
        <f t="shared" ref="DJ135:DJ156" si="68">SUM(DG135:DI135)</f>
        <v>9</v>
      </c>
      <c r="DK135" s="193"/>
      <c r="DL135" s="17">
        <v>2</v>
      </c>
      <c r="DM135" s="18">
        <v>5</v>
      </c>
      <c r="DN135" s="18">
        <v>4</v>
      </c>
      <c r="DO135" s="124">
        <f t="shared" ref="DO135:DO156" si="69">SUM(DL135:DN135)</f>
        <v>11</v>
      </c>
      <c r="DQ135" s="17">
        <v>2</v>
      </c>
      <c r="DR135" s="18">
        <f t="shared" ref="DR135:DR156" si="70">DM135-DH135+DM135</f>
        <v>7</v>
      </c>
      <c r="DS135" s="18">
        <v>4</v>
      </c>
      <c r="DT135" s="124">
        <f t="shared" ref="DT135:DT156" si="71">SUM(DQ135:DS135)</f>
        <v>13</v>
      </c>
      <c r="DV135" s="17">
        <v>2</v>
      </c>
      <c r="DW135" s="18">
        <f t="shared" ref="DW135:DW156" si="72">DR135-DM135+DR135</f>
        <v>9</v>
      </c>
      <c r="DX135" s="18">
        <v>4</v>
      </c>
      <c r="DY135" s="124">
        <f t="shared" ref="DY135:DY156" si="73">SUM(DV135:DX135)</f>
        <v>15</v>
      </c>
    </row>
    <row r="136" spans="1:129" ht="24" x14ac:dyDescent="0.4">
      <c r="A136" s="129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Y136" s="327" t="s">
        <v>630</v>
      </c>
      <c r="Z136" s="328"/>
      <c r="AA136" s="328"/>
      <c r="AB136" s="328"/>
      <c r="AC136" s="328"/>
      <c r="AD136" s="328"/>
      <c r="AE136" s="328"/>
      <c r="AF136" s="329"/>
      <c r="AG136" s="1"/>
      <c r="AH136" s="327" t="s">
        <v>631</v>
      </c>
      <c r="AI136" s="328"/>
      <c r="AJ136" s="328"/>
      <c r="AK136" s="328"/>
      <c r="AL136" s="328"/>
      <c r="AM136" s="328"/>
      <c r="AN136" s="328"/>
      <c r="AO136" s="329"/>
      <c r="AX136" s="327" t="s">
        <v>630</v>
      </c>
      <c r="AY136" s="328"/>
      <c r="AZ136" s="328"/>
      <c r="BA136" s="328"/>
      <c r="BB136" s="328"/>
      <c r="BC136" s="328"/>
      <c r="BD136" s="328"/>
      <c r="BE136" s="329"/>
      <c r="BF136" s="1"/>
      <c r="BG136" s="327" t="s">
        <v>631</v>
      </c>
      <c r="BH136" s="328"/>
      <c r="BI136" s="328"/>
      <c r="BJ136" s="328"/>
      <c r="BK136" s="328"/>
      <c r="BL136" s="328"/>
      <c r="BM136" s="328"/>
      <c r="BN136" s="329"/>
      <c r="BX136" s="327" t="s">
        <v>630</v>
      </c>
      <c r="BY136" s="328"/>
      <c r="BZ136" s="328"/>
      <c r="CA136" s="328"/>
      <c r="CB136" s="328"/>
      <c r="CC136" s="328"/>
      <c r="CD136" s="328"/>
      <c r="CE136" s="329"/>
      <c r="CF136" s="1"/>
      <c r="CG136" s="327" t="s">
        <v>631</v>
      </c>
      <c r="CH136" s="328"/>
      <c r="CI136" s="328"/>
      <c r="CJ136" s="328"/>
      <c r="CK136" s="328"/>
      <c r="CL136" s="328"/>
      <c r="CM136" s="328"/>
      <c r="CN136" s="329"/>
      <c r="CX136" s="92" t="s">
        <v>168</v>
      </c>
      <c r="CY136" s="93" t="s">
        <v>169</v>
      </c>
      <c r="CZ136" s="192"/>
      <c r="DA136" s="193"/>
      <c r="DB136" s="17">
        <v>2</v>
      </c>
      <c r="DC136" s="17">
        <v>2</v>
      </c>
      <c r="DD136" s="17">
        <v>2</v>
      </c>
      <c r="DE136" s="124">
        <f t="shared" si="67"/>
        <v>6</v>
      </c>
      <c r="DF136" s="193"/>
      <c r="DG136" s="17">
        <v>2</v>
      </c>
      <c r="DH136" s="18">
        <v>3</v>
      </c>
      <c r="DI136" s="18">
        <v>4</v>
      </c>
      <c r="DJ136" s="124">
        <f t="shared" si="68"/>
        <v>9</v>
      </c>
      <c r="DK136" s="193"/>
      <c r="DL136" s="17">
        <v>2</v>
      </c>
      <c r="DM136" s="18">
        <v>5</v>
      </c>
      <c r="DN136" s="18">
        <v>4</v>
      </c>
      <c r="DO136" s="124">
        <f t="shared" si="69"/>
        <v>11</v>
      </c>
      <c r="DQ136" s="17">
        <v>2</v>
      </c>
      <c r="DR136" s="18">
        <f t="shared" si="70"/>
        <v>7</v>
      </c>
      <c r="DS136" s="18">
        <v>4</v>
      </c>
      <c r="DT136" s="124">
        <f t="shared" si="71"/>
        <v>13</v>
      </c>
      <c r="DV136" s="17">
        <v>2</v>
      </c>
      <c r="DW136" s="18">
        <f t="shared" si="72"/>
        <v>9</v>
      </c>
      <c r="DX136" s="18">
        <v>4</v>
      </c>
      <c r="DY136" s="124">
        <f t="shared" si="73"/>
        <v>15</v>
      </c>
    </row>
    <row r="137" spans="1:129" x14ac:dyDescent="0.25">
      <c r="A137" s="129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Y137" s="53" t="s">
        <v>554</v>
      </c>
      <c r="Z137" s="54">
        <v>1</v>
      </c>
      <c r="AA137" s="53" t="s">
        <v>555</v>
      </c>
      <c r="AB137" s="12" t="s">
        <v>632</v>
      </c>
      <c r="AC137" s="100"/>
      <c r="AD137" s="101"/>
      <c r="AE137" s="57"/>
      <c r="AF137" s="59" t="s">
        <v>182</v>
      </c>
      <c r="AG137" s="1"/>
      <c r="AH137" s="53" t="s">
        <v>554</v>
      </c>
      <c r="AI137" s="54">
        <v>1</v>
      </c>
      <c r="AJ137" s="53" t="s">
        <v>557</v>
      </c>
      <c r="AK137" s="12" t="s">
        <v>632</v>
      </c>
      <c r="AL137" s="60">
        <f>AI137*17</f>
        <v>17</v>
      </c>
      <c r="AM137" s="61"/>
      <c r="AN137" s="57"/>
      <c r="AO137" s="59" t="s">
        <v>347</v>
      </c>
      <c r="AX137" s="53" t="s">
        <v>554</v>
      </c>
      <c r="AY137" s="54">
        <v>1</v>
      </c>
      <c r="AZ137" s="53" t="s">
        <v>555</v>
      </c>
      <c r="BA137" s="12" t="s">
        <v>633</v>
      </c>
      <c r="BB137" s="100"/>
      <c r="BC137" s="101"/>
      <c r="BD137" s="57"/>
      <c r="BE137" s="59" t="s">
        <v>129</v>
      </c>
      <c r="BF137" s="1"/>
      <c r="BG137" s="53" t="s">
        <v>554</v>
      </c>
      <c r="BH137" s="54">
        <v>1</v>
      </c>
      <c r="BI137" s="53" t="s">
        <v>557</v>
      </c>
      <c r="BJ137" s="12" t="s">
        <v>633</v>
      </c>
      <c r="BK137" s="60"/>
      <c r="BL137" s="61"/>
      <c r="BM137" s="57"/>
      <c r="BN137" s="59"/>
      <c r="BX137" s="53" t="s">
        <v>554</v>
      </c>
      <c r="BY137" s="54">
        <v>1</v>
      </c>
      <c r="BZ137" s="53" t="s">
        <v>555</v>
      </c>
      <c r="CA137" s="12" t="s">
        <v>634</v>
      </c>
      <c r="CB137" s="60"/>
      <c r="CC137" s="76"/>
      <c r="CD137" s="57"/>
      <c r="CE137" s="58" t="s">
        <v>129</v>
      </c>
      <c r="CF137" s="1"/>
      <c r="CG137" s="53" t="s">
        <v>554</v>
      </c>
      <c r="CH137" s="54">
        <v>1</v>
      </c>
      <c r="CI137" s="53" t="s">
        <v>557</v>
      </c>
      <c r="CJ137" s="12" t="s">
        <v>634</v>
      </c>
      <c r="CK137" s="60">
        <f>CH137*25</f>
        <v>25</v>
      </c>
      <c r="CL137" s="76"/>
      <c r="CM137" s="57">
        <v>45376</v>
      </c>
      <c r="CN137" s="59" t="s">
        <v>131</v>
      </c>
      <c r="CX137" s="179" t="s">
        <v>577</v>
      </c>
      <c r="CY137" s="180" t="s">
        <v>578</v>
      </c>
      <c r="CZ137" s="192"/>
      <c r="DA137" s="193"/>
      <c r="DB137" s="17">
        <v>2</v>
      </c>
      <c r="DC137" s="18">
        <v>3</v>
      </c>
      <c r="DD137" s="18">
        <v>4</v>
      </c>
      <c r="DE137" s="124">
        <f t="shared" si="67"/>
        <v>9</v>
      </c>
      <c r="DF137" s="193"/>
      <c r="DG137" s="17">
        <v>2</v>
      </c>
      <c r="DH137" s="18">
        <v>3</v>
      </c>
      <c r="DI137" s="18">
        <v>4</v>
      </c>
      <c r="DJ137" s="124">
        <f t="shared" si="68"/>
        <v>9</v>
      </c>
      <c r="DK137" s="193"/>
      <c r="DL137" s="17">
        <v>2</v>
      </c>
      <c r="DM137" s="18">
        <v>5</v>
      </c>
      <c r="DN137" s="18">
        <v>4</v>
      </c>
      <c r="DO137" s="124">
        <f t="shared" si="69"/>
        <v>11</v>
      </c>
      <c r="DQ137" s="17">
        <v>2</v>
      </c>
      <c r="DR137" s="18">
        <f t="shared" si="70"/>
        <v>7</v>
      </c>
      <c r="DS137" s="18">
        <v>4</v>
      </c>
      <c r="DT137" s="124">
        <f t="shared" si="71"/>
        <v>13</v>
      </c>
      <c r="DV137" s="17">
        <v>2</v>
      </c>
      <c r="DW137" s="18">
        <f t="shared" si="72"/>
        <v>9</v>
      </c>
      <c r="DX137" s="18">
        <v>4</v>
      </c>
      <c r="DY137" s="124">
        <f t="shared" si="73"/>
        <v>15</v>
      </c>
    </row>
    <row r="138" spans="1:129" x14ac:dyDescent="0.25">
      <c r="A138" s="129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Y138" s="53" t="s">
        <v>554</v>
      </c>
      <c r="Z138" s="54">
        <v>1</v>
      </c>
      <c r="AA138" s="53" t="s">
        <v>565</v>
      </c>
      <c r="AB138" s="12" t="s">
        <v>632</v>
      </c>
      <c r="AC138" s="100"/>
      <c r="AD138" s="101"/>
      <c r="AE138" s="57"/>
      <c r="AF138" s="59" t="s">
        <v>182</v>
      </c>
      <c r="AG138" s="1"/>
      <c r="AH138" s="53" t="s">
        <v>554</v>
      </c>
      <c r="AI138" s="54">
        <v>1</v>
      </c>
      <c r="AJ138" s="53" t="s">
        <v>566</v>
      </c>
      <c r="AK138" s="12" t="s">
        <v>632</v>
      </c>
      <c r="AL138" s="60"/>
      <c r="AM138" s="61"/>
      <c r="AN138" s="57"/>
      <c r="AO138" s="59" t="s">
        <v>347</v>
      </c>
      <c r="AQ138" s="271" t="s">
        <v>82</v>
      </c>
      <c r="AR138" s="271"/>
      <c r="AS138" s="271"/>
      <c r="AT138" s="271"/>
      <c r="AU138" s="271"/>
      <c r="AX138" s="53" t="s">
        <v>554</v>
      </c>
      <c r="AY138" s="54">
        <v>1</v>
      </c>
      <c r="AZ138" s="53" t="s">
        <v>565</v>
      </c>
      <c r="BA138" s="12" t="s">
        <v>633</v>
      </c>
      <c r="BB138" s="100"/>
      <c r="BC138" s="101"/>
      <c r="BD138" s="57"/>
      <c r="BE138" s="59" t="s">
        <v>129</v>
      </c>
      <c r="BF138" s="1"/>
      <c r="BG138" s="53" t="s">
        <v>554</v>
      </c>
      <c r="BH138" s="54">
        <v>1</v>
      </c>
      <c r="BI138" s="53" t="s">
        <v>566</v>
      </c>
      <c r="BJ138" s="12" t="s">
        <v>633</v>
      </c>
      <c r="BK138" s="60"/>
      <c r="BL138" s="61"/>
      <c r="BM138" s="57"/>
      <c r="BN138" s="59"/>
      <c r="BP138" s="271" t="s">
        <v>82</v>
      </c>
      <c r="BQ138" s="271"/>
      <c r="BR138" s="271"/>
      <c r="BS138" s="271"/>
      <c r="BT138" s="271"/>
      <c r="BX138" s="53" t="s">
        <v>554</v>
      </c>
      <c r="BY138" s="54">
        <v>1</v>
      </c>
      <c r="BZ138" s="53" t="s">
        <v>565</v>
      </c>
      <c r="CA138" s="12" t="s">
        <v>634</v>
      </c>
      <c r="CB138" s="60"/>
      <c r="CC138" s="76"/>
      <c r="CD138" s="57"/>
      <c r="CE138" s="59"/>
      <c r="CF138" s="1"/>
      <c r="CG138" s="53" t="s">
        <v>554</v>
      </c>
      <c r="CH138" s="54">
        <v>1</v>
      </c>
      <c r="CI138" s="53" t="s">
        <v>566</v>
      </c>
      <c r="CJ138" s="12" t="s">
        <v>634</v>
      </c>
      <c r="CK138" s="60">
        <f>CH138*39</f>
        <v>39</v>
      </c>
      <c r="CL138" s="76"/>
      <c r="CM138" s="57">
        <v>45376</v>
      </c>
      <c r="CN138" s="59" t="s">
        <v>131</v>
      </c>
      <c r="CP138" s="271" t="s">
        <v>82</v>
      </c>
      <c r="CQ138" s="271"/>
      <c r="CR138" s="271"/>
      <c r="CS138" s="271"/>
      <c r="CT138" s="271"/>
      <c r="CX138" s="92" t="s">
        <v>581</v>
      </c>
      <c r="CY138" s="93" t="s">
        <v>582</v>
      </c>
      <c r="CZ138" s="192"/>
      <c r="DA138" s="193"/>
      <c r="DB138" s="17">
        <v>2</v>
      </c>
      <c r="DC138" s="18">
        <v>3</v>
      </c>
      <c r="DD138" s="18">
        <v>4</v>
      </c>
      <c r="DE138" s="124">
        <f t="shared" si="67"/>
        <v>9</v>
      </c>
      <c r="DF138" s="193"/>
      <c r="DG138" s="17">
        <v>2</v>
      </c>
      <c r="DH138" s="18">
        <v>3</v>
      </c>
      <c r="DI138" s="18">
        <v>4</v>
      </c>
      <c r="DJ138" s="124">
        <f t="shared" si="68"/>
        <v>9</v>
      </c>
      <c r="DK138" s="193"/>
      <c r="DL138" s="17">
        <v>2</v>
      </c>
      <c r="DM138" s="18">
        <v>5</v>
      </c>
      <c r="DN138" s="18">
        <v>4</v>
      </c>
      <c r="DO138" s="124">
        <f t="shared" si="69"/>
        <v>11</v>
      </c>
      <c r="DQ138" s="17">
        <v>2</v>
      </c>
      <c r="DR138" s="18">
        <f t="shared" si="70"/>
        <v>7</v>
      </c>
      <c r="DS138" s="18">
        <v>4</v>
      </c>
      <c r="DT138" s="124">
        <f t="shared" si="71"/>
        <v>13</v>
      </c>
      <c r="DV138" s="17">
        <v>2</v>
      </c>
      <c r="DW138" s="18">
        <f t="shared" si="72"/>
        <v>9</v>
      </c>
      <c r="DX138" s="18">
        <v>4</v>
      </c>
      <c r="DY138" s="124">
        <f t="shared" si="73"/>
        <v>15</v>
      </c>
    </row>
    <row r="139" spans="1:129" x14ac:dyDescent="0.25">
      <c r="A139" s="129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Y139" s="53" t="s">
        <v>554</v>
      </c>
      <c r="Z139" s="54">
        <v>1</v>
      </c>
      <c r="AA139" s="53" t="s">
        <v>567</v>
      </c>
      <c r="AB139" s="12" t="s">
        <v>632</v>
      </c>
      <c r="AC139" s="100"/>
      <c r="AD139" s="101"/>
      <c r="AE139" s="57"/>
      <c r="AF139" s="59" t="s">
        <v>182</v>
      </c>
      <c r="AG139" s="1"/>
      <c r="AH139" s="53" t="s">
        <v>554</v>
      </c>
      <c r="AI139" s="54">
        <v>1</v>
      </c>
      <c r="AJ139" s="53" t="s">
        <v>568</v>
      </c>
      <c r="AK139" s="12" t="s">
        <v>632</v>
      </c>
      <c r="AL139" s="100">
        <f>AI139*74</f>
        <v>74</v>
      </c>
      <c r="AM139" s="101"/>
      <c r="AN139" s="57"/>
      <c r="AO139" s="59" t="s">
        <v>347</v>
      </c>
      <c r="AQ139" s="271"/>
      <c r="AR139" s="271"/>
      <c r="AS139" s="271"/>
      <c r="AT139" s="271"/>
      <c r="AU139" s="271"/>
      <c r="AX139" s="53" t="s">
        <v>554</v>
      </c>
      <c r="AY139" s="54">
        <v>1</v>
      </c>
      <c r="AZ139" s="53" t="s">
        <v>567</v>
      </c>
      <c r="BA139" s="12" t="s">
        <v>633</v>
      </c>
      <c r="BB139" s="100"/>
      <c r="BC139" s="101"/>
      <c r="BD139" s="57"/>
      <c r="BE139" s="59" t="s">
        <v>129</v>
      </c>
      <c r="BF139" s="1"/>
      <c r="BG139" s="53" t="s">
        <v>554</v>
      </c>
      <c r="BH139" s="54">
        <v>1</v>
      </c>
      <c r="BI139" s="53" t="s">
        <v>568</v>
      </c>
      <c r="BJ139" s="12" t="s">
        <v>633</v>
      </c>
      <c r="BK139" s="100"/>
      <c r="BL139" s="101"/>
      <c r="BM139" s="57"/>
      <c r="BN139" s="59"/>
      <c r="BP139" s="271"/>
      <c r="BQ139" s="271"/>
      <c r="BR139" s="271"/>
      <c r="BS139" s="271"/>
      <c r="BT139" s="271"/>
      <c r="BX139" s="53" t="s">
        <v>554</v>
      </c>
      <c r="BY139" s="54">
        <v>1</v>
      </c>
      <c r="BZ139" s="53" t="s">
        <v>567</v>
      </c>
      <c r="CA139" s="12" t="s">
        <v>634</v>
      </c>
      <c r="CB139" s="60"/>
      <c r="CC139" s="102"/>
      <c r="CD139" s="57"/>
      <c r="CE139" s="59" t="s">
        <v>129</v>
      </c>
      <c r="CF139" s="1"/>
      <c r="CG139" s="53" t="s">
        <v>554</v>
      </c>
      <c r="CH139" s="54">
        <v>1</v>
      </c>
      <c r="CI139" s="53" t="s">
        <v>568</v>
      </c>
      <c r="CJ139" s="12" t="s">
        <v>634</v>
      </c>
      <c r="CK139" s="60">
        <f>CH139*60</f>
        <v>60</v>
      </c>
      <c r="CL139" s="102"/>
      <c r="CM139" s="57">
        <v>45376</v>
      </c>
      <c r="CN139" s="59" t="s">
        <v>131</v>
      </c>
      <c r="CP139" s="271"/>
      <c r="CQ139" s="271"/>
      <c r="CR139" s="271"/>
      <c r="CS139" s="271"/>
      <c r="CT139" s="271"/>
      <c r="CX139" s="92" t="s">
        <v>219</v>
      </c>
      <c r="CY139" s="93" t="s">
        <v>220</v>
      </c>
      <c r="CZ139" s="192"/>
      <c r="DA139" s="193"/>
      <c r="DB139" s="17">
        <v>2</v>
      </c>
      <c r="DC139" s="18">
        <v>3</v>
      </c>
      <c r="DD139" s="18">
        <v>4</v>
      </c>
      <c r="DE139" s="124">
        <f t="shared" si="67"/>
        <v>9</v>
      </c>
      <c r="DF139" s="193"/>
      <c r="DG139" s="17">
        <v>2</v>
      </c>
      <c r="DH139" s="18">
        <v>3</v>
      </c>
      <c r="DI139" s="18">
        <v>4</v>
      </c>
      <c r="DJ139" s="124">
        <f t="shared" si="68"/>
        <v>9</v>
      </c>
      <c r="DK139" s="193"/>
      <c r="DL139" s="17">
        <v>2</v>
      </c>
      <c r="DM139" s="18">
        <v>5</v>
      </c>
      <c r="DN139" s="18">
        <v>4</v>
      </c>
      <c r="DO139" s="124">
        <f t="shared" si="69"/>
        <v>11</v>
      </c>
      <c r="DQ139" s="17">
        <v>2</v>
      </c>
      <c r="DR139" s="18">
        <f t="shared" si="70"/>
        <v>7</v>
      </c>
      <c r="DS139" s="18">
        <v>4</v>
      </c>
      <c r="DT139" s="124">
        <f t="shared" si="71"/>
        <v>13</v>
      </c>
      <c r="DV139" s="17">
        <v>2</v>
      </c>
      <c r="DW139" s="18">
        <f t="shared" si="72"/>
        <v>9</v>
      </c>
      <c r="DX139" s="18">
        <v>4</v>
      </c>
      <c r="DY139" s="124">
        <f t="shared" si="73"/>
        <v>15</v>
      </c>
    </row>
    <row r="140" spans="1:129" ht="24" x14ac:dyDescent="0.4">
      <c r="A140" s="259" t="s">
        <v>635</v>
      </c>
      <c r="B140" s="259"/>
      <c r="C140" s="259"/>
      <c r="D140" s="259"/>
      <c r="E140" s="259"/>
      <c r="F140" s="259"/>
      <c r="G140" s="1"/>
      <c r="H140" s="259" t="s">
        <v>635</v>
      </c>
      <c r="I140" s="259"/>
      <c r="J140" s="259"/>
      <c r="K140" s="259"/>
      <c r="L140" s="259"/>
      <c r="M140" s="259"/>
      <c r="N140" s="1"/>
      <c r="O140" s="259" t="s">
        <v>635</v>
      </c>
      <c r="P140" s="259"/>
      <c r="Q140" s="259"/>
      <c r="R140" s="259"/>
      <c r="S140" s="259"/>
      <c r="T140" s="259"/>
      <c r="Y140" s="53" t="s">
        <v>554</v>
      </c>
      <c r="Z140" s="54">
        <v>1</v>
      </c>
      <c r="AA140" s="53" t="s">
        <v>571</v>
      </c>
      <c r="AB140" s="12" t="s">
        <v>632</v>
      </c>
      <c r="AC140" s="100"/>
      <c r="AD140" s="101"/>
      <c r="AE140" s="57"/>
      <c r="AF140" s="59" t="s">
        <v>182</v>
      </c>
      <c r="AG140" s="1"/>
      <c r="AH140" s="53" t="s">
        <v>554</v>
      </c>
      <c r="AI140" s="54">
        <v>1</v>
      </c>
      <c r="AJ140" s="53" t="s">
        <v>572</v>
      </c>
      <c r="AK140" s="12" t="s">
        <v>632</v>
      </c>
      <c r="AL140" s="100">
        <f>AI140*163</f>
        <v>163</v>
      </c>
      <c r="AM140" s="101"/>
      <c r="AN140" s="57"/>
      <c r="AO140" s="59" t="s">
        <v>347</v>
      </c>
      <c r="AQ140" s="271"/>
      <c r="AR140" s="271"/>
      <c r="AS140" s="271"/>
      <c r="AT140" s="271"/>
      <c r="AU140" s="271"/>
      <c r="AX140" s="53" t="s">
        <v>554</v>
      </c>
      <c r="AY140" s="54">
        <v>1</v>
      </c>
      <c r="AZ140" s="53" t="s">
        <v>571</v>
      </c>
      <c r="BA140" s="12" t="s">
        <v>633</v>
      </c>
      <c r="BB140" s="100"/>
      <c r="BC140" s="101"/>
      <c r="BD140" s="57"/>
      <c r="BE140" s="59" t="s">
        <v>129</v>
      </c>
      <c r="BF140" s="1"/>
      <c r="BG140" s="53" t="s">
        <v>554</v>
      </c>
      <c r="BH140" s="54">
        <v>1</v>
      </c>
      <c r="BI140" s="53" t="s">
        <v>572</v>
      </c>
      <c r="BJ140" s="12" t="s">
        <v>633</v>
      </c>
      <c r="BK140" s="100"/>
      <c r="BL140" s="101"/>
      <c r="BM140" s="57"/>
      <c r="BN140" s="59"/>
      <c r="BP140" s="271"/>
      <c r="BQ140" s="271"/>
      <c r="BR140" s="271"/>
      <c r="BS140" s="271"/>
      <c r="BT140" s="271"/>
      <c r="BX140" s="53" t="s">
        <v>554</v>
      </c>
      <c r="BY140" s="54">
        <v>1</v>
      </c>
      <c r="BZ140" s="53" t="s">
        <v>571</v>
      </c>
      <c r="CA140" s="12" t="s">
        <v>634</v>
      </c>
      <c r="CB140" s="100"/>
      <c r="CC140" s="102"/>
      <c r="CD140" s="57"/>
      <c r="CE140" s="59"/>
      <c r="CF140" s="1"/>
      <c r="CG140" s="53" t="s">
        <v>554</v>
      </c>
      <c r="CH140" s="54">
        <v>1</v>
      </c>
      <c r="CI140" s="53" t="s">
        <v>572</v>
      </c>
      <c r="CJ140" s="12" t="s">
        <v>634</v>
      </c>
      <c r="CK140" s="100">
        <f>CH140*99</f>
        <v>99</v>
      </c>
      <c r="CL140" s="102"/>
      <c r="CM140" s="57">
        <v>45376</v>
      </c>
      <c r="CN140" s="59" t="s">
        <v>131</v>
      </c>
      <c r="CP140" s="271"/>
      <c r="CQ140" s="271"/>
      <c r="CR140" s="271"/>
      <c r="CS140" s="271"/>
      <c r="CT140" s="271"/>
      <c r="CX140" s="92" t="s">
        <v>231</v>
      </c>
      <c r="CY140" s="93" t="s">
        <v>232</v>
      </c>
      <c r="CZ140" s="192"/>
      <c r="DA140" s="193"/>
      <c r="DB140" s="17">
        <v>2</v>
      </c>
      <c r="DC140" s="18">
        <v>3</v>
      </c>
      <c r="DD140" s="18">
        <v>4</v>
      </c>
      <c r="DE140" s="124">
        <f t="shared" si="67"/>
        <v>9</v>
      </c>
      <c r="DF140" s="193"/>
      <c r="DG140" s="17">
        <v>2</v>
      </c>
      <c r="DH140" s="18">
        <v>3</v>
      </c>
      <c r="DI140" s="18">
        <v>4</v>
      </c>
      <c r="DJ140" s="124">
        <f t="shared" si="68"/>
        <v>9</v>
      </c>
      <c r="DK140" s="193"/>
      <c r="DL140" s="17">
        <v>2</v>
      </c>
      <c r="DM140" s="18">
        <v>5</v>
      </c>
      <c r="DN140" s="18">
        <v>4</v>
      </c>
      <c r="DO140" s="124">
        <f t="shared" si="69"/>
        <v>11</v>
      </c>
      <c r="DQ140" s="17">
        <v>2</v>
      </c>
      <c r="DR140" s="18">
        <f t="shared" si="70"/>
        <v>7</v>
      </c>
      <c r="DS140" s="18">
        <v>4</v>
      </c>
      <c r="DT140" s="124">
        <f t="shared" si="71"/>
        <v>13</v>
      </c>
      <c r="DV140" s="17">
        <v>2</v>
      </c>
      <c r="DW140" s="18">
        <f t="shared" si="72"/>
        <v>9</v>
      </c>
      <c r="DX140" s="18">
        <v>4</v>
      </c>
      <c r="DY140" s="124">
        <f t="shared" si="73"/>
        <v>15</v>
      </c>
    </row>
    <row r="141" spans="1:129" x14ac:dyDescent="0.25">
      <c r="A141" s="11" t="s">
        <v>116</v>
      </c>
      <c r="B141" s="12">
        <v>1</v>
      </c>
      <c r="C141" s="52" t="s">
        <v>117</v>
      </c>
      <c r="D141" s="12" t="s">
        <v>410</v>
      </c>
      <c r="E141" s="14"/>
      <c r="F141" s="15"/>
      <c r="G141" s="1"/>
      <c r="H141" s="11" t="s">
        <v>116</v>
      </c>
      <c r="I141" s="12">
        <v>1</v>
      </c>
      <c r="J141" s="52" t="s">
        <v>117</v>
      </c>
      <c r="K141" s="12" t="s">
        <v>119</v>
      </c>
      <c r="L141" s="14"/>
      <c r="M141" s="15"/>
      <c r="N141" s="1"/>
      <c r="O141" s="11" t="s">
        <v>116</v>
      </c>
      <c r="P141" s="12">
        <v>1</v>
      </c>
      <c r="Q141" s="52" t="s">
        <v>117</v>
      </c>
      <c r="R141" s="12" t="s">
        <v>120</v>
      </c>
      <c r="S141" s="14"/>
      <c r="T141" s="15"/>
      <c r="Y141" s="53" t="s">
        <v>554</v>
      </c>
      <c r="Z141" s="54">
        <v>1</v>
      </c>
      <c r="AA141" s="53" t="s">
        <v>575</v>
      </c>
      <c r="AB141" s="12" t="s">
        <v>632</v>
      </c>
      <c r="AC141" s="100"/>
      <c r="AD141" s="101"/>
      <c r="AE141" s="57"/>
      <c r="AF141" s="59" t="s">
        <v>182</v>
      </c>
      <c r="AG141" s="1"/>
      <c r="AH141" s="53" t="s">
        <v>554</v>
      </c>
      <c r="AI141" s="54">
        <v>1</v>
      </c>
      <c r="AJ141" s="53" t="s">
        <v>576</v>
      </c>
      <c r="AK141" s="12" t="s">
        <v>632</v>
      </c>
      <c r="AL141" s="100"/>
      <c r="AM141" s="101"/>
      <c r="AN141" s="57"/>
      <c r="AO141" s="59" t="s">
        <v>347</v>
      </c>
      <c r="AQ141" s="271"/>
      <c r="AR141" s="271"/>
      <c r="AS141" s="271"/>
      <c r="AT141" s="271"/>
      <c r="AU141" s="271"/>
      <c r="AX141" s="53" t="s">
        <v>554</v>
      </c>
      <c r="AY141" s="54">
        <v>1</v>
      </c>
      <c r="AZ141" s="53" t="s">
        <v>575</v>
      </c>
      <c r="BA141" s="12" t="s">
        <v>633</v>
      </c>
      <c r="BB141" s="100"/>
      <c r="BC141" s="101"/>
      <c r="BD141" s="57"/>
      <c r="BE141" s="59"/>
      <c r="BF141" s="1"/>
      <c r="BG141" s="53" t="s">
        <v>554</v>
      </c>
      <c r="BH141" s="54">
        <v>1</v>
      </c>
      <c r="BI141" s="53" t="s">
        <v>576</v>
      </c>
      <c r="BJ141" s="12" t="s">
        <v>633</v>
      </c>
      <c r="BK141" s="100"/>
      <c r="BL141" s="101"/>
      <c r="BM141" s="57"/>
      <c r="BN141" s="59"/>
      <c r="BP141" s="271"/>
      <c r="BQ141" s="271"/>
      <c r="BR141" s="271"/>
      <c r="BS141" s="271"/>
      <c r="BT141" s="271"/>
      <c r="BX141" s="53" t="s">
        <v>554</v>
      </c>
      <c r="BY141" s="54">
        <v>1</v>
      </c>
      <c r="BZ141" s="53" t="s">
        <v>575</v>
      </c>
      <c r="CA141" s="12" t="s">
        <v>634</v>
      </c>
      <c r="CB141" s="100"/>
      <c r="CC141" s="102"/>
      <c r="CD141" s="57"/>
      <c r="CE141" s="59" t="s">
        <v>129</v>
      </c>
      <c r="CF141" s="1"/>
      <c r="CG141" s="53" t="s">
        <v>554</v>
      </c>
      <c r="CH141" s="54">
        <v>1</v>
      </c>
      <c r="CI141" s="53" t="s">
        <v>576</v>
      </c>
      <c r="CJ141" s="12" t="s">
        <v>634</v>
      </c>
      <c r="CK141" s="100">
        <f>CH141*154</f>
        <v>154</v>
      </c>
      <c r="CL141" s="102"/>
      <c r="CM141" s="57">
        <v>45376</v>
      </c>
      <c r="CN141" s="59" t="s">
        <v>131</v>
      </c>
      <c r="CP141" s="271"/>
      <c r="CQ141" s="271"/>
      <c r="CR141" s="271"/>
      <c r="CS141" s="271"/>
      <c r="CT141" s="271"/>
      <c r="CX141" s="92" t="s">
        <v>242</v>
      </c>
      <c r="CY141" s="93" t="s">
        <v>243</v>
      </c>
      <c r="CZ141" s="192"/>
      <c r="DA141" s="193"/>
      <c r="DB141" s="17">
        <v>2</v>
      </c>
      <c r="DC141" s="18">
        <v>3</v>
      </c>
      <c r="DD141" s="18">
        <v>4</v>
      </c>
      <c r="DE141" s="124">
        <f t="shared" si="67"/>
        <v>9</v>
      </c>
      <c r="DF141" s="193"/>
      <c r="DG141" s="17">
        <v>2</v>
      </c>
      <c r="DH141" s="18">
        <v>3</v>
      </c>
      <c r="DI141" s="18">
        <v>4</v>
      </c>
      <c r="DJ141" s="124">
        <f t="shared" si="68"/>
        <v>9</v>
      </c>
      <c r="DK141" s="193"/>
      <c r="DL141" s="17">
        <v>2</v>
      </c>
      <c r="DM141" s="18">
        <v>5</v>
      </c>
      <c r="DN141" s="18">
        <v>4</v>
      </c>
      <c r="DO141" s="124">
        <f t="shared" si="69"/>
        <v>11</v>
      </c>
      <c r="DQ141" s="17">
        <v>2</v>
      </c>
      <c r="DR141" s="18">
        <f t="shared" si="70"/>
        <v>7</v>
      </c>
      <c r="DS141" s="18">
        <v>4</v>
      </c>
      <c r="DT141" s="124">
        <f t="shared" si="71"/>
        <v>13</v>
      </c>
      <c r="DV141" s="17">
        <v>2</v>
      </c>
      <c r="DW141" s="18">
        <f t="shared" si="72"/>
        <v>9</v>
      </c>
      <c r="DX141" s="18">
        <v>4</v>
      </c>
      <c r="DY141" s="124">
        <f t="shared" si="73"/>
        <v>15</v>
      </c>
    </row>
    <row r="142" spans="1:129" x14ac:dyDescent="0.25">
      <c r="A142" s="11"/>
      <c r="B142" s="12">
        <v>1</v>
      </c>
      <c r="C142" s="52" t="s">
        <v>117</v>
      </c>
      <c r="D142" s="12" t="s">
        <v>410</v>
      </c>
      <c r="E142" s="14"/>
      <c r="F142" s="15"/>
      <c r="G142" s="1"/>
      <c r="H142" s="11"/>
      <c r="I142" s="12">
        <v>1</v>
      </c>
      <c r="J142" s="52" t="s">
        <v>117</v>
      </c>
      <c r="K142" s="12" t="s">
        <v>119</v>
      </c>
      <c r="L142" s="14"/>
      <c r="M142" s="15"/>
      <c r="N142" s="1"/>
      <c r="O142" s="11"/>
      <c r="P142" s="12">
        <v>1</v>
      </c>
      <c r="Q142" s="52" t="s">
        <v>117</v>
      </c>
      <c r="R142" s="12" t="s">
        <v>120</v>
      </c>
      <c r="S142" s="14"/>
      <c r="T142" s="15"/>
      <c r="Y142" s="53" t="s">
        <v>554</v>
      </c>
      <c r="Z142" s="54">
        <v>1</v>
      </c>
      <c r="AA142" s="53" t="s">
        <v>579</v>
      </c>
      <c r="AB142" s="12" t="s">
        <v>632</v>
      </c>
      <c r="AC142" s="114"/>
      <c r="AD142" s="61"/>
      <c r="AE142" s="57"/>
      <c r="AF142" s="59"/>
      <c r="AG142" s="1"/>
      <c r="AH142" s="53" t="s">
        <v>554</v>
      </c>
      <c r="AI142" s="54">
        <v>1</v>
      </c>
      <c r="AJ142" s="53" t="s">
        <v>580</v>
      </c>
      <c r="AK142" s="12" t="s">
        <v>632</v>
      </c>
      <c r="AL142" s="60"/>
      <c r="AM142" s="61"/>
      <c r="AN142" s="57"/>
      <c r="AO142" s="59"/>
      <c r="AQ142" s="271"/>
      <c r="AR142" s="271"/>
      <c r="AS142" s="271"/>
      <c r="AT142" s="271"/>
      <c r="AU142" s="271"/>
      <c r="AX142" s="53" t="s">
        <v>554</v>
      </c>
      <c r="AY142" s="54">
        <v>1</v>
      </c>
      <c r="AZ142" s="53" t="s">
        <v>579</v>
      </c>
      <c r="BA142" s="12" t="s">
        <v>633</v>
      </c>
      <c r="BB142" s="114"/>
      <c r="BC142" s="61"/>
      <c r="BD142" s="57"/>
      <c r="BE142" s="59"/>
      <c r="BF142" s="1"/>
      <c r="BG142" s="53" t="s">
        <v>554</v>
      </c>
      <c r="BH142" s="54">
        <v>1</v>
      </c>
      <c r="BI142" s="53" t="s">
        <v>580</v>
      </c>
      <c r="BJ142" s="12" t="s">
        <v>633</v>
      </c>
      <c r="BK142" s="60"/>
      <c r="BL142" s="61"/>
      <c r="BM142" s="57"/>
      <c r="BN142" s="59"/>
      <c r="BP142" s="271"/>
      <c r="BQ142" s="271"/>
      <c r="BR142" s="271"/>
      <c r="BS142" s="271"/>
      <c r="BT142" s="271"/>
      <c r="BX142" s="53" t="s">
        <v>554</v>
      </c>
      <c r="BY142" s="54">
        <v>1</v>
      </c>
      <c r="BZ142" s="53" t="s">
        <v>579</v>
      </c>
      <c r="CA142" s="12" t="s">
        <v>634</v>
      </c>
      <c r="CB142" s="114"/>
      <c r="CC142" s="76"/>
      <c r="CD142" s="57"/>
      <c r="CE142" s="59"/>
      <c r="CF142" s="1"/>
      <c r="CG142" s="53" t="s">
        <v>554</v>
      </c>
      <c r="CH142" s="54">
        <v>1</v>
      </c>
      <c r="CI142" s="53" t="s">
        <v>580</v>
      </c>
      <c r="CJ142" s="12" t="s">
        <v>634</v>
      </c>
      <c r="CK142" s="100"/>
      <c r="CL142" s="102"/>
      <c r="CM142" s="57"/>
      <c r="CN142" s="59"/>
      <c r="CP142" s="271"/>
      <c r="CQ142" s="271"/>
      <c r="CR142" s="271"/>
      <c r="CS142" s="271"/>
      <c r="CT142" s="271"/>
      <c r="CX142" s="92" t="s">
        <v>252</v>
      </c>
      <c r="CY142" s="93" t="s">
        <v>253</v>
      </c>
      <c r="CZ142" s="192"/>
      <c r="DA142" s="193"/>
      <c r="DB142" s="17">
        <v>2</v>
      </c>
      <c r="DC142" s="18">
        <v>3</v>
      </c>
      <c r="DD142" s="18">
        <v>4</v>
      </c>
      <c r="DE142" s="124">
        <f t="shared" si="67"/>
        <v>9</v>
      </c>
      <c r="DF142" s="193"/>
      <c r="DG142" s="17">
        <v>2</v>
      </c>
      <c r="DH142" s="18">
        <v>3</v>
      </c>
      <c r="DI142" s="18">
        <v>4</v>
      </c>
      <c r="DJ142" s="124">
        <f t="shared" si="68"/>
        <v>9</v>
      </c>
      <c r="DK142" s="193"/>
      <c r="DL142" s="17">
        <v>2</v>
      </c>
      <c r="DM142" s="18">
        <v>5</v>
      </c>
      <c r="DN142" s="18">
        <v>4</v>
      </c>
      <c r="DO142" s="124">
        <f t="shared" si="69"/>
        <v>11</v>
      </c>
      <c r="DQ142" s="17">
        <v>2</v>
      </c>
      <c r="DR142" s="18">
        <f t="shared" si="70"/>
        <v>7</v>
      </c>
      <c r="DS142" s="18">
        <v>4</v>
      </c>
      <c r="DT142" s="124">
        <f t="shared" si="71"/>
        <v>13</v>
      </c>
      <c r="DV142" s="17">
        <v>2</v>
      </c>
      <c r="DW142" s="18">
        <f t="shared" si="72"/>
        <v>9</v>
      </c>
      <c r="DX142" s="18">
        <v>4</v>
      </c>
      <c r="DY142" s="124">
        <f t="shared" si="73"/>
        <v>15</v>
      </c>
    </row>
    <row r="143" spans="1:129" x14ac:dyDescent="0.25">
      <c r="A143" s="11"/>
      <c r="B143" s="12">
        <v>1</v>
      </c>
      <c r="C143" s="52" t="s">
        <v>117</v>
      </c>
      <c r="D143" s="12" t="s">
        <v>410</v>
      </c>
      <c r="E143" s="14"/>
      <c r="F143" s="15"/>
      <c r="G143" s="1"/>
      <c r="H143" s="11"/>
      <c r="I143" s="12">
        <v>1</v>
      </c>
      <c r="J143" s="52" t="s">
        <v>117</v>
      </c>
      <c r="K143" s="12" t="s">
        <v>119</v>
      </c>
      <c r="L143" s="14"/>
      <c r="M143" s="15"/>
      <c r="N143" s="1"/>
      <c r="O143" s="11"/>
      <c r="P143" s="12">
        <v>1</v>
      </c>
      <c r="Q143" s="52" t="s">
        <v>117</v>
      </c>
      <c r="R143" s="12" t="s">
        <v>120</v>
      </c>
      <c r="S143" s="14"/>
      <c r="T143" s="15"/>
      <c r="Y143" s="53" t="s">
        <v>554</v>
      </c>
      <c r="Z143" s="54">
        <v>1</v>
      </c>
      <c r="AA143" s="53" t="s">
        <v>584</v>
      </c>
      <c r="AB143" s="12" t="s">
        <v>632</v>
      </c>
      <c r="AC143" s="60"/>
      <c r="AD143" s="61"/>
      <c r="AE143" s="57"/>
      <c r="AF143" s="59" t="s">
        <v>347</v>
      </c>
      <c r="AG143" s="1"/>
      <c r="AH143" s="53" t="s">
        <v>554</v>
      </c>
      <c r="AI143" s="54">
        <v>1</v>
      </c>
      <c r="AJ143" s="53" t="s">
        <v>585</v>
      </c>
      <c r="AK143" s="12" t="s">
        <v>632</v>
      </c>
      <c r="AL143" s="118"/>
      <c r="AM143" s="61"/>
      <c r="AN143" s="57"/>
      <c r="AO143" s="59" t="s">
        <v>347</v>
      </c>
      <c r="AX143" s="53" t="s">
        <v>554</v>
      </c>
      <c r="AY143" s="54">
        <v>1</v>
      </c>
      <c r="AZ143" s="53" t="s">
        <v>584</v>
      </c>
      <c r="BA143" s="12" t="s">
        <v>633</v>
      </c>
      <c r="BB143" s="60"/>
      <c r="BC143" s="61"/>
      <c r="BD143" s="57"/>
      <c r="BE143" s="59"/>
      <c r="BF143" s="1"/>
      <c r="BG143" s="53" t="s">
        <v>554</v>
      </c>
      <c r="BH143" s="54">
        <v>1</v>
      </c>
      <c r="BI143" s="53" t="s">
        <v>585</v>
      </c>
      <c r="BJ143" s="12" t="s">
        <v>633</v>
      </c>
      <c r="BK143" s="118">
        <f>BH143*147</f>
        <v>147</v>
      </c>
      <c r="BL143" s="61"/>
      <c r="BM143" s="57">
        <v>45376</v>
      </c>
      <c r="BN143" s="59" t="s">
        <v>636</v>
      </c>
      <c r="BX143" s="53" t="s">
        <v>554</v>
      </c>
      <c r="BY143" s="54">
        <v>1</v>
      </c>
      <c r="BZ143" s="53" t="s">
        <v>584</v>
      </c>
      <c r="CA143" s="12" t="s">
        <v>634</v>
      </c>
      <c r="CB143" s="118"/>
      <c r="CC143" s="76"/>
      <c r="CD143" s="57"/>
      <c r="CE143" s="59" t="s">
        <v>129</v>
      </c>
      <c r="CF143" s="1"/>
      <c r="CG143" s="53" t="s">
        <v>554</v>
      </c>
      <c r="CH143" s="54">
        <v>1</v>
      </c>
      <c r="CI143" s="53" t="s">
        <v>585</v>
      </c>
      <c r="CJ143" s="12" t="s">
        <v>634</v>
      </c>
      <c r="CK143" s="100">
        <f>CH143*278</f>
        <v>278</v>
      </c>
      <c r="CL143" s="102"/>
      <c r="CM143" s="57">
        <v>45376</v>
      </c>
      <c r="CN143" s="59" t="s">
        <v>131</v>
      </c>
      <c r="CX143" s="92" t="s">
        <v>259</v>
      </c>
      <c r="CY143" s="93" t="s">
        <v>260</v>
      </c>
      <c r="CZ143" s="192"/>
      <c r="DA143" s="193"/>
      <c r="DB143" s="17">
        <v>3</v>
      </c>
      <c r="DC143" s="18">
        <v>3</v>
      </c>
      <c r="DD143" s="18">
        <v>4</v>
      </c>
      <c r="DE143" s="124">
        <f t="shared" si="67"/>
        <v>10</v>
      </c>
      <c r="DF143" s="193"/>
      <c r="DG143" s="17">
        <v>3</v>
      </c>
      <c r="DH143" s="18">
        <v>3</v>
      </c>
      <c r="DI143" s="18">
        <v>4</v>
      </c>
      <c r="DJ143" s="124">
        <f t="shared" si="68"/>
        <v>10</v>
      </c>
      <c r="DK143" s="193"/>
      <c r="DL143" s="17">
        <v>3</v>
      </c>
      <c r="DM143" s="18">
        <v>5</v>
      </c>
      <c r="DN143" s="18">
        <v>4</v>
      </c>
      <c r="DO143" s="124">
        <f t="shared" si="69"/>
        <v>12</v>
      </c>
      <c r="DQ143" s="17">
        <v>3</v>
      </c>
      <c r="DR143" s="18">
        <f t="shared" si="70"/>
        <v>7</v>
      </c>
      <c r="DS143" s="18">
        <v>4</v>
      </c>
      <c r="DT143" s="124">
        <f t="shared" si="71"/>
        <v>14</v>
      </c>
      <c r="DV143" s="17">
        <v>3</v>
      </c>
      <c r="DW143" s="18">
        <f t="shared" si="72"/>
        <v>9</v>
      </c>
      <c r="DX143" s="18">
        <v>4</v>
      </c>
      <c r="DY143" s="124">
        <f t="shared" si="73"/>
        <v>16</v>
      </c>
    </row>
    <row r="144" spans="1:129" x14ac:dyDescent="0.25">
      <c r="A144" s="11"/>
      <c r="B144" s="12">
        <v>1</v>
      </c>
      <c r="C144" s="52" t="s">
        <v>117</v>
      </c>
      <c r="D144" s="12" t="s">
        <v>410</v>
      </c>
      <c r="E144" s="14"/>
      <c r="F144" s="15"/>
      <c r="G144" s="1"/>
      <c r="H144" s="11"/>
      <c r="I144" s="12">
        <v>1</v>
      </c>
      <c r="J144" s="52" t="s">
        <v>117</v>
      </c>
      <c r="K144" s="12" t="s">
        <v>119</v>
      </c>
      <c r="L144" s="14"/>
      <c r="M144" s="15"/>
      <c r="N144" s="1"/>
      <c r="O144" s="11"/>
      <c r="P144" s="12">
        <v>1</v>
      </c>
      <c r="Q144" s="52" t="s">
        <v>117</v>
      </c>
      <c r="R144" s="12" t="s">
        <v>120</v>
      </c>
      <c r="S144" s="14"/>
      <c r="T144" s="15"/>
      <c r="Y144" s="53" t="s">
        <v>554</v>
      </c>
      <c r="Z144" s="54">
        <v>1</v>
      </c>
      <c r="AA144" s="53" t="s">
        <v>587</v>
      </c>
      <c r="AB144" s="12" t="s">
        <v>632</v>
      </c>
      <c r="AC144" s="60"/>
      <c r="AD144" s="61"/>
      <c r="AE144" s="57"/>
      <c r="AF144" s="59" t="s">
        <v>182</v>
      </c>
      <c r="AG144" s="1"/>
      <c r="AH144" s="53" t="s">
        <v>554</v>
      </c>
      <c r="AI144" s="54">
        <v>1</v>
      </c>
      <c r="AJ144" s="53" t="s">
        <v>588</v>
      </c>
      <c r="AK144" s="12" t="s">
        <v>632</v>
      </c>
      <c r="AL144" s="60"/>
      <c r="AM144" s="61"/>
      <c r="AN144" s="57"/>
      <c r="AO144" s="59" t="s">
        <v>347</v>
      </c>
      <c r="AX144" s="53" t="s">
        <v>554</v>
      </c>
      <c r="AY144" s="54">
        <v>1</v>
      </c>
      <c r="AZ144" s="53" t="s">
        <v>587</v>
      </c>
      <c r="BA144" s="12" t="s">
        <v>633</v>
      </c>
      <c r="BB144" s="60"/>
      <c r="BC144" s="61"/>
      <c r="BD144" s="57"/>
      <c r="BE144" s="59"/>
      <c r="BF144" s="1"/>
      <c r="BG144" s="53" t="s">
        <v>554</v>
      </c>
      <c r="BH144" s="54">
        <v>1</v>
      </c>
      <c r="BI144" s="53" t="s">
        <v>588</v>
      </c>
      <c r="BJ144" s="12" t="s">
        <v>633</v>
      </c>
      <c r="BK144" s="60">
        <f>BH144*314</f>
        <v>314</v>
      </c>
      <c r="BL144" s="61"/>
      <c r="BM144" s="57">
        <v>45376</v>
      </c>
      <c r="BN144" s="59" t="s">
        <v>636</v>
      </c>
      <c r="BX144" s="53" t="s">
        <v>554</v>
      </c>
      <c r="BY144" s="54">
        <v>1</v>
      </c>
      <c r="BZ144" s="53" t="s">
        <v>587</v>
      </c>
      <c r="CA144" s="12" t="s">
        <v>634</v>
      </c>
      <c r="CB144" s="118"/>
      <c r="CC144" s="76"/>
      <c r="CD144" s="57"/>
      <c r="CE144" s="59" t="s">
        <v>129</v>
      </c>
      <c r="CF144" s="1"/>
      <c r="CG144" s="53" t="s">
        <v>554</v>
      </c>
      <c r="CH144" s="54">
        <v>1</v>
      </c>
      <c r="CI144" s="53" t="s">
        <v>588</v>
      </c>
      <c r="CJ144" s="12" t="s">
        <v>634</v>
      </c>
      <c r="CK144" s="60">
        <f>CH144*418</f>
        <v>418</v>
      </c>
      <c r="CL144" s="76"/>
      <c r="CM144" s="57">
        <v>45376</v>
      </c>
      <c r="CN144" s="59"/>
      <c r="CX144" s="92" t="s">
        <v>270</v>
      </c>
      <c r="CY144" s="93" t="s">
        <v>271</v>
      </c>
      <c r="CZ144" s="192"/>
      <c r="DA144" s="193"/>
      <c r="DB144" s="17">
        <v>3</v>
      </c>
      <c r="DC144" s="18">
        <v>3</v>
      </c>
      <c r="DD144" s="18">
        <v>4</v>
      </c>
      <c r="DE144" s="124">
        <f t="shared" si="67"/>
        <v>10</v>
      </c>
      <c r="DF144" s="193"/>
      <c r="DG144" s="17">
        <v>3</v>
      </c>
      <c r="DH144" s="18">
        <v>3</v>
      </c>
      <c r="DI144" s="18">
        <v>4</v>
      </c>
      <c r="DJ144" s="124">
        <f t="shared" si="68"/>
        <v>10</v>
      </c>
      <c r="DK144" s="193"/>
      <c r="DL144" s="17">
        <v>3</v>
      </c>
      <c r="DM144" s="18">
        <v>5</v>
      </c>
      <c r="DN144" s="18">
        <v>4</v>
      </c>
      <c r="DO144" s="124">
        <f t="shared" si="69"/>
        <v>12</v>
      </c>
      <c r="DQ144" s="17">
        <v>3</v>
      </c>
      <c r="DR144" s="18">
        <f t="shared" si="70"/>
        <v>7</v>
      </c>
      <c r="DS144" s="18">
        <v>4</v>
      </c>
      <c r="DT144" s="124">
        <f t="shared" si="71"/>
        <v>14</v>
      </c>
      <c r="DV144" s="17">
        <v>3</v>
      </c>
      <c r="DW144" s="18">
        <f t="shared" si="72"/>
        <v>9</v>
      </c>
      <c r="DX144" s="18">
        <v>4</v>
      </c>
      <c r="DY144" s="124">
        <f t="shared" si="73"/>
        <v>16</v>
      </c>
    </row>
    <row r="145" spans="1:129" x14ac:dyDescent="0.25">
      <c r="A145" s="11"/>
      <c r="B145" s="12"/>
      <c r="C145" s="52" t="s">
        <v>637</v>
      </c>
      <c r="D145" s="12"/>
      <c r="E145" s="14"/>
      <c r="F145" s="15"/>
      <c r="G145" s="1"/>
      <c r="H145" s="11"/>
      <c r="I145" s="12"/>
      <c r="J145" s="52" t="s">
        <v>637</v>
      </c>
      <c r="K145" s="12"/>
      <c r="L145" s="14"/>
      <c r="M145" s="15"/>
      <c r="N145" s="1"/>
      <c r="O145" s="11"/>
      <c r="P145" s="12"/>
      <c r="Q145" s="52" t="s">
        <v>637</v>
      </c>
      <c r="R145" s="12"/>
      <c r="S145" s="14"/>
      <c r="T145" s="15"/>
      <c r="Y145" s="53" t="s">
        <v>554</v>
      </c>
      <c r="Z145" s="54">
        <v>1</v>
      </c>
      <c r="AA145" s="53" t="s">
        <v>590</v>
      </c>
      <c r="AB145" s="12" t="s">
        <v>632</v>
      </c>
      <c r="AC145" s="118"/>
      <c r="AD145" s="61"/>
      <c r="AE145" s="57"/>
      <c r="AF145" s="59" t="s">
        <v>182</v>
      </c>
      <c r="AG145" s="1"/>
      <c r="AH145" s="53" t="s">
        <v>554</v>
      </c>
      <c r="AI145" s="54">
        <v>1</v>
      </c>
      <c r="AJ145" s="53" t="s">
        <v>591</v>
      </c>
      <c r="AK145" s="12" t="s">
        <v>632</v>
      </c>
      <c r="AL145" s="118"/>
      <c r="AM145" s="61"/>
      <c r="AN145" s="57"/>
      <c r="AO145" s="59"/>
      <c r="AX145" s="53" t="s">
        <v>554</v>
      </c>
      <c r="AY145" s="54">
        <v>1</v>
      </c>
      <c r="AZ145" s="53" t="s">
        <v>590</v>
      </c>
      <c r="BA145" s="12" t="s">
        <v>633</v>
      </c>
      <c r="BB145" s="118"/>
      <c r="BC145" s="61"/>
      <c r="BD145" s="57"/>
      <c r="BE145" s="59"/>
      <c r="BF145" s="1"/>
      <c r="BG145" s="53" t="s">
        <v>554</v>
      </c>
      <c r="BH145" s="54">
        <v>1</v>
      </c>
      <c r="BI145" s="53" t="s">
        <v>591</v>
      </c>
      <c r="BJ145" s="12" t="s">
        <v>633</v>
      </c>
      <c r="BK145" s="118">
        <f>BH145*404</f>
        <v>404</v>
      </c>
      <c r="BL145" s="61"/>
      <c r="BM145" s="57">
        <v>45376</v>
      </c>
      <c r="BN145" s="59" t="s">
        <v>636</v>
      </c>
      <c r="BX145" s="53" t="s">
        <v>554</v>
      </c>
      <c r="BY145" s="54">
        <v>1</v>
      </c>
      <c r="BZ145" s="53" t="s">
        <v>590</v>
      </c>
      <c r="CA145" s="12" t="s">
        <v>634</v>
      </c>
      <c r="CB145" s="118"/>
      <c r="CC145" s="76"/>
      <c r="CD145" s="57"/>
      <c r="CE145" s="59"/>
      <c r="CF145" s="1"/>
      <c r="CG145" s="53" t="s">
        <v>554</v>
      </c>
      <c r="CH145" s="54">
        <v>1</v>
      </c>
      <c r="CI145" s="53" t="s">
        <v>591</v>
      </c>
      <c r="CJ145" s="12" t="s">
        <v>634</v>
      </c>
      <c r="CK145" s="118"/>
      <c r="CL145" s="76"/>
      <c r="CM145" s="57"/>
      <c r="CN145" s="59"/>
      <c r="CX145" s="92" t="s">
        <v>283</v>
      </c>
      <c r="CY145" s="93" t="s">
        <v>284</v>
      </c>
      <c r="CZ145" s="192"/>
      <c r="DA145" s="193"/>
      <c r="DB145" s="17">
        <v>3</v>
      </c>
      <c r="DC145" s="18">
        <v>3</v>
      </c>
      <c r="DD145" s="18">
        <v>4</v>
      </c>
      <c r="DE145" s="124">
        <f t="shared" si="67"/>
        <v>10</v>
      </c>
      <c r="DF145" s="193"/>
      <c r="DG145" s="17">
        <v>3</v>
      </c>
      <c r="DH145" s="18">
        <v>3</v>
      </c>
      <c r="DI145" s="18">
        <v>4</v>
      </c>
      <c r="DJ145" s="124">
        <f t="shared" si="68"/>
        <v>10</v>
      </c>
      <c r="DK145" s="193"/>
      <c r="DL145" s="17">
        <v>3</v>
      </c>
      <c r="DM145" s="18">
        <v>5</v>
      </c>
      <c r="DN145" s="18">
        <v>4</v>
      </c>
      <c r="DO145" s="124">
        <f t="shared" si="69"/>
        <v>12</v>
      </c>
      <c r="DQ145" s="17">
        <v>3</v>
      </c>
      <c r="DR145" s="18">
        <f t="shared" si="70"/>
        <v>7</v>
      </c>
      <c r="DS145" s="18">
        <v>4</v>
      </c>
      <c r="DT145" s="124">
        <f t="shared" si="71"/>
        <v>14</v>
      </c>
      <c r="DV145" s="17">
        <v>3</v>
      </c>
      <c r="DW145" s="18">
        <f t="shared" si="72"/>
        <v>9</v>
      </c>
      <c r="DX145" s="18">
        <v>4</v>
      </c>
      <c r="DY145" s="124">
        <f t="shared" si="73"/>
        <v>16</v>
      </c>
    </row>
    <row r="146" spans="1:129" x14ac:dyDescent="0.25">
      <c r="A146" s="11" t="s">
        <v>143</v>
      </c>
      <c r="B146" s="12">
        <v>1</v>
      </c>
      <c r="C146" s="52" t="s">
        <v>638</v>
      </c>
      <c r="D146" s="12" t="s">
        <v>118</v>
      </c>
      <c r="E146" s="14"/>
      <c r="F146" s="15"/>
      <c r="G146" s="1"/>
      <c r="H146" s="11" t="s">
        <v>143</v>
      </c>
      <c r="I146" s="12">
        <v>1</v>
      </c>
      <c r="J146" s="52" t="s">
        <v>638</v>
      </c>
      <c r="K146" s="12" t="s">
        <v>119</v>
      </c>
      <c r="L146" s="14"/>
      <c r="M146" s="15"/>
      <c r="N146" s="1"/>
      <c r="O146" s="11" t="s">
        <v>143</v>
      </c>
      <c r="P146" s="12">
        <v>1</v>
      </c>
      <c r="Q146" s="52" t="s">
        <v>638</v>
      </c>
      <c r="R146" s="12" t="s">
        <v>120</v>
      </c>
      <c r="S146" s="14"/>
      <c r="T146" s="15"/>
      <c r="Y146" s="53" t="s">
        <v>554</v>
      </c>
      <c r="Z146" s="54">
        <v>1</v>
      </c>
      <c r="AA146" s="53" t="s">
        <v>592</v>
      </c>
      <c r="AB146" s="12" t="s">
        <v>632</v>
      </c>
      <c r="AC146" s="118"/>
      <c r="AD146" s="61"/>
      <c r="AE146" s="57"/>
      <c r="AF146" s="59"/>
      <c r="AG146" s="1"/>
      <c r="AH146" s="53" t="s">
        <v>554</v>
      </c>
      <c r="AI146" s="54">
        <v>1</v>
      </c>
      <c r="AJ146" s="53" t="s">
        <v>593</v>
      </c>
      <c r="AK146" s="12" t="s">
        <v>632</v>
      </c>
      <c r="AL146" s="118"/>
      <c r="AM146" s="61"/>
      <c r="AN146" s="57"/>
      <c r="AO146" s="59"/>
      <c r="AX146" s="53" t="s">
        <v>554</v>
      </c>
      <c r="AY146" s="54">
        <v>1</v>
      </c>
      <c r="AZ146" s="53" t="s">
        <v>592</v>
      </c>
      <c r="BA146" s="12" t="s">
        <v>633</v>
      </c>
      <c r="BB146" s="118"/>
      <c r="BC146" s="61"/>
      <c r="BD146" s="57"/>
      <c r="BE146" s="59"/>
      <c r="BF146" s="1"/>
      <c r="BG146" s="53" t="s">
        <v>554</v>
      </c>
      <c r="BH146" s="54">
        <v>1</v>
      </c>
      <c r="BI146" s="53" t="s">
        <v>593</v>
      </c>
      <c r="BJ146" s="12" t="s">
        <v>633</v>
      </c>
      <c r="BK146" s="118"/>
      <c r="BL146" s="61"/>
      <c r="BM146" s="57"/>
      <c r="BN146" s="59"/>
      <c r="BX146" s="53" t="s">
        <v>554</v>
      </c>
      <c r="BY146" s="54">
        <v>1</v>
      </c>
      <c r="BZ146" s="53" t="s">
        <v>592</v>
      </c>
      <c r="CA146" s="12" t="s">
        <v>634</v>
      </c>
      <c r="CB146" s="118"/>
      <c r="CC146" s="76"/>
      <c r="CD146" s="57"/>
      <c r="CE146" s="59" t="s">
        <v>129</v>
      </c>
      <c r="CF146" s="1"/>
      <c r="CG146" s="53" t="s">
        <v>554</v>
      </c>
      <c r="CH146" s="54">
        <v>1</v>
      </c>
      <c r="CI146" s="53" t="s">
        <v>593</v>
      </c>
      <c r="CJ146" s="12" t="s">
        <v>634</v>
      </c>
      <c r="CK146" s="118"/>
      <c r="CL146" s="76"/>
      <c r="CM146" s="57"/>
      <c r="CN146" s="59"/>
      <c r="CX146" s="92" t="s">
        <v>296</v>
      </c>
      <c r="CY146" s="93" t="s">
        <v>297</v>
      </c>
      <c r="CZ146" s="192"/>
      <c r="DA146" s="193"/>
      <c r="DB146" s="17">
        <v>3</v>
      </c>
      <c r="DC146" s="18">
        <v>4</v>
      </c>
      <c r="DD146" s="18">
        <v>5</v>
      </c>
      <c r="DE146" s="124">
        <f t="shared" si="67"/>
        <v>12</v>
      </c>
      <c r="DF146" s="193"/>
      <c r="DG146" s="17">
        <v>3</v>
      </c>
      <c r="DH146" s="18">
        <v>4</v>
      </c>
      <c r="DI146" s="18">
        <v>5</v>
      </c>
      <c r="DJ146" s="124">
        <f t="shared" si="68"/>
        <v>12</v>
      </c>
      <c r="DK146" s="193"/>
      <c r="DL146" s="17">
        <v>3</v>
      </c>
      <c r="DM146" s="18">
        <v>7</v>
      </c>
      <c r="DN146" s="18">
        <v>5</v>
      </c>
      <c r="DO146" s="124">
        <f t="shared" si="69"/>
        <v>15</v>
      </c>
      <c r="DQ146" s="17">
        <v>3</v>
      </c>
      <c r="DR146" s="18">
        <f t="shared" si="70"/>
        <v>10</v>
      </c>
      <c r="DS146" s="18">
        <v>5</v>
      </c>
      <c r="DT146" s="124">
        <f t="shared" si="71"/>
        <v>18</v>
      </c>
      <c r="DV146" s="17">
        <v>3</v>
      </c>
      <c r="DW146" s="18">
        <f t="shared" si="72"/>
        <v>13</v>
      </c>
      <c r="DX146" s="18">
        <v>5</v>
      </c>
      <c r="DY146" s="124">
        <f t="shared" si="73"/>
        <v>21</v>
      </c>
    </row>
    <row r="147" spans="1:129" ht="15" customHeight="1" x14ac:dyDescent="0.25">
      <c r="A147" s="11"/>
      <c r="B147" s="12"/>
      <c r="C147" s="52" t="s">
        <v>639</v>
      </c>
      <c r="D147" s="12"/>
      <c r="E147" s="14"/>
      <c r="F147" s="15"/>
      <c r="G147" s="1"/>
      <c r="H147" s="11"/>
      <c r="I147" s="12"/>
      <c r="J147" s="52" t="s">
        <v>639</v>
      </c>
      <c r="K147" s="12"/>
      <c r="L147" s="14"/>
      <c r="M147" s="15"/>
      <c r="N147" s="1"/>
      <c r="O147" s="11"/>
      <c r="P147" s="12"/>
      <c r="Q147" s="52" t="s">
        <v>639</v>
      </c>
      <c r="R147" s="12"/>
      <c r="S147" s="14"/>
      <c r="T147" s="15"/>
      <c r="Y147" s="53" t="s">
        <v>554</v>
      </c>
      <c r="Z147" s="54">
        <v>1</v>
      </c>
      <c r="AA147" s="53" t="s">
        <v>640</v>
      </c>
      <c r="AB147" s="12" t="s">
        <v>632</v>
      </c>
      <c r="AC147" s="331" t="s">
        <v>597</v>
      </c>
      <c r="AD147" s="332"/>
      <c r="AE147" s="332"/>
      <c r="AF147" s="333"/>
      <c r="AG147" s="1"/>
      <c r="AH147" s="53" t="s">
        <v>554</v>
      </c>
      <c r="AI147" s="54">
        <v>1</v>
      </c>
      <c r="AJ147" s="53" t="s">
        <v>641</v>
      </c>
      <c r="AK147" s="12" t="s">
        <v>632</v>
      </c>
      <c r="AL147" s="331" t="s">
        <v>597</v>
      </c>
      <c r="AM147" s="332"/>
      <c r="AN147" s="332"/>
      <c r="AO147" s="333"/>
      <c r="AX147" s="53" t="s">
        <v>554</v>
      </c>
      <c r="AY147" s="54">
        <v>1</v>
      </c>
      <c r="AZ147" s="53" t="s">
        <v>640</v>
      </c>
      <c r="BA147" s="12" t="s">
        <v>633</v>
      </c>
      <c r="BB147" s="331" t="s">
        <v>597</v>
      </c>
      <c r="BC147" s="332"/>
      <c r="BD147" s="332"/>
      <c r="BE147" s="333"/>
      <c r="BF147" s="1"/>
      <c r="BG147" s="53" t="s">
        <v>554</v>
      </c>
      <c r="BH147" s="54">
        <v>1</v>
      </c>
      <c r="BI147" s="53" t="s">
        <v>641</v>
      </c>
      <c r="BJ147" s="12" t="s">
        <v>633</v>
      </c>
      <c r="BK147" s="331" t="s">
        <v>597</v>
      </c>
      <c r="BL147" s="332"/>
      <c r="BM147" s="332"/>
      <c r="BN147" s="333"/>
      <c r="BX147" s="53" t="s">
        <v>554</v>
      </c>
      <c r="BY147" s="54">
        <v>1</v>
      </c>
      <c r="BZ147" s="53" t="s">
        <v>640</v>
      </c>
      <c r="CA147" s="12" t="s">
        <v>634</v>
      </c>
      <c r="CB147" s="331" t="s">
        <v>597</v>
      </c>
      <c r="CC147" s="332"/>
      <c r="CD147" s="332"/>
      <c r="CE147" s="333"/>
      <c r="CF147" s="1"/>
      <c r="CG147" s="53" t="s">
        <v>554</v>
      </c>
      <c r="CH147" s="54">
        <v>1</v>
      </c>
      <c r="CI147" s="53" t="s">
        <v>641</v>
      </c>
      <c r="CJ147" s="12" t="s">
        <v>634</v>
      </c>
      <c r="CK147" s="331" t="s">
        <v>597</v>
      </c>
      <c r="CL147" s="332"/>
      <c r="CM147" s="332"/>
      <c r="CN147" s="333"/>
      <c r="CX147" s="92" t="s">
        <v>302</v>
      </c>
      <c r="CY147" s="93" t="s">
        <v>303</v>
      </c>
      <c r="CZ147" s="192"/>
      <c r="DA147" s="193"/>
      <c r="DB147" s="17">
        <v>3</v>
      </c>
      <c r="DC147" s="18">
        <v>4</v>
      </c>
      <c r="DD147" s="18">
        <v>5</v>
      </c>
      <c r="DE147" s="124">
        <f t="shared" si="67"/>
        <v>12</v>
      </c>
      <c r="DF147" s="193"/>
      <c r="DG147" s="17">
        <v>3</v>
      </c>
      <c r="DH147" s="18">
        <v>4</v>
      </c>
      <c r="DI147" s="18">
        <v>5</v>
      </c>
      <c r="DJ147" s="124">
        <f t="shared" si="68"/>
        <v>12</v>
      </c>
      <c r="DK147" s="193"/>
      <c r="DL147" s="17">
        <v>3</v>
      </c>
      <c r="DM147" s="18">
        <v>7</v>
      </c>
      <c r="DN147" s="18">
        <v>5</v>
      </c>
      <c r="DO147" s="124">
        <f t="shared" si="69"/>
        <v>15</v>
      </c>
      <c r="DQ147" s="17">
        <v>3</v>
      </c>
      <c r="DR147" s="18">
        <f t="shared" si="70"/>
        <v>10</v>
      </c>
      <c r="DS147" s="18">
        <v>5</v>
      </c>
      <c r="DT147" s="124">
        <f t="shared" si="71"/>
        <v>18</v>
      </c>
      <c r="DV147" s="17">
        <v>3</v>
      </c>
      <c r="DW147" s="18">
        <f t="shared" si="72"/>
        <v>13</v>
      </c>
      <c r="DX147" s="18">
        <v>5</v>
      </c>
      <c r="DY147" s="124">
        <f t="shared" si="73"/>
        <v>21</v>
      </c>
    </row>
    <row r="148" spans="1:129" ht="15" customHeight="1" x14ac:dyDescent="0.25">
      <c r="A148" s="11" t="s">
        <v>155</v>
      </c>
      <c r="B148" s="12">
        <v>1</v>
      </c>
      <c r="C148" s="52" t="s">
        <v>642</v>
      </c>
      <c r="D148" s="12" t="s">
        <v>410</v>
      </c>
      <c r="E148" s="14"/>
      <c r="F148" s="111"/>
      <c r="G148" s="1"/>
      <c r="H148" s="11" t="s">
        <v>155</v>
      </c>
      <c r="I148" s="12">
        <v>1</v>
      </c>
      <c r="J148" s="52" t="s">
        <v>642</v>
      </c>
      <c r="K148" s="12" t="s">
        <v>119</v>
      </c>
      <c r="L148" s="14"/>
      <c r="M148" s="111"/>
      <c r="N148" s="1"/>
      <c r="O148" s="11" t="s">
        <v>155</v>
      </c>
      <c r="P148" s="12">
        <v>1</v>
      </c>
      <c r="Q148" s="52" t="s">
        <v>642</v>
      </c>
      <c r="R148" s="12" t="s">
        <v>120</v>
      </c>
      <c r="S148" s="14"/>
      <c r="T148" s="111"/>
      <c r="Y148" s="53" t="s">
        <v>554</v>
      </c>
      <c r="Z148" s="54">
        <v>1</v>
      </c>
      <c r="AA148" s="53" t="s">
        <v>643</v>
      </c>
      <c r="AB148" s="12" t="s">
        <v>632</v>
      </c>
      <c r="AC148" s="334"/>
      <c r="AD148" s="335"/>
      <c r="AE148" s="335"/>
      <c r="AF148" s="336"/>
      <c r="AG148" s="1"/>
      <c r="AH148" s="53" t="s">
        <v>554</v>
      </c>
      <c r="AI148" s="54">
        <v>1</v>
      </c>
      <c r="AJ148" s="53" t="s">
        <v>644</v>
      </c>
      <c r="AK148" s="12" t="s">
        <v>632</v>
      </c>
      <c r="AL148" s="334"/>
      <c r="AM148" s="335"/>
      <c r="AN148" s="335"/>
      <c r="AO148" s="336"/>
      <c r="AX148" s="53" t="s">
        <v>554</v>
      </c>
      <c r="AY148" s="54">
        <v>1</v>
      </c>
      <c r="AZ148" s="53" t="s">
        <v>643</v>
      </c>
      <c r="BA148" s="12" t="s">
        <v>633</v>
      </c>
      <c r="BB148" s="334"/>
      <c r="BC148" s="335"/>
      <c r="BD148" s="335"/>
      <c r="BE148" s="336"/>
      <c r="BF148" s="1"/>
      <c r="BG148" s="53" t="s">
        <v>554</v>
      </c>
      <c r="BH148" s="54">
        <v>1</v>
      </c>
      <c r="BI148" s="53" t="s">
        <v>644</v>
      </c>
      <c r="BJ148" s="12" t="s">
        <v>633</v>
      </c>
      <c r="BK148" s="334"/>
      <c r="BL148" s="335"/>
      <c r="BM148" s="335"/>
      <c r="BN148" s="336"/>
      <c r="BX148" s="53" t="s">
        <v>554</v>
      </c>
      <c r="BY148" s="54">
        <v>1</v>
      </c>
      <c r="BZ148" s="53" t="s">
        <v>643</v>
      </c>
      <c r="CA148" s="12" t="s">
        <v>634</v>
      </c>
      <c r="CB148" s="334"/>
      <c r="CC148" s="335"/>
      <c r="CD148" s="335"/>
      <c r="CE148" s="336"/>
      <c r="CF148" s="1"/>
      <c r="CG148" s="53" t="s">
        <v>554</v>
      </c>
      <c r="CH148" s="54">
        <v>1</v>
      </c>
      <c r="CI148" s="53" t="s">
        <v>644</v>
      </c>
      <c r="CJ148" s="12" t="s">
        <v>634</v>
      </c>
      <c r="CK148" s="334"/>
      <c r="CL148" s="335"/>
      <c r="CM148" s="335"/>
      <c r="CN148" s="336"/>
      <c r="CX148" s="92" t="s">
        <v>311</v>
      </c>
      <c r="CY148" s="93" t="s">
        <v>312</v>
      </c>
      <c r="CZ148" s="192"/>
      <c r="DA148" s="193"/>
      <c r="DB148" s="17">
        <v>3</v>
      </c>
      <c r="DC148" s="18">
        <v>4</v>
      </c>
      <c r="DD148" s="18">
        <v>5</v>
      </c>
      <c r="DE148" s="124">
        <f t="shared" si="67"/>
        <v>12</v>
      </c>
      <c r="DF148" s="193"/>
      <c r="DG148" s="17">
        <v>3</v>
      </c>
      <c r="DH148" s="18">
        <v>4</v>
      </c>
      <c r="DI148" s="18">
        <v>5</v>
      </c>
      <c r="DJ148" s="124">
        <f t="shared" si="68"/>
        <v>12</v>
      </c>
      <c r="DK148" s="193"/>
      <c r="DL148" s="17">
        <v>3</v>
      </c>
      <c r="DM148" s="18">
        <v>7</v>
      </c>
      <c r="DN148" s="18">
        <v>5</v>
      </c>
      <c r="DO148" s="124">
        <f t="shared" si="69"/>
        <v>15</v>
      </c>
      <c r="DQ148" s="17">
        <v>3</v>
      </c>
      <c r="DR148" s="18">
        <f t="shared" si="70"/>
        <v>10</v>
      </c>
      <c r="DS148" s="18">
        <v>5</v>
      </c>
      <c r="DT148" s="124">
        <f t="shared" si="71"/>
        <v>18</v>
      </c>
      <c r="DV148" s="17">
        <v>3</v>
      </c>
      <c r="DW148" s="18">
        <f t="shared" si="72"/>
        <v>13</v>
      </c>
      <c r="DX148" s="18">
        <v>5</v>
      </c>
      <c r="DY148" s="124">
        <f t="shared" si="73"/>
        <v>21</v>
      </c>
    </row>
    <row r="149" spans="1:129" ht="15" customHeight="1" x14ac:dyDescent="0.25">
      <c r="A149" s="11"/>
      <c r="B149" s="12">
        <v>1</v>
      </c>
      <c r="C149" s="52" t="s">
        <v>642</v>
      </c>
      <c r="D149" s="12" t="s">
        <v>410</v>
      </c>
      <c r="E149" s="14"/>
      <c r="F149" s="111"/>
      <c r="G149" s="1"/>
      <c r="H149" s="11"/>
      <c r="I149" s="12">
        <v>1</v>
      </c>
      <c r="J149" s="52" t="s">
        <v>642</v>
      </c>
      <c r="K149" s="12" t="s">
        <v>119</v>
      </c>
      <c r="L149" s="14"/>
      <c r="M149" s="111"/>
      <c r="N149" s="1"/>
      <c r="O149" s="11"/>
      <c r="P149" s="12">
        <v>1</v>
      </c>
      <c r="Q149" s="52" t="s">
        <v>642</v>
      </c>
      <c r="R149" s="12" t="s">
        <v>120</v>
      </c>
      <c r="S149" s="14"/>
      <c r="T149" s="111"/>
      <c r="Y149" s="53" t="s">
        <v>554</v>
      </c>
      <c r="Z149" s="54">
        <v>1</v>
      </c>
      <c r="AA149" s="53" t="s">
        <v>645</v>
      </c>
      <c r="AB149" s="12" t="s">
        <v>632</v>
      </c>
      <c r="AC149" s="334"/>
      <c r="AD149" s="335"/>
      <c r="AE149" s="335"/>
      <c r="AF149" s="336"/>
      <c r="AG149" s="1"/>
      <c r="AH149" s="53" t="s">
        <v>554</v>
      </c>
      <c r="AI149" s="54">
        <v>1</v>
      </c>
      <c r="AJ149" s="53" t="s">
        <v>646</v>
      </c>
      <c r="AK149" s="12" t="s">
        <v>632</v>
      </c>
      <c r="AL149" s="334"/>
      <c r="AM149" s="335"/>
      <c r="AN149" s="335"/>
      <c r="AO149" s="336"/>
      <c r="AX149" s="53" t="s">
        <v>554</v>
      </c>
      <c r="AY149" s="54">
        <v>1</v>
      </c>
      <c r="AZ149" s="53" t="s">
        <v>645</v>
      </c>
      <c r="BA149" s="12" t="s">
        <v>633</v>
      </c>
      <c r="BB149" s="334"/>
      <c r="BC149" s="335"/>
      <c r="BD149" s="335"/>
      <c r="BE149" s="336"/>
      <c r="BF149" s="1"/>
      <c r="BG149" s="53" t="s">
        <v>554</v>
      </c>
      <c r="BH149" s="54">
        <v>1</v>
      </c>
      <c r="BI149" s="53" t="s">
        <v>646</v>
      </c>
      <c r="BJ149" s="12" t="s">
        <v>633</v>
      </c>
      <c r="BK149" s="334"/>
      <c r="BL149" s="335"/>
      <c r="BM149" s="335"/>
      <c r="BN149" s="336"/>
      <c r="BX149" s="53" t="s">
        <v>554</v>
      </c>
      <c r="BY149" s="54">
        <v>1</v>
      </c>
      <c r="BZ149" s="53" t="s">
        <v>645</v>
      </c>
      <c r="CA149" s="12" t="s">
        <v>634</v>
      </c>
      <c r="CB149" s="334"/>
      <c r="CC149" s="335"/>
      <c r="CD149" s="335"/>
      <c r="CE149" s="336"/>
      <c r="CF149" s="1"/>
      <c r="CG149" s="53" t="s">
        <v>554</v>
      </c>
      <c r="CH149" s="54">
        <v>1</v>
      </c>
      <c r="CI149" s="53" t="s">
        <v>646</v>
      </c>
      <c r="CJ149" s="12" t="s">
        <v>634</v>
      </c>
      <c r="CK149" s="334"/>
      <c r="CL149" s="335"/>
      <c r="CM149" s="335"/>
      <c r="CN149" s="336"/>
      <c r="CX149" s="92" t="s">
        <v>319</v>
      </c>
      <c r="CY149" s="93" t="s">
        <v>320</v>
      </c>
      <c r="CZ149" s="192"/>
      <c r="DA149" s="193"/>
      <c r="DB149" s="17">
        <v>4</v>
      </c>
      <c r="DC149" s="18">
        <v>4</v>
      </c>
      <c r="DD149" s="18">
        <v>5</v>
      </c>
      <c r="DE149" s="124">
        <f t="shared" si="67"/>
        <v>13</v>
      </c>
      <c r="DF149" s="193"/>
      <c r="DG149" s="17">
        <v>4</v>
      </c>
      <c r="DH149" s="18">
        <v>4</v>
      </c>
      <c r="DI149" s="18">
        <v>5</v>
      </c>
      <c r="DJ149" s="124">
        <f t="shared" si="68"/>
        <v>13</v>
      </c>
      <c r="DK149" s="193"/>
      <c r="DL149" s="17">
        <v>4</v>
      </c>
      <c r="DM149" s="18">
        <v>7</v>
      </c>
      <c r="DN149" s="18">
        <v>5</v>
      </c>
      <c r="DO149" s="124">
        <f t="shared" si="69"/>
        <v>16</v>
      </c>
      <c r="DQ149" s="17">
        <v>4</v>
      </c>
      <c r="DR149" s="18">
        <f t="shared" si="70"/>
        <v>10</v>
      </c>
      <c r="DS149" s="18">
        <v>5</v>
      </c>
      <c r="DT149" s="124">
        <f t="shared" si="71"/>
        <v>19</v>
      </c>
      <c r="DV149" s="17">
        <v>4</v>
      </c>
      <c r="DW149" s="18">
        <f t="shared" si="72"/>
        <v>13</v>
      </c>
      <c r="DX149" s="18">
        <v>5</v>
      </c>
      <c r="DY149" s="124">
        <f t="shared" si="73"/>
        <v>22</v>
      </c>
    </row>
    <row r="150" spans="1:129" ht="15" customHeight="1" x14ac:dyDescent="0.25">
      <c r="A150" s="11"/>
      <c r="B150" s="12">
        <v>1</v>
      </c>
      <c r="C150" s="52" t="s">
        <v>117</v>
      </c>
      <c r="D150" s="12" t="s">
        <v>410</v>
      </c>
      <c r="E150" s="14"/>
      <c r="F150" s="113"/>
      <c r="G150" s="1"/>
      <c r="H150" s="11"/>
      <c r="I150" s="12">
        <v>1</v>
      </c>
      <c r="J150" s="52" t="s">
        <v>117</v>
      </c>
      <c r="K150" s="12" t="s">
        <v>119</v>
      </c>
      <c r="L150" s="14"/>
      <c r="M150" s="113"/>
      <c r="N150" s="1"/>
      <c r="O150" s="11"/>
      <c r="P150" s="12">
        <v>1</v>
      </c>
      <c r="Q150" s="52" t="s">
        <v>117</v>
      </c>
      <c r="R150" s="12" t="s">
        <v>120</v>
      </c>
      <c r="S150" s="14"/>
      <c r="T150" s="113"/>
      <c r="Y150" s="53" t="s">
        <v>554</v>
      </c>
      <c r="Z150" s="54">
        <v>1</v>
      </c>
      <c r="AA150" s="53" t="s">
        <v>647</v>
      </c>
      <c r="AB150" s="12" t="s">
        <v>632</v>
      </c>
      <c r="AC150" s="334"/>
      <c r="AD150" s="335"/>
      <c r="AE150" s="335"/>
      <c r="AF150" s="336"/>
      <c r="AG150" s="1"/>
      <c r="AH150" s="53" t="s">
        <v>554</v>
      </c>
      <c r="AI150" s="54">
        <v>1</v>
      </c>
      <c r="AJ150" s="53" t="s">
        <v>648</v>
      </c>
      <c r="AK150" s="12" t="s">
        <v>632</v>
      </c>
      <c r="AL150" s="334"/>
      <c r="AM150" s="335"/>
      <c r="AN150" s="335"/>
      <c r="AO150" s="336"/>
      <c r="AX150" s="53" t="s">
        <v>554</v>
      </c>
      <c r="AY150" s="54">
        <v>1</v>
      </c>
      <c r="AZ150" s="53" t="s">
        <v>647</v>
      </c>
      <c r="BA150" s="12" t="s">
        <v>633</v>
      </c>
      <c r="BB150" s="334"/>
      <c r="BC150" s="335"/>
      <c r="BD150" s="335"/>
      <c r="BE150" s="336"/>
      <c r="BF150" s="1"/>
      <c r="BG150" s="53" t="s">
        <v>554</v>
      </c>
      <c r="BH150" s="54">
        <v>1</v>
      </c>
      <c r="BI150" s="53" t="s">
        <v>648</v>
      </c>
      <c r="BJ150" s="12" t="s">
        <v>633</v>
      </c>
      <c r="BK150" s="334"/>
      <c r="BL150" s="335"/>
      <c r="BM150" s="335"/>
      <c r="BN150" s="336"/>
      <c r="BX150" s="53" t="s">
        <v>554</v>
      </c>
      <c r="BY150" s="54">
        <v>1</v>
      </c>
      <c r="BZ150" s="53" t="s">
        <v>647</v>
      </c>
      <c r="CA150" s="12" t="s">
        <v>634</v>
      </c>
      <c r="CB150" s="334"/>
      <c r="CC150" s="335"/>
      <c r="CD150" s="335"/>
      <c r="CE150" s="336"/>
      <c r="CF150" s="1"/>
      <c r="CG150" s="53" t="s">
        <v>554</v>
      </c>
      <c r="CH150" s="54">
        <v>1</v>
      </c>
      <c r="CI150" s="53" t="s">
        <v>648</v>
      </c>
      <c r="CJ150" s="12" t="s">
        <v>634</v>
      </c>
      <c r="CK150" s="334"/>
      <c r="CL150" s="335"/>
      <c r="CM150" s="335"/>
      <c r="CN150" s="336"/>
      <c r="CX150" s="92" t="s">
        <v>323</v>
      </c>
      <c r="CY150" s="93" t="s">
        <v>324</v>
      </c>
      <c r="CZ150" s="192"/>
      <c r="DA150" s="193"/>
      <c r="DB150" s="17">
        <v>4</v>
      </c>
      <c r="DC150" s="18">
        <v>4</v>
      </c>
      <c r="DD150" s="18">
        <v>5</v>
      </c>
      <c r="DE150" s="124">
        <f t="shared" si="67"/>
        <v>13</v>
      </c>
      <c r="DF150" s="193"/>
      <c r="DG150" s="17">
        <v>4</v>
      </c>
      <c r="DH150" s="18">
        <v>4</v>
      </c>
      <c r="DI150" s="18">
        <v>5</v>
      </c>
      <c r="DJ150" s="124">
        <f t="shared" si="68"/>
        <v>13</v>
      </c>
      <c r="DK150" s="193"/>
      <c r="DL150" s="17">
        <v>4</v>
      </c>
      <c r="DM150" s="18">
        <v>7</v>
      </c>
      <c r="DN150" s="18">
        <v>5</v>
      </c>
      <c r="DO150" s="124">
        <f t="shared" si="69"/>
        <v>16</v>
      </c>
      <c r="DQ150" s="17">
        <v>4</v>
      </c>
      <c r="DR150" s="18">
        <f t="shared" si="70"/>
        <v>10</v>
      </c>
      <c r="DS150" s="18">
        <v>5</v>
      </c>
      <c r="DT150" s="124">
        <f t="shared" si="71"/>
        <v>19</v>
      </c>
      <c r="DV150" s="17">
        <v>4</v>
      </c>
      <c r="DW150" s="18">
        <f t="shared" si="72"/>
        <v>13</v>
      </c>
      <c r="DX150" s="18">
        <v>5</v>
      </c>
      <c r="DY150" s="124">
        <f t="shared" si="73"/>
        <v>22</v>
      </c>
    </row>
    <row r="151" spans="1:129" ht="15" customHeight="1" x14ac:dyDescent="0.25">
      <c r="A151" s="11"/>
      <c r="B151" s="12">
        <v>1</v>
      </c>
      <c r="C151" s="52" t="s">
        <v>117</v>
      </c>
      <c r="D151" s="12" t="s">
        <v>410</v>
      </c>
      <c r="E151" s="14"/>
      <c r="F151" s="113"/>
      <c r="G151" s="1"/>
      <c r="H151" s="11"/>
      <c r="I151" s="12">
        <v>1</v>
      </c>
      <c r="J151" s="52" t="s">
        <v>117</v>
      </c>
      <c r="K151" s="12" t="s">
        <v>119</v>
      </c>
      <c r="L151" s="14"/>
      <c r="M151" s="113"/>
      <c r="N151" s="1"/>
      <c r="O151" s="11"/>
      <c r="P151" s="12">
        <v>1</v>
      </c>
      <c r="Q151" s="52" t="s">
        <v>117</v>
      </c>
      <c r="R151" s="12" t="s">
        <v>120</v>
      </c>
      <c r="S151" s="14"/>
      <c r="T151" s="113"/>
      <c r="Y151" s="53" t="s">
        <v>554</v>
      </c>
      <c r="Z151" s="54">
        <v>1</v>
      </c>
      <c r="AA151" s="53" t="s">
        <v>649</v>
      </c>
      <c r="AB151" s="12" t="s">
        <v>632</v>
      </c>
      <c r="AC151" s="334"/>
      <c r="AD151" s="335"/>
      <c r="AE151" s="335"/>
      <c r="AF151" s="336"/>
      <c r="AG151" s="1"/>
      <c r="AH151" s="53" t="s">
        <v>554</v>
      </c>
      <c r="AI151" s="54">
        <v>1</v>
      </c>
      <c r="AJ151" s="53" t="s">
        <v>650</v>
      </c>
      <c r="AK151" s="12" t="s">
        <v>632</v>
      </c>
      <c r="AL151" s="334"/>
      <c r="AM151" s="335"/>
      <c r="AN151" s="335"/>
      <c r="AO151" s="336"/>
      <c r="AX151" s="53" t="s">
        <v>554</v>
      </c>
      <c r="AY151" s="54">
        <v>1</v>
      </c>
      <c r="AZ151" s="53" t="s">
        <v>649</v>
      </c>
      <c r="BA151" s="12" t="s">
        <v>633</v>
      </c>
      <c r="BB151" s="334"/>
      <c r="BC151" s="335"/>
      <c r="BD151" s="335"/>
      <c r="BE151" s="336"/>
      <c r="BF151" s="1"/>
      <c r="BG151" s="53" t="s">
        <v>554</v>
      </c>
      <c r="BH151" s="54">
        <v>1</v>
      </c>
      <c r="BI151" s="53" t="s">
        <v>650</v>
      </c>
      <c r="BJ151" s="12" t="s">
        <v>633</v>
      </c>
      <c r="BK151" s="334"/>
      <c r="BL151" s="335"/>
      <c r="BM151" s="335"/>
      <c r="BN151" s="336"/>
      <c r="BX151" s="53" t="s">
        <v>554</v>
      </c>
      <c r="BY151" s="54">
        <v>1</v>
      </c>
      <c r="BZ151" s="53" t="s">
        <v>649</v>
      </c>
      <c r="CA151" s="12" t="s">
        <v>634</v>
      </c>
      <c r="CB151" s="334"/>
      <c r="CC151" s="335"/>
      <c r="CD151" s="335"/>
      <c r="CE151" s="336"/>
      <c r="CF151" s="1"/>
      <c r="CG151" s="53" t="s">
        <v>554</v>
      </c>
      <c r="CH151" s="54">
        <v>1</v>
      </c>
      <c r="CI151" s="53" t="s">
        <v>650</v>
      </c>
      <c r="CJ151" s="12" t="s">
        <v>634</v>
      </c>
      <c r="CK151" s="334"/>
      <c r="CL151" s="335"/>
      <c r="CM151" s="335"/>
      <c r="CN151" s="336"/>
      <c r="CX151" s="92" t="s">
        <v>330</v>
      </c>
      <c r="CY151" s="93" t="s">
        <v>331</v>
      </c>
      <c r="CZ151" s="192"/>
      <c r="DA151" s="193"/>
      <c r="DB151" s="17">
        <v>4</v>
      </c>
      <c r="DC151" s="18">
        <v>4</v>
      </c>
      <c r="DD151" s="18">
        <v>5</v>
      </c>
      <c r="DE151" s="124">
        <f t="shared" si="67"/>
        <v>13</v>
      </c>
      <c r="DF151" s="193"/>
      <c r="DG151" s="17">
        <v>4</v>
      </c>
      <c r="DH151" s="18">
        <v>4</v>
      </c>
      <c r="DI151" s="18">
        <v>5</v>
      </c>
      <c r="DJ151" s="124">
        <f t="shared" si="68"/>
        <v>13</v>
      </c>
      <c r="DK151" s="193"/>
      <c r="DL151" s="17">
        <v>4</v>
      </c>
      <c r="DM151" s="18">
        <v>7</v>
      </c>
      <c r="DN151" s="18">
        <v>5</v>
      </c>
      <c r="DO151" s="124">
        <f t="shared" si="69"/>
        <v>16</v>
      </c>
      <c r="DQ151" s="17">
        <v>4</v>
      </c>
      <c r="DR151" s="18">
        <f t="shared" si="70"/>
        <v>10</v>
      </c>
      <c r="DS151" s="18">
        <v>5</v>
      </c>
      <c r="DT151" s="124">
        <f t="shared" si="71"/>
        <v>19</v>
      </c>
      <c r="DV151" s="17">
        <v>4</v>
      </c>
      <c r="DW151" s="18">
        <f t="shared" si="72"/>
        <v>13</v>
      </c>
      <c r="DX151" s="18">
        <v>5</v>
      </c>
      <c r="DY151" s="124">
        <f t="shared" si="73"/>
        <v>22</v>
      </c>
    </row>
    <row r="152" spans="1:129" ht="15" customHeight="1" x14ac:dyDescent="0.25">
      <c r="A152" s="11"/>
      <c r="B152" s="12"/>
      <c r="C152" s="52" t="s">
        <v>651</v>
      </c>
      <c r="D152" s="12"/>
      <c r="E152" s="14"/>
      <c r="F152" s="113"/>
      <c r="G152" s="1"/>
      <c r="H152" s="11"/>
      <c r="I152" s="12"/>
      <c r="J152" s="52" t="s">
        <v>651</v>
      </c>
      <c r="K152" s="12"/>
      <c r="L152" s="14"/>
      <c r="M152" s="113"/>
      <c r="N152" s="1"/>
      <c r="O152" s="11"/>
      <c r="P152" s="12"/>
      <c r="Q152" s="52" t="s">
        <v>651</v>
      </c>
      <c r="R152" s="12"/>
      <c r="S152" s="14"/>
      <c r="T152" s="113"/>
      <c r="Y152" s="53" t="s">
        <v>554</v>
      </c>
      <c r="Z152" s="54">
        <v>1</v>
      </c>
      <c r="AA152" s="53" t="s">
        <v>652</v>
      </c>
      <c r="AB152" s="12" t="s">
        <v>632</v>
      </c>
      <c r="AC152" s="337"/>
      <c r="AD152" s="338"/>
      <c r="AE152" s="338"/>
      <c r="AF152" s="339"/>
      <c r="AG152" s="1"/>
      <c r="AH152" s="53" t="s">
        <v>554</v>
      </c>
      <c r="AI152" s="54">
        <v>1</v>
      </c>
      <c r="AJ152" s="53" t="s">
        <v>653</v>
      </c>
      <c r="AK152" s="12" t="s">
        <v>632</v>
      </c>
      <c r="AL152" s="337"/>
      <c r="AM152" s="338"/>
      <c r="AN152" s="338"/>
      <c r="AO152" s="339"/>
      <c r="AX152" s="53" t="s">
        <v>554</v>
      </c>
      <c r="AY152" s="54">
        <v>1</v>
      </c>
      <c r="AZ152" s="53" t="s">
        <v>652</v>
      </c>
      <c r="BA152" s="12" t="s">
        <v>633</v>
      </c>
      <c r="BB152" s="337"/>
      <c r="BC152" s="338"/>
      <c r="BD152" s="338"/>
      <c r="BE152" s="339"/>
      <c r="BF152" s="1"/>
      <c r="BG152" s="53" t="s">
        <v>554</v>
      </c>
      <c r="BH152" s="54">
        <v>1</v>
      </c>
      <c r="BI152" s="53" t="s">
        <v>653</v>
      </c>
      <c r="BJ152" s="12" t="s">
        <v>633</v>
      </c>
      <c r="BK152" s="337"/>
      <c r="BL152" s="338"/>
      <c r="BM152" s="338"/>
      <c r="BN152" s="339"/>
      <c r="BX152" s="53" t="s">
        <v>554</v>
      </c>
      <c r="BY152" s="54">
        <v>1</v>
      </c>
      <c r="BZ152" s="53" t="s">
        <v>652</v>
      </c>
      <c r="CA152" s="12" t="s">
        <v>634</v>
      </c>
      <c r="CB152" s="337"/>
      <c r="CC152" s="338"/>
      <c r="CD152" s="338"/>
      <c r="CE152" s="339"/>
      <c r="CF152" s="1"/>
      <c r="CG152" s="53" t="s">
        <v>554</v>
      </c>
      <c r="CH152" s="54">
        <v>1</v>
      </c>
      <c r="CI152" s="53" t="s">
        <v>653</v>
      </c>
      <c r="CJ152" s="12" t="s">
        <v>634</v>
      </c>
      <c r="CK152" s="337"/>
      <c r="CL152" s="338"/>
      <c r="CM152" s="338"/>
      <c r="CN152" s="339"/>
      <c r="CX152" s="92" t="s">
        <v>334</v>
      </c>
      <c r="CY152" s="93" t="s">
        <v>335</v>
      </c>
      <c r="CZ152" s="192"/>
      <c r="DA152" s="193"/>
      <c r="DB152" s="17">
        <v>4</v>
      </c>
      <c r="DC152" s="18">
        <v>4</v>
      </c>
      <c r="DD152" s="18">
        <v>5</v>
      </c>
      <c r="DE152" s="124">
        <f t="shared" si="67"/>
        <v>13</v>
      </c>
      <c r="DF152" s="193"/>
      <c r="DG152" s="17">
        <v>4</v>
      </c>
      <c r="DH152" s="18">
        <v>4</v>
      </c>
      <c r="DI152" s="18">
        <v>5</v>
      </c>
      <c r="DJ152" s="124">
        <f t="shared" si="68"/>
        <v>13</v>
      </c>
      <c r="DK152" s="193"/>
      <c r="DL152" s="17">
        <v>4</v>
      </c>
      <c r="DM152" s="18">
        <v>7</v>
      </c>
      <c r="DN152" s="18">
        <v>5</v>
      </c>
      <c r="DO152" s="124">
        <f t="shared" si="69"/>
        <v>16</v>
      </c>
      <c r="DQ152" s="17">
        <v>4</v>
      </c>
      <c r="DR152" s="18">
        <f t="shared" si="70"/>
        <v>10</v>
      </c>
      <c r="DS152" s="18">
        <v>5</v>
      </c>
      <c r="DT152" s="124">
        <f t="shared" si="71"/>
        <v>19</v>
      </c>
      <c r="DV152" s="17">
        <v>4</v>
      </c>
      <c r="DW152" s="18">
        <f t="shared" si="72"/>
        <v>13</v>
      </c>
      <c r="DX152" s="18">
        <v>5</v>
      </c>
      <c r="DY152" s="124">
        <f t="shared" si="73"/>
        <v>22</v>
      </c>
    </row>
    <row r="153" spans="1:129" x14ac:dyDescent="0.25">
      <c r="A153" s="11" t="s">
        <v>179</v>
      </c>
      <c r="B153" s="12">
        <v>1</v>
      </c>
      <c r="C153" s="52" t="s">
        <v>117</v>
      </c>
      <c r="D153" s="12" t="s">
        <v>410</v>
      </c>
      <c r="E153" s="14"/>
      <c r="F153" s="113"/>
      <c r="G153" s="1"/>
      <c r="H153" s="11" t="s">
        <v>179</v>
      </c>
      <c r="I153" s="12">
        <v>1</v>
      </c>
      <c r="J153" s="52" t="s">
        <v>117</v>
      </c>
      <c r="K153" s="12" t="s">
        <v>119</v>
      </c>
      <c r="L153" s="14"/>
      <c r="M153" s="113"/>
      <c r="N153" s="1"/>
      <c r="O153" s="11" t="s">
        <v>179</v>
      </c>
      <c r="P153" s="12">
        <v>1</v>
      </c>
      <c r="Q153" s="52" t="s">
        <v>117</v>
      </c>
      <c r="R153" s="12" t="s">
        <v>120</v>
      </c>
      <c r="S153" s="14"/>
      <c r="T153" s="113"/>
      <c r="CX153" s="92" t="s">
        <v>341</v>
      </c>
      <c r="CY153" s="93" t="s">
        <v>342</v>
      </c>
      <c r="CZ153" s="192"/>
      <c r="DA153" s="193"/>
      <c r="DB153" s="17">
        <v>5</v>
      </c>
      <c r="DC153" s="18">
        <v>4</v>
      </c>
      <c r="DD153" s="18">
        <v>5</v>
      </c>
      <c r="DE153" s="124">
        <f t="shared" si="67"/>
        <v>14</v>
      </c>
      <c r="DF153" s="193"/>
      <c r="DG153" s="17">
        <v>5</v>
      </c>
      <c r="DH153" s="18">
        <v>4</v>
      </c>
      <c r="DI153" s="18">
        <v>5</v>
      </c>
      <c r="DJ153" s="124">
        <f t="shared" si="68"/>
        <v>14</v>
      </c>
      <c r="DK153" s="193"/>
      <c r="DL153" s="17">
        <v>5</v>
      </c>
      <c r="DM153" s="18">
        <v>7</v>
      </c>
      <c r="DN153" s="18">
        <v>5</v>
      </c>
      <c r="DO153" s="124">
        <f t="shared" si="69"/>
        <v>17</v>
      </c>
      <c r="DQ153" s="17">
        <v>5</v>
      </c>
      <c r="DR153" s="18">
        <f t="shared" si="70"/>
        <v>10</v>
      </c>
      <c r="DS153" s="18">
        <v>5</v>
      </c>
      <c r="DT153" s="124">
        <f t="shared" si="71"/>
        <v>20</v>
      </c>
      <c r="DV153" s="17">
        <v>5</v>
      </c>
      <c r="DW153" s="18">
        <f t="shared" si="72"/>
        <v>13</v>
      </c>
      <c r="DX153" s="18">
        <v>5</v>
      </c>
      <c r="DY153" s="124">
        <f t="shared" si="73"/>
        <v>23</v>
      </c>
    </row>
    <row r="154" spans="1:129" x14ac:dyDescent="0.25">
      <c r="A154" s="11"/>
      <c r="B154" s="12">
        <v>1</v>
      </c>
      <c r="C154" s="52" t="s">
        <v>117</v>
      </c>
      <c r="D154" s="12" t="s">
        <v>410</v>
      </c>
      <c r="E154" s="14"/>
      <c r="F154" s="113"/>
      <c r="G154" s="1"/>
      <c r="H154" s="11"/>
      <c r="I154" s="12">
        <v>1</v>
      </c>
      <c r="J154" s="52" t="s">
        <v>117</v>
      </c>
      <c r="K154" s="12" t="s">
        <v>119</v>
      </c>
      <c r="L154" s="14"/>
      <c r="M154" s="113"/>
      <c r="N154" s="1"/>
      <c r="O154" s="11"/>
      <c r="P154" s="12">
        <v>1</v>
      </c>
      <c r="Q154" s="52" t="s">
        <v>117</v>
      </c>
      <c r="R154" s="12" t="s">
        <v>120</v>
      </c>
      <c r="S154" s="14"/>
      <c r="T154" s="113"/>
      <c r="CX154" s="92" t="s">
        <v>349</v>
      </c>
      <c r="CY154" s="93" t="s">
        <v>350</v>
      </c>
      <c r="CZ154" s="192"/>
      <c r="DA154" s="193"/>
      <c r="DB154" s="17">
        <v>5</v>
      </c>
      <c r="DC154" s="18">
        <v>4</v>
      </c>
      <c r="DD154" s="18">
        <v>5</v>
      </c>
      <c r="DE154" s="124">
        <f t="shared" si="67"/>
        <v>14</v>
      </c>
      <c r="DF154" s="193"/>
      <c r="DG154" s="17">
        <v>5</v>
      </c>
      <c r="DH154" s="18">
        <v>4</v>
      </c>
      <c r="DI154" s="18">
        <v>5</v>
      </c>
      <c r="DJ154" s="124">
        <f t="shared" si="68"/>
        <v>14</v>
      </c>
      <c r="DK154" s="193"/>
      <c r="DL154" s="17">
        <v>5</v>
      </c>
      <c r="DM154" s="18">
        <v>7</v>
      </c>
      <c r="DN154" s="18">
        <v>5</v>
      </c>
      <c r="DO154" s="124">
        <f t="shared" si="69"/>
        <v>17</v>
      </c>
      <c r="DQ154" s="17">
        <v>5</v>
      </c>
      <c r="DR154" s="18">
        <f t="shared" si="70"/>
        <v>10</v>
      </c>
      <c r="DS154" s="18">
        <v>5</v>
      </c>
      <c r="DT154" s="124">
        <f t="shared" si="71"/>
        <v>20</v>
      </c>
      <c r="DV154" s="17">
        <v>5</v>
      </c>
      <c r="DW154" s="18">
        <f t="shared" si="72"/>
        <v>13</v>
      </c>
      <c r="DX154" s="18">
        <v>5</v>
      </c>
      <c r="DY154" s="124">
        <f t="shared" si="73"/>
        <v>23</v>
      </c>
    </row>
    <row r="155" spans="1:129" x14ac:dyDescent="0.25">
      <c r="A155" s="11"/>
      <c r="B155" s="12">
        <v>1</v>
      </c>
      <c r="C155" s="52" t="s">
        <v>117</v>
      </c>
      <c r="D155" s="12" t="s">
        <v>410</v>
      </c>
      <c r="E155" s="14"/>
      <c r="F155" s="113"/>
      <c r="G155" s="1"/>
      <c r="H155" s="11"/>
      <c r="I155" s="12">
        <v>1</v>
      </c>
      <c r="J155" s="52" t="s">
        <v>117</v>
      </c>
      <c r="K155" s="12" t="s">
        <v>119</v>
      </c>
      <c r="L155" s="14"/>
      <c r="M155" s="113"/>
      <c r="N155" s="1"/>
      <c r="O155" s="11"/>
      <c r="P155" s="12">
        <v>1</v>
      </c>
      <c r="Q155" s="52" t="s">
        <v>117</v>
      </c>
      <c r="R155" s="12" t="s">
        <v>120</v>
      </c>
      <c r="S155" s="14"/>
      <c r="T155" s="113"/>
      <c r="CX155" s="92" t="s">
        <v>355</v>
      </c>
      <c r="CY155" s="93" t="s">
        <v>356</v>
      </c>
      <c r="CZ155" s="194"/>
      <c r="DA155" s="195"/>
      <c r="DB155" s="17">
        <v>5</v>
      </c>
      <c r="DC155" s="18">
        <v>4</v>
      </c>
      <c r="DD155" s="18">
        <v>5</v>
      </c>
      <c r="DE155" s="124">
        <f t="shared" si="67"/>
        <v>14</v>
      </c>
      <c r="DF155" s="193"/>
      <c r="DG155" s="17">
        <v>5</v>
      </c>
      <c r="DH155" s="18">
        <v>4</v>
      </c>
      <c r="DI155" s="18">
        <v>5</v>
      </c>
      <c r="DJ155" s="124">
        <f t="shared" si="68"/>
        <v>14</v>
      </c>
      <c r="DK155" s="193"/>
      <c r="DL155" s="17">
        <v>5</v>
      </c>
      <c r="DM155" s="18">
        <v>7</v>
      </c>
      <c r="DN155" s="18">
        <v>5</v>
      </c>
      <c r="DO155" s="124">
        <f t="shared" si="69"/>
        <v>17</v>
      </c>
      <c r="DQ155" s="17">
        <v>5</v>
      </c>
      <c r="DR155" s="18">
        <f t="shared" si="70"/>
        <v>10</v>
      </c>
      <c r="DS155" s="18">
        <v>5</v>
      </c>
      <c r="DT155" s="124">
        <f t="shared" si="71"/>
        <v>20</v>
      </c>
      <c r="DV155" s="17">
        <v>5</v>
      </c>
      <c r="DW155" s="18">
        <f t="shared" si="72"/>
        <v>13</v>
      </c>
      <c r="DX155" s="18">
        <v>5</v>
      </c>
      <c r="DY155" s="124">
        <f t="shared" si="73"/>
        <v>23</v>
      </c>
    </row>
    <row r="156" spans="1:129" ht="15.75" thickBot="1" x14ac:dyDescent="0.3">
      <c r="A156" s="11"/>
      <c r="B156" s="12">
        <v>1</v>
      </c>
      <c r="C156" s="52" t="s">
        <v>117</v>
      </c>
      <c r="D156" s="12" t="s">
        <v>410</v>
      </c>
      <c r="E156" s="14"/>
      <c r="F156" s="113"/>
      <c r="G156" s="1"/>
      <c r="H156" s="11"/>
      <c r="I156" s="12">
        <v>1</v>
      </c>
      <c r="J156" s="52" t="s">
        <v>117</v>
      </c>
      <c r="K156" s="12" t="s">
        <v>119</v>
      </c>
      <c r="L156" s="14"/>
      <c r="M156" s="113"/>
      <c r="N156" s="1"/>
      <c r="O156" s="11"/>
      <c r="P156" s="12">
        <v>1</v>
      </c>
      <c r="Q156" s="52" t="s">
        <v>117</v>
      </c>
      <c r="R156" s="12" t="s">
        <v>120</v>
      </c>
      <c r="S156" s="14"/>
      <c r="T156" s="113"/>
      <c r="CX156" s="144" t="s">
        <v>361</v>
      </c>
      <c r="CY156" s="145" t="s">
        <v>362</v>
      </c>
      <c r="CZ156" s="196"/>
      <c r="DA156" s="196"/>
      <c r="DB156" s="48">
        <v>5</v>
      </c>
      <c r="DC156" s="49">
        <v>4</v>
      </c>
      <c r="DD156" s="49">
        <v>5</v>
      </c>
      <c r="DE156" s="158">
        <f t="shared" si="67"/>
        <v>14</v>
      </c>
      <c r="DF156" s="197"/>
      <c r="DG156" s="48">
        <v>5</v>
      </c>
      <c r="DH156" s="49">
        <v>4</v>
      </c>
      <c r="DI156" s="49">
        <v>5</v>
      </c>
      <c r="DJ156" s="158">
        <f t="shared" si="68"/>
        <v>14</v>
      </c>
      <c r="DK156" s="196"/>
      <c r="DL156" s="48">
        <v>5</v>
      </c>
      <c r="DM156" s="49">
        <v>7</v>
      </c>
      <c r="DN156" s="49">
        <v>5</v>
      </c>
      <c r="DO156" s="158">
        <f t="shared" si="69"/>
        <v>17</v>
      </c>
      <c r="DQ156" s="48">
        <v>5</v>
      </c>
      <c r="DR156" s="49">
        <f t="shared" si="70"/>
        <v>10</v>
      </c>
      <c r="DS156" s="49">
        <v>5</v>
      </c>
      <c r="DT156" s="158">
        <f t="shared" si="71"/>
        <v>20</v>
      </c>
      <c r="DV156" s="48">
        <v>5</v>
      </c>
      <c r="DW156" s="49">
        <f t="shared" si="72"/>
        <v>13</v>
      </c>
      <c r="DX156" s="49">
        <v>5</v>
      </c>
      <c r="DY156" s="158">
        <f t="shared" si="73"/>
        <v>23</v>
      </c>
    </row>
    <row r="157" spans="1:129" x14ac:dyDescent="0.25">
      <c r="A157" s="11"/>
      <c r="B157" s="12"/>
      <c r="C157" s="52" t="s">
        <v>654</v>
      </c>
      <c r="D157" s="12"/>
      <c r="E157" s="14"/>
      <c r="F157" s="113"/>
      <c r="G157" s="1"/>
      <c r="H157" s="11"/>
      <c r="I157" s="12"/>
      <c r="J157" s="52" t="s">
        <v>654</v>
      </c>
      <c r="K157" s="12"/>
      <c r="L157" s="14"/>
      <c r="M157" s="113"/>
      <c r="N157" s="1"/>
      <c r="O157" s="11"/>
      <c r="P157" s="12"/>
      <c r="Q157" s="52" t="s">
        <v>654</v>
      </c>
      <c r="R157" s="12"/>
      <c r="S157" s="14"/>
      <c r="T157" s="113"/>
    </row>
    <row r="158" spans="1:129" x14ac:dyDescent="0.25">
      <c r="A158" s="11" t="s">
        <v>215</v>
      </c>
      <c r="B158" s="12">
        <v>1</v>
      </c>
      <c r="C158" s="52" t="s">
        <v>216</v>
      </c>
      <c r="D158" s="12" t="s">
        <v>118</v>
      </c>
      <c r="E158" s="14">
        <v>25</v>
      </c>
      <c r="F158" s="113">
        <v>1</v>
      </c>
      <c r="G158" s="1"/>
      <c r="H158" s="11" t="s">
        <v>215</v>
      </c>
      <c r="I158" s="12">
        <v>1</v>
      </c>
      <c r="J158" s="52" t="s">
        <v>216</v>
      </c>
      <c r="K158" s="12" t="s">
        <v>119</v>
      </c>
      <c r="L158" s="14">
        <v>30</v>
      </c>
      <c r="M158" s="113">
        <v>1</v>
      </c>
      <c r="N158" s="1"/>
      <c r="O158" s="11" t="s">
        <v>215</v>
      </c>
      <c r="P158" s="12">
        <v>1</v>
      </c>
      <c r="Q158" s="52" t="s">
        <v>216</v>
      </c>
      <c r="R158" s="12" t="s">
        <v>119</v>
      </c>
      <c r="S158" s="14">
        <v>25</v>
      </c>
      <c r="T158" s="113">
        <v>1</v>
      </c>
    </row>
    <row r="159" spans="1:129" x14ac:dyDescent="0.25">
      <c r="A159" s="11" t="s">
        <v>227</v>
      </c>
      <c r="B159" s="12">
        <v>1</v>
      </c>
      <c r="C159" s="52" t="s">
        <v>228</v>
      </c>
      <c r="D159" s="12" t="s">
        <v>118</v>
      </c>
      <c r="E159" s="14"/>
      <c r="F159" s="113"/>
      <c r="G159" s="1"/>
      <c r="H159" s="11" t="s">
        <v>227</v>
      </c>
      <c r="I159" s="12">
        <v>1</v>
      </c>
      <c r="J159" s="52" t="s">
        <v>228</v>
      </c>
      <c r="K159" s="12" t="s">
        <v>119</v>
      </c>
      <c r="L159" s="14"/>
      <c r="M159" s="113">
        <f>I159*1</f>
        <v>1</v>
      </c>
      <c r="N159" s="1"/>
      <c r="O159" s="11" t="s">
        <v>227</v>
      </c>
      <c r="P159" s="12">
        <v>1</v>
      </c>
      <c r="Q159" s="52" t="s">
        <v>228</v>
      </c>
      <c r="R159" s="12" t="s">
        <v>119</v>
      </c>
      <c r="S159" s="14"/>
      <c r="T159" s="113"/>
    </row>
    <row r="160" spans="1:129" x14ac:dyDescent="0.25">
      <c r="A160" s="11" t="s">
        <v>238</v>
      </c>
      <c r="B160" s="12">
        <v>1</v>
      </c>
      <c r="C160" s="52" t="s">
        <v>655</v>
      </c>
      <c r="D160" s="12" t="s">
        <v>118</v>
      </c>
      <c r="E160" s="14"/>
      <c r="F160" s="113"/>
      <c r="G160" s="1"/>
      <c r="H160" s="11" t="s">
        <v>238</v>
      </c>
      <c r="I160" s="12">
        <v>1</v>
      </c>
      <c r="J160" s="52" t="s">
        <v>655</v>
      </c>
      <c r="K160" s="12" t="s">
        <v>119</v>
      </c>
      <c r="L160" s="14"/>
      <c r="M160" s="113"/>
      <c r="N160" s="1"/>
      <c r="O160" s="11" t="s">
        <v>238</v>
      </c>
      <c r="P160" s="12">
        <v>1</v>
      </c>
      <c r="Q160" s="52" t="s">
        <v>655</v>
      </c>
      <c r="R160" s="12" t="s">
        <v>119</v>
      </c>
      <c r="S160" s="14"/>
      <c r="T160" s="113"/>
    </row>
    <row r="161" spans="1:120" x14ac:dyDescent="0.25">
      <c r="A161" s="11"/>
      <c r="B161" s="12"/>
      <c r="C161" s="198" t="s">
        <v>656</v>
      </c>
      <c r="D161" s="12" t="s">
        <v>118</v>
      </c>
      <c r="E161" s="14"/>
      <c r="F161" s="113"/>
      <c r="G161" s="1"/>
      <c r="H161" s="11"/>
      <c r="I161" s="12"/>
      <c r="J161" s="198" t="s">
        <v>656</v>
      </c>
      <c r="K161" s="12" t="s">
        <v>119</v>
      </c>
      <c r="L161" s="14"/>
      <c r="M161" s="113"/>
      <c r="N161" s="1"/>
      <c r="O161" s="11"/>
      <c r="P161" s="12"/>
      <c r="Q161" s="198" t="s">
        <v>656</v>
      </c>
      <c r="R161" s="12" t="s">
        <v>119</v>
      </c>
      <c r="S161" s="14"/>
      <c r="T161" s="113"/>
    </row>
    <row r="162" spans="1:120" x14ac:dyDescent="0.25">
      <c r="A162" s="199"/>
      <c r="B162" s="199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120" x14ac:dyDescent="0.25">
      <c r="A163" s="290" t="s">
        <v>82</v>
      </c>
      <c r="B163" s="290"/>
      <c r="C163" s="290"/>
      <c r="D163" s="290"/>
      <c r="E163" s="290"/>
      <c r="F163" s="290"/>
      <c r="G163" s="290"/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</row>
    <row r="164" spans="1:120" x14ac:dyDescent="0.25">
      <c r="A164" s="290"/>
      <c r="B164" s="290"/>
      <c r="C164" s="290"/>
      <c r="D164" s="290"/>
      <c r="E164" s="290"/>
      <c r="F164" s="290"/>
      <c r="G164" s="290"/>
      <c r="H164" s="290"/>
      <c r="I164" s="290"/>
      <c r="J164" s="290"/>
      <c r="K164" s="290"/>
      <c r="L164" s="290"/>
      <c r="M164" s="290"/>
      <c r="N164" s="290"/>
      <c r="O164" s="290"/>
      <c r="P164" s="290"/>
      <c r="Q164" s="290"/>
      <c r="R164" s="290"/>
      <c r="S164" s="290"/>
      <c r="T164" s="290"/>
    </row>
    <row r="165" spans="1:120" x14ac:dyDescent="0.25">
      <c r="A165" s="290"/>
      <c r="B165" s="290"/>
      <c r="C165" s="290"/>
      <c r="D165" s="290"/>
      <c r="E165" s="290"/>
      <c r="F165" s="290"/>
      <c r="G165" s="290"/>
      <c r="H165" s="290"/>
      <c r="I165" s="290"/>
      <c r="J165" s="290"/>
      <c r="K165" s="290"/>
      <c r="L165" s="290"/>
      <c r="M165" s="290"/>
      <c r="N165" s="290"/>
      <c r="O165" s="290"/>
      <c r="P165" s="290"/>
      <c r="Q165" s="290"/>
      <c r="R165" s="290"/>
      <c r="S165" s="290"/>
      <c r="T165" s="290"/>
    </row>
    <row r="166" spans="1:120" ht="15.75" thickBot="1" x14ac:dyDescent="0.3">
      <c r="A166" s="290"/>
      <c r="B166" s="290"/>
      <c r="C166" s="290"/>
      <c r="D166" s="290"/>
      <c r="E166" s="290"/>
      <c r="F166" s="290"/>
      <c r="G166" s="290"/>
      <c r="H166" s="290"/>
      <c r="I166" s="290"/>
      <c r="J166" s="290"/>
      <c r="K166" s="290"/>
      <c r="L166" s="290"/>
      <c r="M166" s="290"/>
      <c r="N166" s="290"/>
      <c r="O166" s="290"/>
      <c r="P166" s="290"/>
      <c r="Q166" s="290"/>
      <c r="R166" s="290"/>
      <c r="S166" s="290"/>
      <c r="T166" s="290"/>
    </row>
    <row r="167" spans="1:120" x14ac:dyDescent="0.25">
      <c r="A167" s="290"/>
      <c r="B167" s="290"/>
      <c r="C167" s="290"/>
      <c r="D167" s="290"/>
      <c r="E167" s="290"/>
      <c r="F167" s="290"/>
      <c r="G167" s="290"/>
      <c r="H167" s="290"/>
      <c r="I167" s="290"/>
      <c r="J167" s="290"/>
      <c r="K167" s="290"/>
      <c r="L167" s="290"/>
      <c r="M167" s="290"/>
      <c r="N167" s="290"/>
      <c r="O167" s="290"/>
      <c r="P167" s="290"/>
      <c r="Q167" s="290"/>
      <c r="R167" s="290"/>
      <c r="S167" s="290"/>
      <c r="T167" s="290"/>
      <c r="CX167" s="310" t="s">
        <v>450</v>
      </c>
      <c r="CY167" s="311"/>
      <c r="CZ167" s="311"/>
      <c r="DA167" s="311"/>
      <c r="DB167" s="311"/>
      <c r="DC167" s="311"/>
      <c r="DD167" s="311"/>
      <c r="DE167" s="311"/>
      <c r="DF167" s="311"/>
      <c r="DG167" s="311"/>
      <c r="DH167" s="311"/>
      <c r="DI167" s="312"/>
    </row>
    <row r="168" spans="1:120" x14ac:dyDescent="0.25">
      <c r="A168" s="129"/>
      <c r="B168" s="129"/>
      <c r="C168" s="129"/>
      <c r="D168" s="129"/>
      <c r="E168" s="129"/>
      <c r="F168" s="129"/>
      <c r="G168" s="129"/>
      <c r="H168" s="129"/>
      <c r="I168" s="129"/>
      <c r="J168" s="129"/>
      <c r="K168" s="129"/>
      <c r="L168" s="129"/>
      <c r="M168" s="129"/>
      <c r="N168" s="129"/>
      <c r="O168" s="129"/>
      <c r="P168" s="129"/>
      <c r="Q168" s="129"/>
      <c r="R168" s="129"/>
      <c r="S168" s="129"/>
      <c r="T168" s="129"/>
      <c r="CX168" s="313"/>
      <c r="CY168" s="314"/>
      <c r="CZ168" s="314"/>
      <c r="DA168" s="314"/>
      <c r="DB168" s="314"/>
      <c r="DC168" s="314"/>
      <c r="DD168" s="314"/>
      <c r="DE168" s="314"/>
      <c r="DF168" s="314"/>
      <c r="DG168" s="314"/>
      <c r="DH168" s="314"/>
      <c r="DI168" s="315"/>
    </row>
    <row r="169" spans="1:120" ht="45" x14ac:dyDescent="0.25">
      <c r="A169" s="129"/>
      <c r="B169" s="129"/>
      <c r="C169" s="129"/>
      <c r="D169" s="129"/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CX169" s="27" t="s">
        <v>5</v>
      </c>
      <c r="CY169" s="28" t="s">
        <v>657</v>
      </c>
      <c r="CZ169" s="28" t="s">
        <v>658</v>
      </c>
      <c r="DA169" s="107" t="s">
        <v>659</v>
      </c>
      <c r="DB169" s="107" t="s">
        <v>660</v>
      </c>
      <c r="DC169" s="107" t="s">
        <v>661</v>
      </c>
      <c r="DD169" s="107" t="s">
        <v>662</v>
      </c>
      <c r="DE169" s="107"/>
      <c r="DF169" s="109" t="s">
        <v>663</v>
      </c>
      <c r="DG169" s="109" t="s">
        <v>664</v>
      </c>
      <c r="DH169" s="109" t="s">
        <v>665</v>
      </c>
      <c r="DI169" s="110" t="s">
        <v>55</v>
      </c>
    </row>
    <row r="170" spans="1:120" x14ac:dyDescent="0.25">
      <c r="A170" s="129"/>
      <c r="B170" s="129"/>
      <c r="C170" s="129"/>
      <c r="D170" s="129"/>
      <c r="E170" s="129"/>
      <c r="F170" s="129"/>
      <c r="G170" s="129"/>
      <c r="H170" s="129"/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CX170" s="17" t="s">
        <v>70</v>
      </c>
      <c r="CY170" s="18" t="s">
        <v>666</v>
      </c>
      <c r="CZ170" s="18"/>
      <c r="DA170" s="18"/>
      <c r="DB170" s="18"/>
      <c r="DC170" s="18"/>
      <c r="DD170" s="72">
        <f>(CZ170*DF170)+(CZ170*DG170)+(CZ170*DH170)+(CZ170*DI170)</f>
        <v>0</v>
      </c>
      <c r="DE170" s="18"/>
      <c r="DF170" s="19">
        <v>4</v>
      </c>
      <c r="DG170" s="19" t="str">
        <f>IF(DA170="Yes","1.5","0")</f>
        <v>0</v>
      </c>
      <c r="DH170" s="19" t="str">
        <f>IF(DB170="Yes","2","0")</f>
        <v>0</v>
      </c>
      <c r="DI170" s="20" t="str">
        <f>IF(DC170="Yes","4","0")</f>
        <v>0</v>
      </c>
    </row>
    <row r="171" spans="1:120" x14ac:dyDescent="0.25">
      <c r="A171" s="129"/>
      <c r="B171" s="129"/>
      <c r="C171" s="129"/>
      <c r="D171" s="129"/>
      <c r="E171" s="129"/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CX171" s="17" t="s">
        <v>114</v>
      </c>
      <c r="CY171" s="18" t="s">
        <v>667</v>
      </c>
      <c r="CZ171" s="18"/>
      <c r="DA171" s="18"/>
      <c r="DB171" s="18"/>
      <c r="DC171" s="18"/>
      <c r="DD171" s="72">
        <f>(CZ171*DF171)+(CZ171*DG171)+(CZ171*DH171)+(CZ171*DI171)</f>
        <v>0</v>
      </c>
      <c r="DE171" s="18"/>
      <c r="DF171" s="19">
        <v>4</v>
      </c>
      <c r="DG171" s="19" t="str">
        <f t="shared" ref="DG171:DG173" si="74">IF(DA171="Yes","1.5","0")</f>
        <v>0</v>
      </c>
      <c r="DH171" s="19" t="str">
        <f t="shared" ref="DH171:DH173" si="75">IF(DB171="Yes","2","0")</f>
        <v>0</v>
      </c>
      <c r="DI171" s="20" t="str">
        <f t="shared" ref="DI171:DI173" si="76">IF(DC171="Yes","4","0")</f>
        <v>0</v>
      </c>
    </row>
    <row r="172" spans="1:120" x14ac:dyDescent="0.25">
      <c r="A172" s="129"/>
      <c r="B172" s="129"/>
      <c r="C172" s="129"/>
      <c r="D172" s="129"/>
      <c r="E172" s="129"/>
      <c r="F172" s="129"/>
      <c r="G172" s="129"/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CX172" s="17" t="s">
        <v>668</v>
      </c>
      <c r="CY172" s="18" t="s">
        <v>669</v>
      </c>
      <c r="CZ172" s="18"/>
      <c r="DA172" s="18"/>
      <c r="DB172" s="18"/>
      <c r="DC172" s="18"/>
      <c r="DD172" s="72">
        <f>(CZ172*DF172)+(CZ172*DG172)+(CZ172*DH172)+(CZ172*DI172)</f>
        <v>0</v>
      </c>
      <c r="DE172" s="18"/>
      <c r="DF172" s="19">
        <v>4</v>
      </c>
      <c r="DG172" s="19" t="str">
        <f t="shared" si="74"/>
        <v>0</v>
      </c>
      <c r="DH172" s="19" t="str">
        <f t="shared" si="75"/>
        <v>0</v>
      </c>
      <c r="DI172" s="20" t="str">
        <f t="shared" si="76"/>
        <v>0</v>
      </c>
    </row>
    <row r="173" spans="1:120" ht="15.75" thickBot="1" x14ac:dyDescent="0.3">
      <c r="A173" s="129"/>
      <c r="B173" s="129"/>
      <c r="C173" s="129"/>
      <c r="D173" s="129"/>
      <c r="E173" s="129"/>
      <c r="F173" s="129"/>
      <c r="G173" s="129"/>
      <c r="H173" s="129"/>
      <c r="I173" s="129"/>
      <c r="J173" s="129"/>
      <c r="K173" s="129"/>
      <c r="L173" s="129"/>
      <c r="M173" s="129"/>
      <c r="N173" s="129"/>
      <c r="O173" s="129"/>
      <c r="P173" s="129"/>
      <c r="Q173" s="129"/>
      <c r="R173" s="129"/>
      <c r="S173" s="129"/>
      <c r="T173" s="129"/>
      <c r="CX173" s="48" t="s">
        <v>670</v>
      </c>
      <c r="CY173" s="49" t="s">
        <v>671</v>
      </c>
      <c r="CZ173" s="49"/>
      <c r="DA173" s="49"/>
      <c r="DB173" s="49"/>
      <c r="DC173" s="49"/>
      <c r="DD173" s="50">
        <f>(CZ173*DF173)+(CZ173*DG173)+(CZ173*DH173)+(CZ173*DI173)</f>
        <v>0</v>
      </c>
      <c r="DE173" s="49"/>
      <c r="DF173" s="126">
        <v>4</v>
      </c>
      <c r="DG173" s="126" t="str">
        <f t="shared" si="74"/>
        <v>0</v>
      </c>
      <c r="DH173" s="126" t="str">
        <f t="shared" si="75"/>
        <v>0</v>
      </c>
      <c r="DI173" s="51" t="str">
        <f t="shared" si="76"/>
        <v>0</v>
      </c>
    </row>
    <row r="174" spans="1:120" ht="15.75" thickBot="1" x14ac:dyDescent="0.3">
      <c r="A174" s="129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</row>
    <row r="175" spans="1:120" x14ac:dyDescent="0.25">
      <c r="A175" s="129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  <c r="S175" s="129"/>
      <c r="T175" s="129"/>
      <c r="CX175" s="340" t="s">
        <v>456</v>
      </c>
      <c r="CY175" s="341"/>
      <c r="CZ175" s="341"/>
      <c r="DA175" s="341"/>
      <c r="DB175" s="341"/>
      <c r="DC175" s="341"/>
      <c r="DD175" s="341"/>
      <c r="DE175" s="341"/>
      <c r="DF175" s="342"/>
      <c r="DI175" s="266" t="s">
        <v>462</v>
      </c>
      <c r="DJ175" s="267"/>
      <c r="DK175" s="267"/>
      <c r="DL175" s="267"/>
      <c r="DM175" s="267"/>
      <c r="DN175" s="267"/>
      <c r="DO175" s="267"/>
      <c r="DP175" s="268"/>
    </row>
    <row r="176" spans="1:120" x14ac:dyDescent="0.25">
      <c r="A176" s="129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CX176" s="343"/>
      <c r="CY176" s="344"/>
      <c r="CZ176" s="344"/>
      <c r="DA176" s="344"/>
      <c r="DB176" s="344"/>
      <c r="DC176" s="344"/>
      <c r="DD176" s="344"/>
      <c r="DE176" s="344"/>
      <c r="DF176" s="345"/>
      <c r="DI176" s="284"/>
      <c r="DJ176" s="285"/>
      <c r="DK176" s="285"/>
      <c r="DL176" s="285"/>
      <c r="DM176" s="285"/>
      <c r="DN176" s="285"/>
      <c r="DO176" s="285"/>
      <c r="DP176" s="286"/>
    </row>
    <row r="177" spans="1:120" ht="60" x14ac:dyDescent="0.25">
      <c r="A177" s="129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CX177" s="106" t="s">
        <v>5</v>
      </c>
      <c r="CY177" s="107" t="s">
        <v>657</v>
      </c>
      <c r="CZ177" s="107" t="s">
        <v>658</v>
      </c>
      <c r="DA177" s="107" t="s">
        <v>672</v>
      </c>
      <c r="DB177" s="107" t="s">
        <v>673</v>
      </c>
      <c r="DC177" s="107" t="s">
        <v>662</v>
      </c>
      <c r="DD177" s="107"/>
      <c r="DE177" s="109" t="s">
        <v>674</v>
      </c>
      <c r="DF177" s="110" t="s">
        <v>664</v>
      </c>
      <c r="DI177" s="106" t="s">
        <v>5</v>
      </c>
      <c r="DJ177" s="107" t="s">
        <v>657</v>
      </c>
      <c r="DK177" s="107" t="s">
        <v>658</v>
      </c>
      <c r="DL177" s="107" t="s">
        <v>673</v>
      </c>
      <c r="DM177" s="107" t="s">
        <v>662</v>
      </c>
      <c r="DN177" s="107"/>
      <c r="DO177" s="109" t="s">
        <v>663</v>
      </c>
      <c r="DP177" s="110" t="s">
        <v>664</v>
      </c>
    </row>
    <row r="178" spans="1:120" x14ac:dyDescent="0.25">
      <c r="A178" s="129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CX178" s="17" t="s">
        <v>675</v>
      </c>
      <c r="CY178" s="18" t="s">
        <v>676</v>
      </c>
      <c r="CZ178" s="18"/>
      <c r="DA178" s="18"/>
      <c r="DB178" s="18"/>
      <c r="DC178" s="72">
        <f>(CZ178*DE178)+(CZ178*DF178)</f>
        <v>0</v>
      </c>
      <c r="DD178" s="18"/>
      <c r="DE178" s="19" t="str">
        <f>IF(DA178="Side Mount","4","5")</f>
        <v>5</v>
      </c>
      <c r="DF178" s="20" t="str">
        <f>IF(DB178="Yes","1.5","0")</f>
        <v>0</v>
      </c>
      <c r="DI178" s="17" t="s">
        <v>70</v>
      </c>
      <c r="DJ178" s="18" t="s">
        <v>677</v>
      </c>
      <c r="DK178" s="18"/>
      <c r="DL178" s="18"/>
      <c r="DM178" s="72">
        <f t="shared" ref="DM178:DM185" si="77">(DK178*DO178)+(DK178*DP178)</f>
        <v>0</v>
      </c>
      <c r="DN178" s="18"/>
      <c r="DO178" s="19">
        <v>4</v>
      </c>
      <c r="DP178" s="20" t="str">
        <f>IF(DL178="Yes","1.5","0")</f>
        <v>0</v>
      </c>
    </row>
    <row r="179" spans="1:120" x14ac:dyDescent="0.25">
      <c r="A179" s="129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  <c r="N179" s="129"/>
      <c r="O179" s="129"/>
      <c r="P179" s="129"/>
      <c r="Q179" s="129"/>
      <c r="R179" s="129"/>
      <c r="S179" s="129"/>
      <c r="T179" s="129"/>
      <c r="CX179" s="17" t="s">
        <v>670</v>
      </c>
      <c r="CY179" s="18" t="s">
        <v>678</v>
      </c>
      <c r="CZ179" s="18"/>
      <c r="DA179" s="18"/>
      <c r="DB179" s="18"/>
      <c r="DC179" s="72">
        <f t="shared" ref="DC179:DC182" si="78">(CZ179*DE179)+(CZ179*DF179)</f>
        <v>0</v>
      </c>
      <c r="DD179" s="18"/>
      <c r="DE179" s="19" t="str">
        <f>IF(DA179="Side Mount","5","6")</f>
        <v>6</v>
      </c>
      <c r="DF179" s="20" t="str">
        <f>IF(DB179="Yes","1.5","0")</f>
        <v>0</v>
      </c>
      <c r="DI179" s="17" t="s">
        <v>114</v>
      </c>
      <c r="DJ179" s="18" t="s">
        <v>679</v>
      </c>
      <c r="DK179" s="18"/>
      <c r="DL179" s="18"/>
      <c r="DM179" s="72">
        <f t="shared" si="77"/>
        <v>0</v>
      </c>
      <c r="DN179" s="18"/>
      <c r="DO179" s="19">
        <v>4.5</v>
      </c>
      <c r="DP179" s="20" t="str">
        <f>IF(DL179="Yes","1.5","0")</f>
        <v>0</v>
      </c>
    </row>
    <row r="180" spans="1:120" ht="26.25" x14ac:dyDescent="0.4">
      <c r="A180" s="129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  <c r="N180" s="129"/>
      <c r="O180" s="129"/>
      <c r="P180" s="129"/>
      <c r="Q180" s="129"/>
      <c r="R180" s="129"/>
      <c r="S180" s="129"/>
      <c r="T180" s="129"/>
      <c r="Y180" s="260" t="s">
        <v>680</v>
      </c>
      <c r="Z180" s="261"/>
      <c r="AA180" s="261"/>
      <c r="AB180" s="261"/>
      <c r="AC180" s="261"/>
      <c r="AD180" s="261"/>
      <c r="AE180" s="261"/>
      <c r="AF180" s="261"/>
      <c r="AG180" s="261"/>
      <c r="AH180" s="261"/>
      <c r="AI180" s="261"/>
      <c r="AJ180" s="261"/>
      <c r="AK180" s="261"/>
      <c r="AL180" s="261"/>
      <c r="AM180" s="261"/>
      <c r="AN180" s="261"/>
      <c r="AO180" s="261"/>
      <c r="AX180" s="260" t="s">
        <v>681</v>
      </c>
      <c r="AY180" s="261"/>
      <c r="AZ180" s="261"/>
      <c r="BA180" s="261"/>
      <c r="BB180" s="261"/>
      <c r="BC180" s="261"/>
      <c r="BD180" s="261"/>
      <c r="BE180" s="261"/>
      <c r="BF180" s="261"/>
      <c r="BG180" s="261"/>
      <c r="BH180" s="261"/>
      <c r="BI180" s="261"/>
      <c r="BJ180" s="261"/>
      <c r="BK180" s="261"/>
      <c r="BL180" s="261"/>
      <c r="BM180" s="261"/>
      <c r="BN180" s="261"/>
      <c r="BX180" s="260" t="s">
        <v>682</v>
      </c>
      <c r="BY180" s="261"/>
      <c r="BZ180" s="261"/>
      <c r="CA180" s="261"/>
      <c r="CB180" s="261"/>
      <c r="CC180" s="261"/>
      <c r="CD180" s="261"/>
      <c r="CE180" s="261"/>
      <c r="CF180" s="261"/>
      <c r="CG180" s="261"/>
      <c r="CH180" s="261"/>
      <c r="CI180" s="261"/>
      <c r="CJ180" s="261"/>
      <c r="CK180" s="261"/>
      <c r="CL180" s="261"/>
      <c r="CM180" s="261"/>
      <c r="CN180" s="261"/>
      <c r="CX180" s="17" t="s">
        <v>683</v>
      </c>
      <c r="CY180" s="18" t="s">
        <v>684</v>
      </c>
      <c r="CZ180" s="18"/>
      <c r="DA180" s="18"/>
      <c r="DB180" s="18"/>
      <c r="DC180" s="72">
        <f t="shared" si="78"/>
        <v>0</v>
      </c>
      <c r="DD180" s="18"/>
      <c r="DE180" s="19" t="str">
        <f>IF(DA180="Side Mount","6","7")</f>
        <v>7</v>
      </c>
      <c r="DF180" s="20" t="str">
        <f>IF(DB180="Yes","1.5","0")</f>
        <v>0</v>
      </c>
      <c r="DI180" s="17" t="s">
        <v>668</v>
      </c>
      <c r="DJ180" s="18" t="s">
        <v>685</v>
      </c>
      <c r="DK180" s="18"/>
      <c r="DL180" s="18"/>
      <c r="DM180" s="72">
        <f t="shared" si="77"/>
        <v>0</v>
      </c>
      <c r="DN180" s="18"/>
      <c r="DO180" s="19">
        <v>5</v>
      </c>
      <c r="DP180" s="20" t="str">
        <f>IF(DL180="Yes","1.5","0")</f>
        <v>0</v>
      </c>
    </row>
    <row r="181" spans="1:120" ht="24" x14ac:dyDescent="0.4">
      <c r="A181" s="129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  <c r="N181" s="129"/>
      <c r="O181" s="129"/>
      <c r="P181" s="129"/>
      <c r="Q181" s="129"/>
      <c r="R181" s="129"/>
      <c r="S181" s="129"/>
      <c r="T181" s="129"/>
      <c r="Y181" s="269" t="s">
        <v>686</v>
      </c>
      <c r="Z181" s="269"/>
      <c r="AA181" s="269"/>
      <c r="AB181" s="269"/>
      <c r="AC181" s="269"/>
      <c r="AD181" s="269"/>
      <c r="AE181" s="269"/>
      <c r="AF181" s="269"/>
      <c r="AG181" s="1"/>
      <c r="AH181" s="327" t="s">
        <v>687</v>
      </c>
      <c r="AI181" s="328"/>
      <c r="AJ181" s="328"/>
      <c r="AK181" s="328"/>
      <c r="AL181" s="328"/>
      <c r="AM181" s="328"/>
      <c r="AN181" s="328"/>
      <c r="AO181" s="329"/>
      <c r="AX181" s="269" t="s">
        <v>686</v>
      </c>
      <c r="AY181" s="269"/>
      <c r="AZ181" s="269"/>
      <c r="BA181" s="269"/>
      <c r="BB181" s="269"/>
      <c r="BC181" s="269"/>
      <c r="BD181" s="269"/>
      <c r="BE181" s="269"/>
      <c r="BF181" s="1"/>
      <c r="BG181" s="327" t="s">
        <v>688</v>
      </c>
      <c r="BH181" s="328"/>
      <c r="BI181" s="328"/>
      <c r="BJ181" s="328"/>
      <c r="BK181" s="328"/>
      <c r="BL181" s="328"/>
      <c r="BM181" s="328"/>
      <c r="BN181" s="329"/>
      <c r="BX181" s="269" t="s">
        <v>686</v>
      </c>
      <c r="BY181" s="269"/>
      <c r="BZ181" s="269"/>
      <c r="CA181" s="269"/>
      <c r="CB181" s="269"/>
      <c r="CC181" s="269"/>
      <c r="CD181" s="269"/>
      <c r="CE181" s="269"/>
      <c r="CF181" s="1"/>
      <c r="CG181" s="327" t="s">
        <v>688</v>
      </c>
      <c r="CH181" s="328"/>
      <c r="CI181" s="328"/>
      <c r="CJ181" s="328"/>
      <c r="CK181" s="328"/>
      <c r="CL181" s="328"/>
      <c r="CM181" s="328"/>
      <c r="CN181" s="329"/>
      <c r="CX181" s="17" t="s">
        <v>689</v>
      </c>
      <c r="CY181" s="18" t="s">
        <v>690</v>
      </c>
      <c r="CZ181" s="18"/>
      <c r="DA181" s="18"/>
      <c r="DB181" s="18"/>
      <c r="DC181" s="72">
        <f t="shared" si="78"/>
        <v>0</v>
      </c>
      <c r="DD181" s="18"/>
      <c r="DE181" s="19" t="str">
        <f>IF(DA181="Side Mount","7","8")</f>
        <v>8</v>
      </c>
      <c r="DF181" s="20" t="str">
        <f>IF(DB181="Yes","2","0")</f>
        <v>0</v>
      </c>
      <c r="DI181" s="17" t="s">
        <v>670</v>
      </c>
      <c r="DJ181" s="18" t="s">
        <v>691</v>
      </c>
      <c r="DK181" s="18"/>
      <c r="DL181" s="18"/>
      <c r="DM181" s="72">
        <f t="shared" si="77"/>
        <v>0</v>
      </c>
      <c r="DN181" s="18"/>
      <c r="DO181" s="19">
        <v>6</v>
      </c>
      <c r="DP181" s="20" t="str">
        <f>IF(DL181="Yes","1.5","0")</f>
        <v>0</v>
      </c>
    </row>
    <row r="182" spans="1:120" ht="15.75" thickBot="1" x14ac:dyDescent="0.3">
      <c r="A182" s="129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  <c r="N182" s="129"/>
      <c r="O182" s="129"/>
      <c r="P182" s="129"/>
      <c r="Q182" s="129"/>
      <c r="R182" s="129"/>
      <c r="S182" s="129"/>
      <c r="T182" s="129"/>
      <c r="Y182" s="53" t="s">
        <v>692</v>
      </c>
      <c r="Z182" s="54">
        <v>1</v>
      </c>
      <c r="AA182" s="53" t="s">
        <v>693</v>
      </c>
      <c r="AB182" s="12" t="s">
        <v>694</v>
      </c>
      <c r="AC182" s="60"/>
      <c r="AD182" s="61"/>
      <c r="AE182" s="57"/>
      <c r="AF182" s="58" t="s">
        <v>347</v>
      </c>
      <c r="AG182" s="1"/>
      <c r="AH182" s="74" t="s">
        <v>695</v>
      </c>
      <c r="AI182" s="12">
        <v>1</v>
      </c>
      <c r="AJ182" s="53" t="s">
        <v>929</v>
      </c>
      <c r="AK182" s="12" t="s">
        <v>123</v>
      </c>
      <c r="AL182" s="60"/>
      <c r="AM182" s="76"/>
      <c r="AN182" s="57"/>
      <c r="AO182" s="63"/>
      <c r="AX182" s="53" t="s">
        <v>692</v>
      </c>
      <c r="AY182" s="54">
        <v>1</v>
      </c>
      <c r="AZ182" s="53" t="s">
        <v>693</v>
      </c>
      <c r="BA182" s="12" t="s">
        <v>696</v>
      </c>
      <c r="BB182" s="60"/>
      <c r="BC182" s="61"/>
      <c r="BD182" s="57"/>
      <c r="BE182" s="59" t="s">
        <v>129</v>
      </c>
      <c r="BF182" s="1"/>
      <c r="BG182" s="53" t="s">
        <v>695</v>
      </c>
      <c r="BH182" s="54">
        <v>1</v>
      </c>
      <c r="BI182" s="53" t="s">
        <v>929</v>
      </c>
      <c r="BJ182" s="54" t="s">
        <v>128</v>
      </c>
      <c r="BK182" s="114"/>
      <c r="BL182" s="200"/>
      <c r="BM182" s="57"/>
      <c r="BN182" s="117" t="s">
        <v>129</v>
      </c>
      <c r="BX182" s="53" t="s">
        <v>692</v>
      </c>
      <c r="BY182" s="54">
        <v>1</v>
      </c>
      <c r="BZ182" s="53" t="s">
        <v>693</v>
      </c>
      <c r="CA182" s="12" t="s">
        <v>697</v>
      </c>
      <c r="CB182" s="60"/>
      <c r="CC182" s="76"/>
      <c r="CD182" s="57"/>
      <c r="CE182" s="58" t="s">
        <v>131</v>
      </c>
      <c r="CF182" s="1"/>
      <c r="CG182" s="74" t="s">
        <v>695</v>
      </c>
      <c r="CH182" s="12">
        <v>1</v>
      </c>
      <c r="CI182" s="53" t="s">
        <v>929</v>
      </c>
      <c r="CJ182" s="12" t="s">
        <v>130</v>
      </c>
      <c r="CK182" s="118"/>
      <c r="CL182" s="76"/>
      <c r="CM182" s="57"/>
      <c r="CN182" s="117" t="s">
        <v>698</v>
      </c>
      <c r="CX182" s="48" t="s">
        <v>699</v>
      </c>
      <c r="CY182" s="49" t="s">
        <v>700</v>
      </c>
      <c r="CZ182" s="49"/>
      <c r="DA182" s="49"/>
      <c r="DB182" s="49"/>
      <c r="DC182" s="50">
        <f t="shared" si="78"/>
        <v>0</v>
      </c>
      <c r="DD182" s="49"/>
      <c r="DE182" s="126" t="str">
        <f>IF(DA182="Side Mount","8","10")</f>
        <v>10</v>
      </c>
      <c r="DF182" s="51" t="str">
        <f>IF(DB182="Yes","2.5","0")</f>
        <v>0</v>
      </c>
      <c r="DI182" s="17" t="s">
        <v>683</v>
      </c>
      <c r="DJ182" s="18" t="s">
        <v>701</v>
      </c>
      <c r="DK182" s="18">
        <v>4</v>
      </c>
      <c r="DL182" s="18"/>
      <c r="DM182" s="72">
        <f t="shared" si="77"/>
        <v>28</v>
      </c>
      <c r="DN182" s="18"/>
      <c r="DO182" s="19">
        <v>7</v>
      </c>
      <c r="DP182" s="20" t="str">
        <f>IF(DL182="Yes","3","0")</f>
        <v>0</v>
      </c>
    </row>
    <row r="183" spans="1:120" x14ac:dyDescent="0.25">
      <c r="A183" s="129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  <c r="N183" s="129"/>
      <c r="O183" s="129"/>
      <c r="P183" s="129"/>
      <c r="Q183" s="129"/>
      <c r="R183" s="129"/>
      <c r="S183" s="129"/>
      <c r="T183" s="129"/>
      <c r="Y183" s="53" t="s">
        <v>692</v>
      </c>
      <c r="Z183" s="54">
        <v>1</v>
      </c>
      <c r="AA183" s="53" t="s">
        <v>702</v>
      </c>
      <c r="AB183" s="12" t="s">
        <v>694</v>
      </c>
      <c r="AC183" s="60"/>
      <c r="AD183" s="61"/>
      <c r="AE183" s="57"/>
      <c r="AF183" s="58" t="s">
        <v>347</v>
      </c>
      <c r="AG183" s="1"/>
      <c r="AH183" s="74" t="s">
        <v>695</v>
      </c>
      <c r="AI183" s="12">
        <v>1</v>
      </c>
      <c r="AJ183" s="53" t="s">
        <v>930</v>
      </c>
      <c r="AK183" s="12" t="s">
        <v>123</v>
      </c>
      <c r="AL183" s="60"/>
      <c r="AM183" s="76"/>
      <c r="AN183" s="57"/>
      <c r="AO183" s="117" t="s">
        <v>703</v>
      </c>
      <c r="AX183" s="53" t="s">
        <v>692</v>
      </c>
      <c r="AY183" s="54">
        <v>1</v>
      </c>
      <c r="AZ183" s="53" t="s">
        <v>702</v>
      </c>
      <c r="BA183" s="12" t="s">
        <v>696</v>
      </c>
      <c r="BB183" s="60"/>
      <c r="BC183" s="61"/>
      <c r="BD183" s="57"/>
      <c r="BE183" s="59" t="s">
        <v>129</v>
      </c>
      <c r="BF183" s="1"/>
      <c r="BG183" s="74" t="s">
        <v>695</v>
      </c>
      <c r="BH183" s="12">
        <v>1</v>
      </c>
      <c r="BI183" s="53" t="s">
        <v>930</v>
      </c>
      <c r="BJ183" s="12" t="s">
        <v>128</v>
      </c>
      <c r="BK183" s="114"/>
      <c r="BL183" s="61"/>
      <c r="BM183" s="57"/>
      <c r="BN183" s="117" t="s">
        <v>129</v>
      </c>
      <c r="BX183" s="53" t="s">
        <v>692</v>
      </c>
      <c r="BY183" s="54">
        <v>1</v>
      </c>
      <c r="BZ183" s="53" t="s">
        <v>702</v>
      </c>
      <c r="CA183" s="12" t="s">
        <v>697</v>
      </c>
      <c r="CB183" s="60"/>
      <c r="CC183" s="76"/>
      <c r="CD183" s="57"/>
      <c r="CE183" s="58" t="s">
        <v>131</v>
      </c>
      <c r="CF183" s="1"/>
      <c r="CG183" s="74" t="s">
        <v>695</v>
      </c>
      <c r="CH183" s="12">
        <v>1</v>
      </c>
      <c r="CI183" s="53" t="s">
        <v>930</v>
      </c>
      <c r="CJ183" s="12" t="s">
        <v>130</v>
      </c>
      <c r="CK183" s="118"/>
      <c r="CL183" s="76"/>
      <c r="CM183" s="57"/>
      <c r="CN183" s="117"/>
      <c r="DI183" s="17" t="s">
        <v>689</v>
      </c>
      <c r="DJ183" s="18" t="s">
        <v>704</v>
      </c>
      <c r="DK183" s="18"/>
      <c r="DL183" s="18"/>
      <c r="DM183" s="72">
        <f t="shared" si="77"/>
        <v>0</v>
      </c>
      <c r="DN183" s="18"/>
      <c r="DO183" s="19">
        <v>8</v>
      </c>
      <c r="DP183" s="20" t="str">
        <f>IF(DL183="Yes","4","0")</f>
        <v>0</v>
      </c>
    </row>
    <row r="184" spans="1:120" x14ac:dyDescent="0.25">
      <c r="A184" s="129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  <c r="N184" s="129"/>
      <c r="O184" s="129"/>
      <c r="P184" s="129"/>
      <c r="Q184" s="129"/>
      <c r="R184" s="129"/>
      <c r="S184" s="129"/>
      <c r="T184" s="129"/>
      <c r="Y184" s="53" t="s">
        <v>692</v>
      </c>
      <c r="Z184" s="54">
        <v>1</v>
      </c>
      <c r="AA184" s="53" t="s">
        <v>705</v>
      </c>
      <c r="AB184" s="12" t="s">
        <v>694</v>
      </c>
      <c r="AC184" s="100"/>
      <c r="AD184" s="101"/>
      <c r="AE184" s="57"/>
      <c r="AF184" s="58" t="s">
        <v>706</v>
      </c>
      <c r="AG184" s="1"/>
      <c r="AH184" s="74" t="s">
        <v>695</v>
      </c>
      <c r="AI184" s="12">
        <v>1</v>
      </c>
      <c r="AJ184" s="53" t="s">
        <v>931</v>
      </c>
      <c r="AK184" s="12" t="s">
        <v>123</v>
      </c>
      <c r="AL184" s="60"/>
      <c r="AM184" s="76"/>
      <c r="AN184" s="57"/>
      <c r="AO184" s="117" t="s">
        <v>703</v>
      </c>
      <c r="AQ184" s="271" t="s">
        <v>82</v>
      </c>
      <c r="AR184" s="271"/>
      <c r="AS184" s="271"/>
      <c r="AT184" s="271"/>
      <c r="AU184" s="271"/>
      <c r="AX184" s="53" t="s">
        <v>692</v>
      </c>
      <c r="AY184" s="54">
        <v>1</v>
      </c>
      <c r="AZ184" s="53" t="s">
        <v>705</v>
      </c>
      <c r="BA184" s="12" t="s">
        <v>696</v>
      </c>
      <c r="BB184" s="100"/>
      <c r="BC184" s="101"/>
      <c r="BD184" s="57"/>
      <c r="BE184" s="59" t="s">
        <v>129</v>
      </c>
      <c r="BF184" s="1"/>
      <c r="BG184" s="74" t="s">
        <v>695</v>
      </c>
      <c r="BH184" s="12">
        <v>1</v>
      </c>
      <c r="BI184" s="53" t="s">
        <v>931</v>
      </c>
      <c r="BJ184" s="12" t="s">
        <v>128</v>
      </c>
      <c r="BK184" s="114"/>
      <c r="BL184" s="61"/>
      <c r="BM184" s="57"/>
      <c r="BN184" s="117" t="s">
        <v>129</v>
      </c>
      <c r="BP184" s="271" t="s">
        <v>82</v>
      </c>
      <c r="BQ184" s="271"/>
      <c r="BR184" s="271"/>
      <c r="BS184" s="271"/>
      <c r="BT184" s="271"/>
      <c r="BX184" s="53" t="s">
        <v>692</v>
      </c>
      <c r="BY184" s="54">
        <v>1</v>
      </c>
      <c r="BZ184" s="53" t="s">
        <v>705</v>
      </c>
      <c r="CA184" s="12" t="s">
        <v>697</v>
      </c>
      <c r="CB184" s="100"/>
      <c r="CC184" s="60"/>
      <c r="CD184" s="57"/>
      <c r="CE184" s="58" t="s">
        <v>131</v>
      </c>
      <c r="CF184" s="1"/>
      <c r="CG184" s="74" t="s">
        <v>695</v>
      </c>
      <c r="CH184" s="12">
        <v>1</v>
      </c>
      <c r="CI184" s="53" t="s">
        <v>931</v>
      </c>
      <c r="CJ184" s="12" t="s">
        <v>130</v>
      </c>
      <c r="CK184" s="118"/>
      <c r="CL184" s="76"/>
      <c r="CM184" s="57"/>
      <c r="CN184" s="117" t="s">
        <v>698</v>
      </c>
      <c r="CP184" s="271" t="s">
        <v>82</v>
      </c>
      <c r="CQ184" s="271"/>
      <c r="CR184" s="271"/>
      <c r="CS184" s="271"/>
      <c r="CT184" s="271"/>
      <c r="DI184" s="17" t="s">
        <v>707</v>
      </c>
      <c r="DJ184" s="18" t="s">
        <v>708</v>
      </c>
      <c r="DK184" s="18"/>
      <c r="DL184" s="18"/>
      <c r="DM184" s="72">
        <f t="shared" si="77"/>
        <v>0</v>
      </c>
      <c r="DN184" s="18"/>
      <c r="DO184" s="19">
        <v>10</v>
      </c>
      <c r="DP184" s="20" t="str">
        <f>IF(DL184="Yes","5","0")</f>
        <v>0</v>
      </c>
    </row>
    <row r="185" spans="1:120" ht="15.75" thickBot="1" x14ac:dyDescent="0.3">
      <c r="A185" s="129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  <c r="N185" s="129"/>
      <c r="O185" s="129"/>
      <c r="P185" s="129"/>
      <c r="Q185" s="129"/>
      <c r="R185" s="129"/>
      <c r="S185" s="129"/>
      <c r="T185" s="129"/>
      <c r="Y185" s="53" t="s">
        <v>692</v>
      </c>
      <c r="Z185" s="54">
        <v>1</v>
      </c>
      <c r="AA185" s="53" t="s">
        <v>709</v>
      </c>
      <c r="AB185" s="12" t="s">
        <v>694</v>
      </c>
      <c r="AC185" s="100"/>
      <c r="AD185" s="101"/>
      <c r="AE185" s="57"/>
      <c r="AF185" s="58" t="s">
        <v>347</v>
      </c>
      <c r="AG185" s="1"/>
      <c r="AH185" s="74" t="s">
        <v>695</v>
      </c>
      <c r="AI185" s="12">
        <v>1</v>
      </c>
      <c r="AJ185" s="53" t="s">
        <v>932</v>
      </c>
      <c r="AK185" s="12" t="s">
        <v>123</v>
      </c>
      <c r="AL185" s="60"/>
      <c r="AM185" s="76"/>
      <c r="AN185" s="57"/>
      <c r="AO185" s="117" t="s">
        <v>706</v>
      </c>
      <c r="AQ185" s="271"/>
      <c r="AR185" s="271"/>
      <c r="AS185" s="271"/>
      <c r="AT185" s="271"/>
      <c r="AU185" s="271"/>
      <c r="AX185" s="53" t="s">
        <v>692</v>
      </c>
      <c r="AY185" s="54">
        <v>1</v>
      </c>
      <c r="AZ185" s="53" t="s">
        <v>709</v>
      </c>
      <c r="BA185" s="12" t="s">
        <v>696</v>
      </c>
      <c r="BB185" s="100"/>
      <c r="BC185" s="60"/>
      <c r="BD185" s="57"/>
      <c r="BE185" s="59" t="s">
        <v>129</v>
      </c>
      <c r="BF185" s="1"/>
      <c r="BG185" s="74" t="s">
        <v>695</v>
      </c>
      <c r="BH185" s="12">
        <v>1</v>
      </c>
      <c r="BI185" s="53" t="s">
        <v>932</v>
      </c>
      <c r="BJ185" s="12" t="s">
        <v>128</v>
      </c>
      <c r="BK185" s="114"/>
      <c r="BL185" s="61"/>
      <c r="BM185" s="57"/>
      <c r="BN185" s="117" t="s">
        <v>129</v>
      </c>
      <c r="BP185" s="271"/>
      <c r="BQ185" s="271"/>
      <c r="BR185" s="271"/>
      <c r="BS185" s="271"/>
      <c r="BT185" s="271"/>
      <c r="BX185" s="53" t="s">
        <v>692</v>
      </c>
      <c r="BY185" s="54">
        <v>1</v>
      </c>
      <c r="BZ185" s="53" t="s">
        <v>709</v>
      </c>
      <c r="CA185" s="12" t="s">
        <v>697</v>
      </c>
      <c r="CB185" s="100">
        <f>BY185*27</f>
        <v>27</v>
      </c>
      <c r="CC185" s="102"/>
      <c r="CD185" s="57">
        <v>45376</v>
      </c>
      <c r="CE185" s="58" t="s">
        <v>131</v>
      </c>
      <c r="CF185" s="1"/>
      <c r="CG185" s="74" t="s">
        <v>695</v>
      </c>
      <c r="CH185" s="12">
        <v>1</v>
      </c>
      <c r="CI185" s="53" t="s">
        <v>932</v>
      </c>
      <c r="CJ185" s="12" t="s">
        <v>130</v>
      </c>
      <c r="CK185" s="118"/>
      <c r="CL185" s="76"/>
      <c r="CM185" s="57"/>
      <c r="CN185" s="117" t="s">
        <v>710</v>
      </c>
      <c r="CP185" s="271"/>
      <c r="CQ185" s="271"/>
      <c r="CR185" s="271"/>
      <c r="CS185" s="271"/>
      <c r="CT185" s="271"/>
      <c r="DI185" s="48" t="s">
        <v>711</v>
      </c>
      <c r="DJ185" s="49" t="s">
        <v>712</v>
      </c>
      <c r="DK185" s="49"/>
      <c r="DL185" s="49"/>
      <c r="DM185" s="50">
        <f t="shared" si="77"/>
        <v>0</v>
      </c>
      <c r="DN185" s="49"/>
      <c r="DO185" s="126">
        <v>12</v>
      </c>
      <c r="DP185" s="51" t="str">
        <f>IF(DL185="Yes","6","0")</f>
        <v>0</v>
      </c>
    </row>
    <row r="186" spans="1:120" ht="15.75" x14ac:dyDescent="0.25">
      <c r="A186" s="129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  <c r="N186" s="129"/>
      <c r="O186" s="129"/>
      <c r="P186" s="129"/>
      <c r="Q186" s="129"/>
      <c r="R186" s="129"/>
      <c r="S186" s="129"/>
      <c r="T186" s="129"/>
      <c r="Y186" s="53" t="s">
        <v>692</v>
      </c>
      <c r="Z186" s="54">
        <v>1</v>
      </c>
      <c r="AA186" s="258" t="s">
        <v>946</v>
      </c>
      <c r="AB186" s="12" t="s">
        <v>694</v>
      </c>
      <c r="AC186" s="100"/>
      <c r="AD186" s="101"/>
      <c r="AE186" s="57"/>
      <c r="AF186" s="58" t="s">
        <v>347</v>
      </c>
      <c r="AG186" s="1"/>
      <c r="AH186" s="74" t="s">
        <v>695</v>
      </c>
      <c r="AI186" s="12">
        <v>1</v>
      </c>
      <c r="AJ186" s="53" t="s">
        <v>933</v>
      </c>
      <c r="AK186" s="12" t="s">
        <v>123</v>
      </c>
      <c r="AL186" s="60"/>
      <c r="AM186" s="76"/>
      <c r="AN186" s="57"/>
      <c r="AO186" s="117" t="s">
        <v>127</v>
      </c>
      <c r="AQ186" s="271"/>
      <c r="AR186" s="271"/>
      <c r="AS186" s="271"/>
      <c r="AT186" s="271"/>
      <c r="AU186" s="271"/>
      <c r="AX186" s="53" t="s">
        <v>692</v>
      </c>
      <c r="AY186" s="54">
        <v>1</v>
      </c>
      <c r="AZ186" s="258" t="s">
        <v>946</v>
      </c>
      <c r="BA186" s="12" t="s">
        <v>696</v>
      </c>
      <c r="BB186" s="100">
        <f>AY186*38</f>
        <v>38</v>
      </c>
      <c r="BC186" s="60"/>
      <c r="BD186" s="57">
        <v>45376</v>
      </c>
      <c r="BE186" s="59" t="s">
        <v>129</v>
      </c>
      <c r="BF186" s="1"/>
      <c r="BG186" s="74" t="s">
        <v>695</v>
      </c>
      <c r="BH186" s="12">
        <v>1</v>
      </c>
      <c r="BI186" s="53" t="s">
        <v>933</v>
      </c>
      <c r="BJ186" s="12" t="s">
        <v>128</v>
      </c>
      <c r="BK186" s="114"/>
      <c r="BL186" s="61"/>
      <c r="BM186" s="57"/>
      <c r="BN186" s="117" t="s">
        <v>129</v>
      </c>
      <c r="BP186" s="271"/>
      <c r="BQ186" s="271"/>
      <c r="BR186" s="271"/>
      <c r="BS186" s="271"/>
      <c r="BT186" s="271"/>
      <c r="BX186" s="53" t="s">
        <v>692</v>
      </c>
      <c r="BY186" s="54">
        <v>1</v>
      </c>
      <c r="BZ186" s="258" t="s">
        <v>946</v>
      </c>
      <c r="CA186" s="12" t="s">
        <v>697</v>
      </c>
      <c r="CB186" s="100">
        <v>555</v>
      </c>
      <c r="CC186" s="102"/>
      <c r="CD186" s="57"/>
      <c r="CE186" s="58" t="s">
        <v>131</v>
      </c>
      <c r="CF186" s="1"/>
      <c r="CG186" s="74" t="s">
        <v>695</v>
      </c>
      <c r="CH186" s="12">
        <v>1</v>
      </c>
      <c r="CI186" s="53" t="s">
        <v>933</v>
      </c>
      <c r="CJ186" s="12" t="s">
        <v>130</v>
      </c>
      <c r="CK186" s="118"/>
      <c r="CL186" s="76"/>
      <c r="CM186" s="57"/>
      <c r="CN186" s="117" t="s">
        <v>698</v>
      </c>
      <c r="CP186" s="271"/>
      <c r="CQ186" s="271"/>
      <c r="CR186" s="271"/>
      <c r="CS186" s="271"/>
      <c r="CT186" s="271"/>
    </row>
    <row r="187" spans="1:120" x14ac:dyDescent="0.25">
      <c r="A187" s="129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  <c r="N187" s="129"/>
      <c r="O187" s="129"/>
      <c r="P187" s="129"/>
      <c r="Q187" s="129"/>
      <c r="R187" s="129"/>
      <c r="S187" s="129"/>
      <c r="T187" s="129"/>
      <c r="Y187" s="53" t="s">
        <v>692</v>
      </c>
      <c r="Z187" s="54">
        <v>1</v>
      </c>
      <c r="AA187" s="53" t="s">
        <v>713</v>
      </c>
      <c r="AB187" s="12" t="s">
        <v>694</v>
      </c>
      <c r="AC187" s="100"/>
      <c r="AD187" s="61"/>
      <c r="AE187" s="57"/>
      <c r="AF187" s="58" t="s">
        <v>347</v>
      </c>
      <c r="AG187" s="1"/>
      <c r="AH187" s="74" t="s">
        <v>695</v>
      </c>
      <c r="AI187" s="12">
        <v>1</v>
      </c>
      <c r="AJ187" s="53" t="s">
        <v>934</v>
      </c>
      <c r="AK187" s="12" t="s">
        <v>123</v>
      </c>
      <c r="AL187" s="60"/>
      <c r="AM187" s="76"/>
      <c r="AN187" s="57"/>
      <c r="AO187" s="117" t="s">
        <v>127</v>
      </c>
      <c r="AQ187" s="271"/>
      <c r="AR187" s="271"/>
      <c r="AS187" s="271"/>
      <c r="AT187" s="271"/>
      <c r="AU187" s="271"/>
      <c r="AX187" s="53" t="s">
        <v>692</v>
      </c>
      <c r="AY187" s="54">
        <v>1</v>
      </c>
      <c r="AZ187" s="53" t="s">
        <v>713</v>
      </c>
      <c r="BA187" s="12" t="s">
        <v>696</v>
      </c>
      <c r="BB187" s="100"/>
      <c r="BC187" s="61"/>
      <c r="BD187" s="57"/>
      <c r="BE187" s="59" t="s">
        <v>129</v>
      </c>
      <c r="BF187" s="1"/>
      <c r="BG187" s="74" t="s">
        <v>695</v>
      </c>
      <c r="BH187" s="12">
        <v>1</v>
      </c>
      <c r="BI187" s="53" t="s">
        <v>934</v>
      </c>
      <c r="BJ187" s="12" t="s">
        <v>128</v>
      </c>
      <c r="BK187" s="118"/>
      <c r="BL187" s="61"/>
      <c r="BM187" s="57"/>
      <c r="BN187" s="117" t="s">
        <v>129</v>
      </c>
      <c r="BP187" s="271"/>
      <c r="BQ187" s="271"/>
      <c r="BR187" s="271"/>
      <c r="BS187" s="271"/>
      <c r="BT187" s="271"/>
      <c r="BX187" s="53" t="s">
        <v>692</v>
      </c>
      <c r="BY187" s="54">
        <v>1</v>
      </c>
      <c r="BZ187" s="53" t="s">
        <v>713</v>
      </c>
      <c r="CA187" s="12" t="s">
        <v>697</v>
      </c>
      <c r="CB187" s="100"/>
      <c r="CC187" s="76"/>
      <c r="CD187" s="57"/>
      <c r="CE187" s="58" t="s">
        <v>131</v>
      </c>
      <c r="CF187" s="1"/>
      <c r="CG187" s="74" t="s">
        <v>695</v>
      </c>
      <c r="CH187" s="12">
        <v>1</v>
      </c>
      <c r="CI187" s="53" t="s">
        <v>934</v>
      </c>
      <c r="CJ187" s="12" t="s">
        <v>130</v>
      </c>
      <c r="CK187" s="118"/>
      <c r="CL187" s="76"/>
      <c r="CM187" s="57"/>
      <c r="CN187" s="117" t="s">
        <v>710</v>
      </c>
      <c r="CP187" s="271"/>
      <c r="CQ187" s="271"/>
      <c r="CR187" s="271"/>
      <c r="CS187" s="271"/>
      <c r="CT187" s="271"/>
    </row>
    <row r="188" spans="1:120" ht="15.75" x14ac:dyDescent="0.25">
      <c r="A188" s="129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  <c r="N188" s="129"/>
      <c r="O188" s="129"/>
      <c r="P188" s="129"/>
      <c r="Q188" s="129"/>
      <c r="R188" s="129"/>
      <c r="S188" s="129"/>
      <c r="T188" s="129"/>
      <c r="Y188" s="53" t="s">
        <v>692</v>
      </c>
      <c r="Z188" s="54">
        <v>1</v>
      </c>
      <c r="AA188" s="258" t="s">
        <v>942</v>
      </c>
      <c r="AB188" s="12" t="s">
        <v>694</v>
      </c>
      <c r="AC188" s="118">
        <v>222</v>
      </c>
      <c r="AD188" s="61"/>
      <c r="AE188" s="57"/>
      <c r="AF188" s="58" t="s">
        <v>347</v>
      </c>
      <c r="AG188" s="1"/>
      <c r="AH188" s="74" t="s">
        <v>695</v>
      </c>
      <c r="AI188" s="12">
        <v>1</v>
      </c>
      <c r="AJ188" s="53" t="s">
        <v>935</v>
      </c>
      <c r="AK188" s="12" t="s">
        <v>123</v>
      </c>
      <c r="AL188" s="100"/>
      <c r="AM188" s="102"/>
      <c r="AN188" s="57"/>
      <c r="AO188" s="117" t="s">
        <v>703</v>
      </c>
      <c r="AQ188" s="271"/>
      <c r="AR188" s="271"/>
      <c r="AS188" s="271"/>
      <c r="AT188" s="271"/>
      <c r="AU188" s="271"/>
      <c r="AX188" s="53" t="s">
        <v>692</v>
      </c>
      <c r="AY188" s="54">
        <v>1</v>
      </c>
      <c r="AZ188" s="258" t="s">
        <v>942</v>
      </c>
      <c r="BA188" s="12" t="s">
        <v>696</v>
      </c>
      <c r="BB188" s="118">
        <f>AY188*107</f>
        <v>107</v>
      </c>
      <c r="BC188" s="61"/>
      <c r="BD188" s="57">
        <v>45376</v>
      </c>
      <c r="BE188" s="59" t="s">
        <v>129</v>
      </c>
      <c r="BF188" s="1"/>
      <c r="BG188" s="74" t="s">
        <v>695</v>
      </c>
      <c r="BH188" s="12">
        <v>1</v>
      </c>
      <c r="BI188" s="53" t="s">
        <v>936</v>
      </c>
      <c r="BJ188" s="12" t="s">
        <v>128</v>
      </c>
      <c r="BK188" s="118"/>
      <c r="BL188" s="61"/>
      <c r="BM188" s="57"/>
      <c r="BN188" s="117" t="s">
        <v>129</v>
      </c>
      <c r="BP188" s="271"/>
      <c r="BQ188" s="271"/>
      <c r="BR188" s="271"/>
      <c r="BS188" s="271"/>
      <c r="BT188" s="271"/>
      <c r="BX188" s="53" t="s">
        <v>692</v>
      </c>
      <c r="BY188" s="54">
        <v>1</v>
      </c>
      <c r="BZ188" s="258" t="s">
        <v>942</v>
      </c>
      <c r="CA188" s="12" t="s">
        <v>697</v>
      </c>
      <c r="CB188" s="118">
        <v>64</v>
      </c>
      <c r="CC188" s="76"/>
      <c r="CD188" s="57"/>
      <c r="CE188" s="58" t="s">
        <v>131</v>
      </c>
      <c r="CF188" s="1"/>
      <c r="CG188" s="74" t="s">
        <v>695</v>
      </c>
      <c r="CH188" s="12">
        <v>1</v>
      </c>
      <c r="CI188" s="53" t="s">
        <v>937</v>
      </c>
      <c r="CJ188" s="12" t="s">
        <v>130</v>
      </c>
      <c r="CK188" s="100"/>
      <c r="CL188" s="102"/>
      <c r="CM188" s="201"/>
      <c r="CN188" s="59"/>
      <c r="CP188" s="271"/>
      <c r="CQ188" s="271"/>
      <c r="CR188" s="271"/>
      <c r="CS188" s="271"/>
      <c r="CT188" s="271"/>
    </row>
    <row r="189" spans="1:120" ht="15.75" x14ac:dyDescent="0.25">
      <c r="A189" s="129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Y189" s="53" t="s">
        <v>692</v>
      </c>
      <c r="Z189" s="54">
        <v>1</v>
      </c>
      <c r="AA189" s="258" t="s">
        <v>943</v>
      </c>
      <c r="AB189" s="12" t="s">
        <v>694</v>
      </c>
      <c r="AC189" s="100">
        <v>444</v>
      </c>
      <c r="AD189" s="61"/>
      <c r="AE189" s="57"/>
      <c r="AF189" s="58" t="s">
        <v>182</v>
      </c>
      <c r="AG189" s="1"/>
      <c r="AH189" s="74" t="s">
        <v>695</v>
      </c>
      <c r="AI189" s="12">
        <v>1</v>
      </c>
      <c r="AJ189" s="53" t="s">
        <v>937</v>
      </c>
      <c r="AK189" s="12" t="s">
        <v>123</v>
      </c>
      <c r="AL189" s="100"/>
      <c r="AM189" s="102"/>
      <c r="AN189" s="57"/>
      <c r="AO189" s="117" t="s">
        <v>706</v>
      </c>
      <c r="AX189" s="53" t="s">
        <v>692</v>
      </c>
      <c r="AY189" s="54">
        <v>1</v>
      </c>
      <c r="AZ189" s="258" t="s">
        <v>943</v>
      </c>
      <c r="BA189" s="12" t="s">
        <v>696</v>
      </c>
      <c r="BB189" s="100">
        <f>AY189*179</f>
        <v>179</v>
      </c>
      <c r="BC189" s="61"/>
      <c r="BD189" s="57">
        <v>45376</v>
      </c>
      <c r="BE189" s="59" t="s">
        <v>129</v>
      </c>
      <c r="BF189" s="1"/>
      <c r="BG189" s="74" t="s">
        <v>695</v>
      </c>
      <c r="BH189" s="12">
        <v>1</v>
      </c>
      <c r="BI189" s="53" t="s">
        <v>938</v>
      </c>
      <c r="BJ189" s="12" t="s">
        <v>128</v>
      </c>
      <c r="BK189" s="118"/>
      <c r="BL189" s="61"/>
      <c r="BM189" s="57"/>
      <c r="BN189" s="117" t="s">
        <v>129</v>
      </c>
      <c r="BX189" s="53" t="s">
        <v>692</v>
      </c>
      <c r="BY189" s="54">
        <v>1</v>
      </c>
      <c r="BZ189" s="258" t="s">
        <v>943</v>
      </c>
      <c r="CA189" s="12" t="s">
        <v>697</v>
      </c>
      <c r="CB189" s="100">
        <v>564</v>
      </c>
      <c r="CC189" s="76"/>
      <c r="CD189" s="57"/>
      <c r="CE189" s="58" t="s">
        <v>131</v>
      </c>
      <c r="CF189" s="1"/>
      <c r="CG189" s="74" t="s">
        <v>695</v>
      </c>
      <c r="CH189" s="12">
        <v>1</v>
      </c>
      <c r="CI189" s="53" t="s">
        <v>938</v>
      </c>
      <c r="CJ189" s="12" t="s">
        <v>130</v>
      </c>
      <c r="CK189" s="60"/>
      <c r="CL189" s="76"/>
      <c r="CM189" s="201"/>
      <c r="CN189" s="59"/>
    </row>
    <row r="190" spans="1:120" ht="15.75" x14ac:dyDescent="0.25">
      <c r="A190" s="129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  <c r="N190" s="129"/>
      <c r="O190" s="129"/>
      <c r="P190" s="129"/>
      <c r="Q190" s="129"/>
      <c r="R190" s="129"/>
      <c r="S190" s="129"/>
      <c r="T190" s="129"/>
      <c r="Y190" s="53" t="s">
        <v>692</v>
      </c>
      <c r="Z190" s="54">
        <v>1</v>
      </c>
      <c r="AA190" s="258" t="s">
        <v>944</v>
      </c>
      <c r="AB190" s="12" t="s">
        <v>694</v>
      </c>
      <c r="AC190" s="118"/>
      <c r="AD190" s="61"/>
      <c r="AE190" s="57"/>
      <c r="AF190" s="58" t="s">
        <v>347</v>
      </c>
      <c r="AG190" s="1"/>
      <c r="AH190" s="74" t="s">
        <v>695</v>
      </c>
      <c r="AI190" s="12">
        <v>1</v>
      </c>
      <c r="AJ190" s="53" t="s">
        <v>938</v>
      </c>
      <c r="AK190" s="12" t="s">
        <v>123</v>
      </c>
      <c r="AL190" s="60"/>
      <c r="AM190" s="76"/>
      <c r="AN190" s="57"/>
      <c r="AO190" s="117" t="s">
        <v>706</v>
      </c>
      <c r="AX190" s="53" t="s">
        <v>692</v>
      </c>
      <c r="AY190" s="54">
        <v>1</v>
      </c>
      <c r="AZ190" s="258" t="s">
        <v>944</v>
      </c>
      <c r="BA190" s="12" t="s">
        <v>696</v>
      </c>
      <c r="BB190" s="118">
        <f>AY190*373</f>
        <v>373</v>
      </c>
      <c r="BC190" s="61"/>
      <c r="BD190" s="57">
        <v>45376</v>
      </c>
      <c r="BE190" s="59" t="s">
        <v>129</v>
      </c>
      <c r="BF190" s="1"/>
      <c r="BG190" s="74" t="s">
        <v>695</v>
      </c>
      <c r="BH190" s="12">
        <v>1</v>
      </c>
      <c r="BI190" s="53" t="s">
        <v>939</v>
      </c>
      <c r="BJ190" s="12" t="s">
        <v>128</v>
      </c>
      <c r="BK190" s="118"/>
      <c r="BL190" s="61"/>
      <c r="BM190" s="57"/>
      <c r="BN190" s="117" t="s">
        <v>129</v>
      </c>
      <c r="BX190" s="53" t="s">
        <v>692</v>
      </c>
      <c r="BY190" s="54">
        <v>1</v>
      </c>
      <c r="BZ190" s="258" t="s">
        <v>944</v>
      </c>
      <c r="CA190" s="12" t="s">
        <v>697</v>
      </c>
      <c r="CB190" s="118"/>
      <c r="CC190" s="76"/>
      <c r="CD190" s="57"/>
      <c r="CE190" s="58" t="s">
        <v>131</v>
      </c>
      <c r="CF190" s="1"/>
      <c r="CG190" s="74" t="s">
        <v>695</v>
      </c>
      <c r="CH190" s="12">
        <v>1</v>
      </c>
      <c r="CI190" s="53" t="s">
        <v>940</v>
      </c>
      <c r="CJ190" s="12" t="s">
        <v>130</v>
      </c>
      <c r="CK190" s="118"/>
      <c r="CL190" s="76"/>
      <c r="CM190" s="201"/>
      <c r="CN190" s="59"/>
    </row>
    <row r="191" spans="1:120" ht="24" x14ac:dyDescent="0.4">
      <c r="A191" s="259" t="s">
        <v>714</v>
      </c>
      <c r="B191" s="259"/>
      <c r="C191" s="259"/>
      <c r="D191" s="259"/>
      <c r="E191" s="259"/>
      <c r="F191" s="259"/>
      <c r="G191" s="1"/>
      <c r="H191" s="259" t="s">
        <v>714</v>
      </c>
      <c r="I191" s="259"/>
      <c r="J191" s="259"/>
      <c r="K191" s="259"/>
      <c r="L191" s="259"/>
      <c r="M191" s="259"/>
      <c r="N191" s="1"/>
      <c r="O191" s="259" t="s">
        <v>714</v>
      </c>
      <c r="P191" s="259"/>
      <c r="Q191" s="259"/>
      <c r="R191" s="259"/>
      <c r="S191" s="259"/>
      <c r="T191" s="259"/>
      <c r="Y191" s="53" t="s">
        <v>692</v>
      </c>
      <c r="Z191" s="54">
        <v>1</v>
      </c>
      <c r="AA191" s="258" t="s">
        <v>945</v>
      </c>
      <c r="AB191" s="12" t="s">
        <v>694</v>
      </c>
      <c r="AC191" s="118"/>
      <c r="AD191" s="61"/>
      <c r="AE191" s="57"/>
      <c r="AF191" s="58" t="s">
        <v>347</v>
      </c>
      <c r="AG191" s="1"/>
      <c r="AH191" s="74" t="s">
        <v>695</v>
      </c>
      <c r="AI191" s="12">
        <v>1</v>
      </c>
      <c r="AJ191" s="53" t="s">
        <v>940</v>
      </c>
      <c r="AK191" s="12" t="s">
        <v>123</v>
      </c>
      <c r="AL191" s="114"/>
      <c r="AM191" s="76"/>
      <c r="AN191" s="57"/>
      <c r="AO191" s="117" t="s">
        <v>703</v>
      </c>
      <c r="AX191" s="53" t="s">
        <v>692</v>
      </c>
      <c r="AY191" s="54">
        <v>1</v>
      </c>
      <c r="AZ191" s="258" t="s">
        <v>945</v>
      </c>
      <c r="BA191" s="12" t="s">
        <v>696</v>
      </c>
      <c r="BB191" s="118"/>
      <c r="BC191" s="65"/>
      <c r="BD191" s="57"/>
      <c r="BE191" s="59" t="s">
        <v>129</v>
      </c>
      <c r="BF191" s="1"/>
      <c r="BG191" s="74" t="s">
        <v>695</v>
      </c>
      <c r="BH191" s="12">
        <v>1</v>
      </c>
      <c r="BI191" s="53" t="s">
        <v>941</v>
      </c>
      <c r="BJ191" s="12" t="s">
        <v>128</v>
      </c>
      <c r="BK191" s="118"/>
      <c r="BL191" s="61"/>
      <c r="BM191" s="57"/>
      <c r="BN191" s="117" t="s">
        <v>129</v>
      </c>
      <c r="BX191" s="53" t="s">
        <v>692</v>
      </c>
      <c r="BY191" s="54">
        <v>1</v>
      </c>
      <c r="BZ191" s="258" t="s">
        <v>945</v>
      </c>
      <c r="CA191" s="12" t="s">
        <v>697</v>
      </c>
      <c r="CB191" s="118"/>
      <c r="CC191" s="65"/>
      <c r="CD191" s="57"/>
      <c r="CE191" s="58" t="s">
        <v>131</v>
      </c>
      <c r="CF191" s="1"/>
      <c r="CG191" s="74" t="s">
        <v>695</v>
      </c>
      <c r="CH191" s="12">
        <v>1</v>
      </c>
      <c r="CI191" s="53" t="s">
        <v>939</v>
      </c>
      <c r="CJ191" s="12" t="s">
        <v>130</v>
      </c>
      <c r="CK191" s="118"/>
      <c r="CL191" s="76"/>
      <c r="CM191" s="201"/>
      <c r="CN191" s="59" t="s">
        <v>715</v>
      </c>
    </row>
    <row r="192" spans="1:120" ht="15" customHeight="1" x14ac:dyDescent="0.25">
      <c r="A192" s="11"/>
      <c r="B192" s="12"/>
      <c r="C192" s="13"/>
      <c r="D192" s="12"/>
      <c r="E192" s="14"/>
      <c r="F192" s="15"/>
      <c r="G192" s="1"/>
      <c r="H192" s="11"/>
      <c r="I192" s="12"/>
      <c r="J192" s="13"/>
      <c r="K192" s="12"/>
      <c r="L192" s="14"/>
      <c r="M192" s="15"/>
      <c r="N192" s="1"/>
      <c r="O192" s="11"/>
      <c r="P192" s="12"/>
      <c r="Q192" s="13"/>
      <c r="R192" s="12"/>
      <c r="S192" s="14"/>
      <c r="T192" s="15"/>
      <c r="Y192" s="53" t="s">
        <v>692</v>
      </c>
      <c r="Z192" s="54">
        <v>1</v>
      </c>
      <c r="AA192" s="53" t="s">
        <v>716</v>
      </c>
      <c r="AB192" s="12" t="s">
        <v>694</v>
      </c>
      <c r="AC192" s="331" t="s">
        <v>717</v>
      </c>
      <c r="AD192" s="332"/>
      <c r="AE192" s="332"/>
      <c r="AF192" s="333"/>
      <c r="AG192" s="1"/>
      <c r="AH192" s="74" t="s">
        <v>695</v>
      </c>
      <c r="AI192" s="12">
        <v>1</v>
      </c>
      <c r="AJ192" s="53" t="s">
        <v>939</v>
      </c>
      <c r="AK192" s="12" t="s">
        <v>123</v>
      </c>
      <c r="AL192" s="114"/>
      <c r="AM192" s="76"/>
      <c r="AN192" s="57"/>
      <c r="AO192" s="117" t="s">
        <v>703</v>
      </c>
      <c r="AX192" s="53" t="s">
        <v>692</v>
      </c>
      <c r="AY192" s="54">
        <v>1</v>
      </c>
      <c r="AZ192" s="53" t="s">
        <v>716</v>
      </c>
      <c r="BA192" s="12" t="s">
        <v>696</v>
      </c>
      <c r="BB192" s="331" t="s">
        <v>717</v>
      </c>
      <c r="BC192" s="332"/>
      <c r="BD192" s="332"/>
      <c r="BE192" s="333"/>
      <c r="BF192" s="1"/>
      <c r="BG192" s="53"/>
      <c r="BH192" s="54"/>
      <c r="BI192" s="53"/>
      <c r="BJ192" s="12"/>
      <c r="BK192" s="118"/>
      <c r="BL192" s="76"/>
      <c r="BM192" s="202"/>
      <c r="BN192" s="59"/>
      <c r="BX192" s="53" t="s">
        <v>692</v>
      </c>
      <c r="BY192" s="54">
        <v>1</v>
      </c>
      <c r="BZ192" s="53" t="s">
        <v>716</v>
      </c>
      <c r="CA192" s="12" t="s">
        <v>697</v>
      </c>
      <c r="CB192" s="331" t="s">
        <v>717</v>
      </c>
      <c r="CC192" s="332"/>
      <c r="CD192" s="332"/>
      <c r="CE192" s="333"/>
      <c r="CF192" s="1"/>
    </row>
    <row r="193" spans="1:92" ht="15" customHeight="1" x14ac:dyDescent="0.25">
      <c r="A193" s="11" t="s">
        <v>718</v>
      </c>
      <c r="B193" s="12">
        <v>2</v>
      </c>
      <c r="C193" s="52" t="s">
        <v>409</v>
      </c>
      <c r="D193" s="12" t="s">
        <v>410</v>
      </c>
      <c r="E193" s="14"/>
      <c r="F193" s="15"/>
      <c r="G193" s="1"/>
      <c r="H193" s="11" t="s">
        <v>718</v>
      </c>
      <c r="I193" s="12">
        <v>2</v>
      </c>
      <c r="J193" s="52" t="s">
        <v>409</v>
      </c>
      <c r="K193" s="12" t="s">
        <v>119</v>
      </c>
      <c r="L193" s="14"/>
      <c r="M193" s="15"/>
      <c r="N193" s="1"/>
      <c r="O193" s="11" t="s">
        <v>718</v>
      </c>
      <c r="P193" s="12">
        <v>2</v>
      </c>
      <c r="Q193" s="52" t="s">
        <v>409</v>
      </c>
      <c r="R193" s="12" t="s">
        <v>120</v>
      </c>
      <c r="S193" s="14"/>
      <c r="T193" s="15"/>
      <c r="Y193" s="53" t="s">
        <v>692</v>
      </c>
      <c r="Z193" s="54">
        <v>1</v>
      </c>
      <c r="AA193" s="53" t="s">
        <v>719</v>
      </c>
      <c r="AB193" s="12" t="s">
        <v>694</v>
      </c>
      <c r="AC193" s="334"/>
      <c r="AD193" s="335"/>
      <c r="AE193" s="335"/>
      <c r="AF193" s="336"/>
      <c r="AG193" s="1"/>
      <c r="AH193" s="53"/>
      <c r="AI193" s="54"/>
      <c r="AJ193" s="53"/>
      <c r="AK193" s="12"/>
      <c r="AL193" s="118"/>
      <c r="AM193" s="76"/>
      <c r="AN193" s="57"/>
      <c r="AO193" s="59"/>
      <c r="AX193" s="53" t="s">
        <v>692</v>
      </c>
      <c r="AY193" s="54">
        <v>1</v>
      </c>
      <c r="AZ193" s="53" t="s">
        <v>719</v>
      </c>
      <c r="BA193" s="12" t="s">
        <v>696</v>
      </c>
      <c r="BB193" s="334"/>
      <c r="BC193" s="335"/>
      <c r="BD193" s="335"/>
      <c r="BE193" s="336"/>
      <c r="BF193" s="1"/>
      <c r="BG193" s="53"/>
      <c r="BH193" s="54"/>
      <c r="BI193" s="53"/>
      <c r="BJ193" s="12"/>
      <c r="BK193" s="118"/>
      <c r="BL193" s="76"/>
      <c r="BM193" s="202"/>
      <c r="BN193" s="59"/>
      <c r="BX193" s="53" t="s">
        <v>692</v>
      </c>
      <c r="BY193" s="54">
        <v>1</v>
      </c>
      <c r="BZ193" s="53" t="s">
        <v>719</v>
      </c>
      <c r="CA193" s="12" t="s">
        <v>697</v>
      </c>
      <c r="CB193" s="334"/>
      <c r="CC193" s="335"/>
      <c r="CD193" s="335"/>
      <c r="CE193" s="336"/>
      <c r="CF193" s="1"/>
      <c r="CG193" s="354"/>
      <c r="CH193" s="355"/>
      <c r="CI193" s="355"/>
      <c r="CJ193" s="355"/>
      <c r="CK193" s="355"/>
      <c r="CL193" s="355"/>
      <c r="CM193" s="355"/>
      <c r="CN193" s="356"/>
    </row>
    <row r="194" spans="1:92" ht="15" customHeight="1" x14ac:dyDescent="0.25">
      <c r="A194" s="11" t="s">
        <v>155</v>
      </c>
      <c r="B194" s="12">
        <v>1</v>
      </c>
      <c r="C194" s="52" t="s">
        <v>414</v>
      </c>
      <c r="D194" s="12" t="s">
        <v>410</v>
      </c>
      <c r="E194" s="14"/>
      <c r="F194" s="15"/>
      <c r="G194" s="1"/>
      <c r="H194" s="11" t="s">
        <v>155</v>
      </c>
      <c r="I194" s="12">
        <v>1</v>
      </c>
      <c r="J194" s="52" t="s">
        <v>414</v>
      </c>
      <c r="K194" s="12" t="s">
        <v>119</v>
      </c>
      <c r="L194" s="14"/>
      <c r="M194" s="15"/>
      <c r="N194" s="1"/>
      <c r="O194" s="11" t="s">
        <v>155</v>
      </c>
      <c r="P194" s="12">
        <v>1</v>
      </c>
      <c r="Q194" s="52" t="s">
        <v>414</v>
      </c>
      <c r="R194" s="12" t="s">
        <v>120</v>
      </c>
      <c r="S194" s="14"/>
      <c r="T194" s="15"/>
      <c r="Y194" s="53" t="s">
        <v>692</v>
      </c>
      <c r="Z194" s="54">
        <v>1</v>
      </c>
      <c r="AA194" s="53" t="s">
        <v>720</v>
      </c>
      <c r="AB194" s="12" t="s">
        <v>694</v>
      </c>
      <c r="AC194" s="334"/>
      <c r="AD194" s="335"/>
      <c r="AE194" s="335"/>
      <c r="AF194" s="336"/>
      <c r="AG194" s="1"/>
      <c r="AH194" s="53"/>
      <c r="AI194" s="54"/>
      <c r="AJ194" s="53"/>
      <c r="AK194" s="12"/>
      <c r="AL194" s="118"/>
      <c r="AM194" s="76"/>
      <c r="AN194" s="57"/>
      <c r="AO194" s="59"/>
      <c r="AX194" s="53" t="s">
        <v>692</v>
      </c>
      <c r="AY194" s="54">
        <v>1</v>
      </c>
      <c r="AZ194" s="53" t="s">
        <v>720</v>
      </c>
      <c r="BA194" s="12" t="s">
        <v>696</v>
      </c>
      <c r="BB194" s="334"/>
      <c r="BC194" s="335"/>
      <c r="BD194" s="335"/>
      <c r="BE194" s="336"/>
      <c r="BF194" s="1"/>
      <c r="BG194" s="53"/>
      <c r="BH194" s="54"/>
      <c r="BI194" s="53"/>
      <c r="BJ194" s="12"/>
      <c r="BK194" s="118"/>
      <c r="BL194" s="76"/>
      <c r="BM194" s="202"/>
      <c r="BN194" s="59"/>
      <c r="BX194" s="53" t="s">
        <v>692</v>
      </c>
      <c r="BY194" s="54">
        <v>1</v>
      </c>
      <c r="BZ194" s="53" t="s">
        <v>720</v>
      </c>
      <c r="CA194" s="12" t="s">
        <v>697</v>
      </c>
      <c r="CB194" s="334"/>
      <c r="CC194" s="335"/>
      <c r="CD194" s="335"/>
      <c r="CE194" s="336"/>
      <c r="CF194" s="1"/>
      <c r="CG194" s="53"/>
      <c r="CH194" s="54"/>
      <c r="CI194" s="53"/>
      <c r="CJ194" s="12"/>
      <c r="CK194" s="118"/>
      <c r="CL194" s="76"/>
      <c r="CM194" s="201"/>
      <c r="CN194" s="59"/>
    </row>
    <row r="195" spans="1:92" ht="15" customHeight="1" x14ac:dyDescent="0.25">
      <c r="A195" s="11"/>
      <c r="B195" s="12">
        <v>1</v>
      </c>
      <c r="C195" s="52" t="s">
        <v>117</v>
      </c>
      <c r="D195" s="12" t="s">
        <v>410</v>
      </c>
      <c r="E195" s="14"/>
      <c r="F195" s="15"/>
      <c r="G195" s="1"/>
      <c r="H195" s="11"/>
      <c r="I195" s="12">
        <v>1</v>
      </c>
      <c r="J195" s="52" t="s">
        <v>117</v>
      </c>
      <c r="K195" s="12" t="s">
        <v>119</v>
      </c>
      <c r="L195" s="14"/>
      <c r="M195" s="15"/>
      <c r="N195" s="1"/>
      <c r="O195" s="11"/>
      <c r="P195" s="12">
        <v>1</v>
      </c>
      <c r="Q195" s="52" t="s">
        <v>117</v>
      </c>
      <c r="R195" s="12" t="s">
        <v>120</v>
      </c>
      <c r="S195" s="14"/>
      <c r="T195" s="15"/>
      <c r="Y195" s="53" t="s">
        <v>692</v>
      </c>
      <c r="Z195" s="54">
        <v>1</v>
      </c>
      <c r="AA195" s="53" t="s">
        <v>721</v>
      </c>
      <c r="AB195" s="12" t="s">
        <v>694</v>
      </c>
      <c r="AC195" s="334"/>
      <c r="AD195" s="335"/>
      <c r="AE195" s="335"/>
      <c r="AF195" s="336"/>
      <c r="AG195" s="1"/>
      <c r="AH195" s="53"/>
      <c r="AI195" s="54"/>
      <c r="AJ195" s="53"/>
      <c r="AK195" s="12"/>
      <c r="AL195" s="118"/>
      <c r="AM195" s="76"/>
      <c r="AN195" s="57"/>
      <c r="AO195" s="59"/>
      <c r="AX195" s="53" t="s">
        <v>692</v>
      </c>
      <c r="AY195" s="54">
        <v>1</v>
      </c>
      <c r="AZ195" s="53" t="s">
        <v>721</v>
      </c>
      <c r="BA195" s="12" t="s">
        <v>696</v>
      </c>
      <c r="BB195" s="334"/>
      <c r="BC195" s="335"/>
      <c r="BD195" s="335"/>
      <c r="BE195" s="336"/>
      <c r="BF195" s="1"/>
      <c r="BG195" s="53"/>
      <c r="BH195" s="54"/>
      <c r="BI195" s="53"/>
      <c r="BJ195" s="12"/>
      <c r="BK195" s="118"/>
      <c r="BL195" s="76"/>
      <c r="BM195" s="202"/>
      <c r="BN195" s="59"/>
      <c r="BX195" s="53" t="s">
        <v>692</v>
      </c>
      <c r="BY195" s="54">
        <v>1</v>
      </c>
      <c r="BZ195" s="53" t="s">
        <v>721</v>
      </c>
      <c r="CA195" s="12" t="s">
        <v>697</v>
      </c>
      <c r="CB195" s="334"/>
      <c r="CC195" s="335"/>
      <c r="CD195" s="335"/>
      <c r="CE195" s="336"/>
      <c r="CF195" s="1"/>
      <c r="CG195" s="53"/>
      <c r="CH195" s="54"/>
      <c r="CI195" s="53"/>
      <c r="CJ195" s="12"/>
      <c r="CK195" s="118"/>
      <c r="CL195" s="76"/>
      <c r="CM195" s="201"/>
      <c r="CN195" s="59"/>
    </row>
    <row r="196" spans="1:92" ht="15" customHeight="1" x14ac:dyDescent="0.25">
      <c r="A196" s="11" t="s">
        <v>201</v>
      </c>
      <c r="B196" s="12">
        <v>2</v>
      </c>
      <c r="C196" s="52" t="s">
        <v>117</v>
      </c>
      <c r="D196" s="12" t="s">
        <v>118</v>
      </c>
      <c r="E196" s="14"/>
      <c r="F196" s="15"/>
      <c r="G196" s="1"/>
      <c r="H196" s="11" t="s">
        <v>201</v>
      </c>
      <c r="I196" s="12">
        <v>2</v>
      </c>
      <c r="J196" s="52" t="s">
        <v>117</v>
      </c>
      <c r="K196" s="12" t="s">
        <v>119</v>
      </c>
      <c r="L196" s="14"/>
      <c r="M196" s="15"/>
      <c r="N196" s="1"/>
      <c r="O196" s="11" t="s">
        <v>201</v>
      </c>
      <c r="P196" s="12">
        <v>2</v>
      </c>
      <c r="Q196" s="52" t="s">
        <v>117</v>
      </c>
      <c r="R196" s="12" t="s">
        <v>119</v>
      </c>
      <c r="S196" s="14"/>
      <c r="T196" s="15"/>
      <c r="Y196" s="53" t="s">
        <v>692</v>
      </c>
      <c r="Z196" s="54">
        <v>1</v>
      </c>
      <c r="AA196" s="53" t="s">
        <v>722</v>
      </c>
      <c r="AB196" s="12" t="s">
        <v>694</v>
      </c>
      <c r="AC196" s="334"/>
      <c r="AD196" s="335"/>
      <c r="AE196" s="335"/>
      <c r="AF196" s="336"/>
      <c r="AG196" s="1"/>
      <c r="AH196" s="53"/>
      <c r="AI196" s="54"/>
      <c r="AJ196" s="53"/>
      <c r="AK196" s="12"/>
      <c r="AL196" s="118"/>
      <c r="AM196" s="76"/>
      <c r="AN196" s="57"/>
      <c r="AO196" s="59"/>
      <c r="AX196" s="53" t="s">
        <v>692</v>
      </c>
      <c r="AY196" s="54">
        <v>1</v>
      </c>
      <c r="AZ196" s="53" t="s">
        <v>722</v>
      </c>
      <c r="BA196" s="12" t="s">
        <v>696</v>
      </c>
      <c r="BB196" s="334"/>
      <c r="BC196" s="335"/>
      <c r="BD196" s="335"/>
      <c r="BE196" s="336"/>
      <c r="BF196" s="1"/>
      <c r="BG196" s="53"/>
      <c r="BH196" s="54"/>
      <c r="BI196" s="53"/>
      <c r="BJ196" s="12"/>
      <c r="BK196" s="118"/>
      <c r="BL196" s="76"/>
      <c r="BM196" s="202"/>
      <c r="BN196" s="59"/>
      <c r="BX196" s="53" t="s">
        <v>692</v>
      </c>
      <c r="BY196" s="54">
        <v>1</v>
      </c>
      <c r="BZ196" s="53" t="s">
        <v>722</v>
      </c>
      <c r="CA196" s="12" t="s">
        <v>697</v>
      </c>
      <c r="CB196" s="334"/>
      <c r="CC196" s="335"/>
      <c r="CD196" s="335"/>
      <c r="CE196" s="336"/>
      <c r="CF196" s="1"/>
      <c r="CG196" s="53"/>
      <c r="CH196" s="54"/>
      <c r="CI196" s="53"/>
      <c r="CJ196" s="12"/>
      <c r="CK196" s="118"/>
      <c r="CL196" s="76"/>
      <c r="CM196" s="201"/>
      <c r="CN196" s="59"/>
    </row>
    <row r="197" spans="1:92" ht="15" customHeight="1" x14ac:dyDescent="0.25">
      <c r="A197" s="11" t="s">
        <v>215</v>
      </c>
      <c r="B197" s="12">
        <v>1</v>
      </c>
      <c r="C197" s="52" t="s">
        <v>216</v>
      </c>
      <c r="D197" s="12" t="s">
        <v>118</v>
      </c>
      <c r="E197" s="14">
        <v>25</v>
      </c>
      <c r="F197" s="15">
        <v>1</v>
      </c>
      <c r="G197" s="1"/>
      <c r="H197" s="11" t="s">
        <v>215</v>
      </c>
      <c r="I197" s="12">
        <v>1</v>
      </c>
      <c r="J197" s="52" t="s">
        <v>216</v>
      </c>
      <c r="K197" s="12" t="s">
        <v>119</v>
      </c>
      <c r="L197" s="14">
        <v>30</v>
      </c>
      <c r="M197" s="15">
        <v>1</v>
      </c>
      <c r="N197" s="1"/>
      <c r="O197" s="11" t="s">
        <v>215</v>
      </c>
      <c r="P197" s="12">
        <v>1</v>
      </c>
      <c r="Q197" s="52" t="s">
        <v>216</v>
      </c>
      <c r="R197" s="12" t="s">
        <v>119</v>
      </c>
      <c r="S197" s="14">
        <v>30</v>
      </c>
      <c r="T197" s="15">
        <v>1</v>
      </c>
      <c r="Y197" s="53" t="s">
        <v>692</v>
      </c>
      <c r="Z197" s="54">
        <v>1</v>
      </c>
      <c r="AA197" s="53" t="s">
        <v>723</v>
      </c>
      <c r="AB197" s="12" t="s">
        <v>694</v>
      </c>
      <c r="AC197" s="337"/>
      <c r="AD197" s="338"/>
      <c r="AE197" s="338"/>
      <c r="AF197" s="339"/>
      <c r="AG197" s="1"/>
      <c r="AH197" s="53"/>
      <c r="AI197" s="54"/>
      <c r="AJ197" s="53"/>
      <c r="AK197" s="12"/>
      <c r="AL197" s="118"/>
      <c r="AM197" s="76"/>
      <c r="AN197" s="202"/>
      <c r="AO197" s="59"/>
      <c r="AX197" s="53" t="s">
        <v>692</v>
      </c>
      <c r="AY197" s="54">
        <v>1</v>
      </c>
      <c r="AZ197" s="53" t="s">
        <v>723</v>
      </c>
      <c r="BA197" s="12" t="s">
        <v>696</v>
      </c>
      <c r="BB197" s="337"/>
      <c r="BC197" s="338"/>
      <c r="BD197" s="338"/>
      <c r="BE197" s="339"/>
      <c r="BF197" s="1"/>
      <c r="BG197" s="53"/>
      <c r="BH197" s="54"/>
      <c r="BI197" s="53"/>
      <c r="BJ197" s="12"/>
      <c r="BK197" s="118"/>
      <c r="BL197" s="76"/>
      <c r="BM197" s="202"/>
      <c r="BN197" s="59"/>
      <c r="BX197" s="53" t="s">
        <v>692</v>
      </c>
      <c r="BY197" s="54">
        <v>1</v>
      </c>
      <c r="BZ197" s="53" t="s">
        <v>723</v>
      </c>
      <c r="CA197" s="12" t="s">
        <v>697</v>
      </c>
      <c r="CB197" s="337"/>
      <c r="CC197" s="338"/>
      <c r="CD197" s="338"/>
      <c r="CE197" s="339"/>
      <c r="CF197" s="1"/>
      <c r="CG197" s="53"/>
      <c r="CH197" s="54"/>
      <c r="CI197" s="53"/>
      <c r="CJ197" s="12"/>
      <c r="CK197" s="118"/>
      <c r="CL197" s="76"/>
      <c r="CM197" s="201"/>
      <c r="CN197" s="59"/>
    </row>
    <row r="198" spans="1:92" ht="24" x14ac:dyDescent="0.4">
      <c r="A198" s="11" t="s">
        <v>227</v>
      </c>
      <c r="B198" s="12">
        <v>1</v>
      </c>
      <c r="C198" s="52" t="s">
        <v>228</v>
      </c>
      <c r="D198" s="12" t="s">
        <v>118</v>
      </c>
      <c r="E198" s="14"/>
      <c r="F198" s="15">
        <f>B198*1</f>
        <v>1</v>
      </c>
      <c r="G198" s="1"/>
      <c r="H198" s="11" t="s">
        <v>227</v>
      </c>
      <c r="I198" s="12">
        <v>1</v>
      </c>
      <c r="J198" s="52" t="s">
        <v>228</v>
      </c>
      <c r="K198" s="12" t="s">
        <v>119</v>
      </c>
      <c r="L198" s="14"/>
      <c r="M198" s="15">
        <f>I198*1</f>
        <v>1</v>
      </c>
      <c r="N198" s="1"/>
      <c r="O198" s="11" t="s">
        <v>227</v>
      </c>
      <c r="P198" s="12">
        <v>1</v>
      </c>
      <c r="Q198" s="52" t="s">
        <v>228</v>
      </c>
      <c r="R198" s="12" t="s">
        <v>119</v>
      </c>
      <c r="S198" s="14"/>
      <c r="T198" s="15">
        <f>P198*1</f>
        <v>1</v>
      </c>
      <c r="Y198" s="357" t="s">
        <v>724</v>
      </c>
      <c r="Z198" s="357"/>
      <c r="AA198" s="357"/>
      <c r="AB198" s="357"/>
      <c r="AC198" s="357"/>
      <c r="AD198" s="357"/>
      <c r="AE198" s="357"/>
      <c r="AF198" s="357"/>
      <c r="AX198" s="357" t="s">
        <v>724</v>
      </c>
      <c r="AY198" s="357"/>
      <c r="AZ198" s="357"/>
      <c r="BA198" s="357"/>
      <c r="BB198" s="357"/>
      <c r="BC198" s="357"/>
      <c r="BD198" s="357"/>
      <c r="BE198" s="357"/>
      <c r="BG198" s="358" t="s">
        <v>59</v>
      </c>
      <c r="BH198" s="359"/>
      <c r="BI198" s="359"/>
      <c r="BJ198" s="359"/>
      <c r="BK198" s="359"/>
      <c r="BL198" s="359"/>
      <c r="BM198" s="359"/>
      <c r="BN198" s="360"/>
      <c r="BX198" s="357" t="s">
        <v>724</v>
      </c>
      <c r="BY198" s="357"/>
      <c r="BZ198" s="357"/>
      <c r="CA198" s="357"/>
      <c r="CB198" s="357"/>
      <c r="CC198" s="357"/>
      <c r="CD198" s="357"/>
      <c r="CE198" s="357"/>
      <c r="CG198" s="358" t="s">
        <v>59</v>
      </c>
      <c r="CH198" s="359"/>
      <c r="CI198" s="359"/>
      <c r="CJ198" s="359"/>
      <c r="CK198" s="359"/>
      <c r="CL198" s="359"/>
      <c r="CM198" s="359"/>
      <c r="CN198" s="360"/>
    </row>
    <row r="199" spans="1:92" x14ac:dyDescent="0.25">
      <c r="A199" s="11" t="s">
        <v>725</v>
      </c>
      <c r="B199" s="12">
        <v>2</v>
      </c>
      <c r="C199" s="52" t="s">
        <v>726</v>
      </c>
      <c r="D199" s="12" t="s">
        <v>118</v>
      </c>
      <c r="E199" s="14"/>
      <c r="F199" s="111"/>
      <c r="G199" s="1"/>
      <c r="H199" s="11" t="s">
        <v>725</v>
      </c>
      <c r="I199" s="12">
        <v>2</v>
      </c>
      <c r="J199" s="52" t="s">
        <v>726</v>
      </c>
      <c r="K199" s="12" t="s">
        <v>119</v>
      </c>
      <c r="L199" s="14"/>
      <c r="M199" s="111"/>
      <c r="N199" s="1"/>
      <c r="O199" s="11" t="s">
        <v>725</v>
      </c>
      <c r="P199" s="12">
        <v>2</v>
      </c>
      <c r="Q199" s="52" t="s">
        <v>726</v>
      </c>
      <c r="R199" s="12" t="s">
        <v>119</v>
      </c>
      <c r="S199" s="14"/>
      <c r="T199" s="111"/>
      <c r="Y199" s="53"/>
      <c r="Z199" s="54"/>
      <c r="AA199" s="53"/>
      <c r="AB199" s="54"/>
      <c r="AC199" s="100"/>
      <c r="AD199" s="76"/>
      <c r="AE199" s="203"/>
      <c r="AF199" s="121"/>
      <c r="AX199" s="53" t="s">
        <v>727</v>
      </c>
      <c r="AY199" s="54">
        <v>1</v>
      </c>
      <c r="AZ199" s="53" t="s">
        <v>608</v>
      </c>
      <c r="BA199" s="12" t="s">
        <v>119</v>
      </c>
      <c r="BB199" s="100"/>
      <c r="BC199" s="76"/>
      <c r="BD199" s="203"/>
      <c r="BE199" s="121"/>
      <c r="BG199" s="361"/>
      <c r="BH199" s="362"/>
      <c r="BI199" s="362"/>
      <c r="BJ199" s="362"/>
      <c r="BK199" s="362"/>
      <c r="BL199" s="362"/>
      <c r="BM199" s="362"/>
      <c r="BN199" s="363"/>
      <c r="BX199" s="53" t="s">
        <v>727</v>
      </c>
      <c r="BY199" s="54">
        <v>1</v>
      </c>
      <c r="BZ199" s="53" t="s">
        <v>608</v>
      </c>
      <c r="CA199" s="12" t="s">
        <v>120</v>
      </c>
      <c r="CB199" s="100"/>
      <c r="CC199" s="76"/>
      <c r="CD199" s="57"/>
      <c r="CE199" s="121"/>
      <c r="CG199" s="361"/>
      <c r="CH199" s="362"/>
      <c r="CI199" s="362"/>
      <c r="CJ199" s="362"/>
      <c r="CK199" s="362"/>
      <c r="CL199" s="362"/>
      <c r="CM199" s="362"/>
      <c r="CN199" s="363"/>
    </row>
    <row r="200" spans="1:92" x14ac:dyDescent="0.25">
      <c r="A200" s="11" t="s">
        <v>728</v>
      </c>
      <c r="B200" s="12">
        <v>6</v>
      </c>
      <c r="C200" s="52" t="s">
        <v>729</v>
      </c>
      <c r="D200" s="12" t="s">
        <v>118</v>
      </c>
      <c r="E200" s="14"/>
      <c r="F200" s="111"/>
      <c r="G200" s="1"/>
      <c r="H200" s="11" t="s">
        <v>728</v>
      </c>
      <c r="I200" s="12">
        <v>6</v>
      </c>
      <c r="J200" s="52" t="s">
        <v>729</v>
      </c>
      <c r="K200" s="12" t="s">
        <v>119</v>
      </c>
      <c r="L200" s="14"/>
      <c r="M200" s="111"/>
      <c r="N200" s="1"/>
      <c r="O200" s="11" t="s">
        <v>728</v>
      </c>
      <c r="P200" s="12">
        <v>6</v>
      </c>
      <c r="Q200" s="52" t="s">
        <v>729</v>
      </c>
      <c r="R200" s="12" t="s">
        <v>119</v>
      </c>
      <c r="S200" s="14"/>
      <c r="T200" s="111"/>
      <c r="Y200" s="53" t="s">
        <v>727</v>
      </c>
      <c r="Z200" s="54">
        <v>1</v>
      </c>
      <c r="AA200" s="53" t="s">
        <v>608</v>
      </c>
      <c r="AB200" s="54" t="s">
        <v>118</v>
      </c>
      <c r="AC200" s="100"/>
      <c r="AD200" s="76"/>
      <c r="AE200" s="203"/>
      <c r="AF200" s="121"/>
      <c r="AX200" s="53" t="s">
        <v>730</v>
      </c>
      <c r="AY200" s="54">
        <v>1</v>
      </c>
      <c r="AZ200" s="53" t="s">
        <v>731</v>
      </c>
      <c r="BA200" s="12" t="s">
        <v>119</v>
      </c>
      <c r="BB200" s="100"/>
      <c r="BC200" s="76"/>
      <c r="BD200" s="203"/>
      <c r="BE200" s="121"/>
      <c r="BG200" s="74"/>
      <c r="BH200" s="12"/>
      <c r="BI200" s="53"/>
      <c r="BJ200" s="12"/>
      <c r="BK200" s="118"/>
      <c r="BL200" s="76"/>
      <c r="BM200" s="203"/>
      <c r="BN200" s="121"/>
      <c r="BX200" s="53" t="s">
        <v>730</v>
      </c>
      <c r="BY200" s="54">
        <v>1</v>
      </c>
      <c r="BZ200" s="53" t="s">
        <v>731</v>
      </c>
      <c r="CA200" s="12" t="s">
        <v>120</v>
      </c>
      <c r="CB200" s="100"/>
      <c r="CC200" s="76"/>
      <c r="CD200" s="57"/>
      <c r="CE200" s="121"/>
      <c r="CG200" s="74" t="s">
        <v>59</v>
      </c>
      <c r="CH200" s="12">
        <v>1</v>
      </c>
      <c r="CI200" s="53" t="s">
        <v>732</v>
      </c>
      <c r="CJ200" s="12" t="s">
        <v>130</v>
      </c>
      <c r="CK200" s="62">
        <f>CH200*170</f>
        <v>170</v>
      </c>
      <c r="CL200" s="63"/>
      <c r="CM200" s="57">
        <v>45376</v>
      </c>
      <c r="CN200" s="59" t="s">
        <v>129</v>
      </c>
    </row>
    <row r="201" spans="1:92" x14ac:dyDescent="0.25">
      <c r="A201" s="11" t="s">
        <v>733</v>
      </c>
      <c r="B201" s="12">
        <v>2</v>
      </c>
      <c r="C201" s="52" t="s">
        <v>734</v>
      </c>
      <c r="D201" s="12" t="s">
        <v>118</v>
      </c>
      <c r="E201" s="14"/>
      <c r="F201" s="113"/>
      <c r="G201" s="1"/>
      <c r="H201" s="11" t="s">
        <v>733</v>
      </c>
      <c r="I201" s="12">
        <v>2</v>
      </c>
      <c r="J201" s="52" t="s">
        <v>734</v>
      </c>
      <c r="K201" s="12" t="s">
        <v>119</v>
      </c>
      <c r="L201" s="14"/>
      <c r="M201" s="113"/>
      <c r="N201" s="1"/>
      <c r="O201" s="11" t="s">
        <v>733</v>
      </c>
      <c r="P201" s="12">
        <v>2</v>
      </c>
      <c r="Q201" s="52" t="s">
        <v>734</v>
      </c>
      <c r="R201" s="12" t="s">
        <v>119</v>
      </c>
      <c r="S201" s="14"/>
      <c r="T201" s="113"/>
      <c r="Y201" s="53" t="s">
        <v>730</v>
      </c>
      <c r="Z201" s="54">
        <v>1</v>
      </c>
      <c r="AA201" s="53" t="s">
        <v>731</v>
      </c>
      <c r="AB201" s="12" t="s">
        <v>118</v>
      </c>
      <c r="AC201" s="100"/>
      <c r="AD201" s="76"/>
      <c r="AE201" s="203"/>
      <c r="AF201" s="121"/>
      <c r="AX201" s="53" t="s">
        <v>735</v>
      </c>
      <c r="AY201" s="54">
        <v>1</v>
      </c>
      <c r="AZ201" s="53" t="s">
        <v>731</v>
      </c>
      <c r="BA201" s="12" t="s">
        <v>119</v>
      </c>
      <c r="BB201" s="100"/>
      <c r="BC201" s="102"/>
      <c r="BD201" s="203"/>
      <c r="BE201" s="121"/>
      <c r="BG201" s="74" t="s">
        <v>59</v>
      </c>
      <c r="BH201" s="12">
        <v>1</v>
      </c>
      <c r="BI201" s="53" t="s">
        <v>736</v>
      </c>
      <c r="BJ201" s="12" t="s">
        <v>128</v>
      </c>
      <c r="BK201" s="62"/>
      <c r="BL201" s="63"/>
      <c r="BM201" s="57"/>
      <c r="BN201" s="59" t="s">
        <v>129</v>
      </c>
      <c r="BX201" s="53" t="s">
        <v>735</v>
      </c>
      <c r="BY201" s="54">
        <v>1</v>
      </c>
      <c r="BZ201" s="53" t="s">
        <v>731</v>
      </c>
      <c r="CA201" s="12" t="s">
        <v>120</v>
      </c>
      <c r="CB201" s="100"/>
      <c r="CC201" s="102"/>
      <c r="CD201" s="57"/>
      <c r="CE201" s="121"/>
      <c r="CG201" s="74" t="s">
        <v>59</v>
      </c>
      <c r="CH201" s="12">
        <v>1</v>
      </c>
      <c r="CI201" s="53" t="s">
        <v>737</v>
      </c>
      <c r="CJ201" s="12" t="s">
        <v>130</v>
      </c>
      <c r="CK201" s="62">
        <f>CH201*215</f>
        <v>215</v>
      </c>
      <c r="CL201" s="63"/>
      <c r="CM201" s="57">
        <v>45376</v>
      </c>
      <c r="CN201" s="59" t="s">
        <v>129</v>
      </c>
    </row>
    <row r="202" spans="1:92" x14ac:dyDescent="0.25">
      <c r="A202" s="11"/>
      <c r="B202" s="12"/>
      <c r="C202" s="52"/>
      <c r="D202" s="12"/>
      <c r="E202" s="14"/>
      <c r="F202" s="113"/>
      <c r="G202" s="1"/>
      <c r="H202" s="11"/>
      <c r="I202" s="12"/>
      <c r="J202" s="52"/>
      <c r="K202" s="12"/>
      <c r="L202" s="14"/>
      <c r="M202" s="113"/>
      <c r="N202" s="1"/>
      <c r="O202" s="11"/>
      <c r="P202" s="12"/>
      <c r="Q202" s="52"/>
      <c r="R202" s="12"/>
      <c r="S202" s="14"/>
      <c r="T202" s="113"/>
      <c r="Y202" s="53" t="s">
        <v>735</v>
      </c>
      <c r="Z202" s="54">
        <v>1</v>
      </c>
      <c r="AA202" s="53" t="s">
        <v>731</v>
      </c>
      <c r="AB202" s="12" t="s">
        <v>118</v>
      </c>
      <c r="AC202" s="100"/>
      <c r="AD202" s="102"/>
      <c r="AE202" s="203"/>
      <c r="AF202" s="121"/>
      <c r="AX202" s="53" t="s">
        <v>365</v>
      </c>
      <c r="AY202" s="54">
        <v>1</v>
      </c>
      <c r="AZ202" s="53" t="s">
        <v>216</v>
      </c>
      <c r="BA202" s="12" t="s">
        <v>119</v>
      </c>
      <c r="BB202" s="100">
        <f>AY202*300</f>
        <v>300</v>
      </c>
      <c r="BC202" s="102">
        <f>AY202*4</f>
        <v>4</v>
      </c>
      <c r="BD202" s="203"/>
      <c r="BE202" s="121"/>
      <c r="BG202" s="74" t="s">
        <v>59</v>
      </c>
      <c r="BH202" s="54">
        <v>1</v>
      </c>
      <c r="BI202" s="74" t="s">
        <v>738</v>
      </c>
      <c r="BJ202" s="12" t="s">
        <v>128</v>
      </c>
      <c r="BK202" s="62"/>
      <c r="BL202" s="75"/>
      <c r="BM202" s="57"/>
      <c r="BN202" s="59" t="s">
        <v>129</v>
      </c>
      <c r="BX202" s="53" t="s">
        <v>365</v>
      </c>
      <c r="BY202" s="54">
        <v>1</v>
      </c>
      <c r="BZ202" s="53" t="s">
        <v>216</v>
      </c>
      <c r="CA202" s="12" t="s">
        <v>120</v>
      </c>
      <c r="CB202" s="100">
        <f>BY202*300</f>
        <v>300</v>
      </c>
      <c r="CC202" s="102">
        <f>BY202*4</f>
        <v>4</v>
      </c>
      <c r="CD202" s="57"/>
      <c r="CE202" s="121"/>
      <c r="CG202" s="74" t="s">
        <v>59</v>
      </c>
      <c r="CH202" s="54">
        <v>1</v>
      </c>
      <c r="CI202" s="74" t="s">
        <v>739</v>
      </c>
      <c r="CJ202" s="12" t="s">
        <v>130</v>
      </c>
      <c r="CK202" s="62">
        <f>CH202*280</f>
        <v>280</v>
      </c>
      <c r="CL202" s="75"/>
      <c r="CM202" s="57">
        <v>45376</v>
      </c>
      <c r="CN202" s="59" t="s">
        <v>129</v>
      </c>
    </row>
    <row r="203" spans="1:92" x14ac:dyDescent="0.25">
      <c r="A203" s="11" t="s">
        <v>266</v>
      </c>
      <c r="B203" s="12">
        <v>4</v>
      </c>
      <c r="C203" s="52" t="s">
        <v>267</v>
      </c>
      <c r="D203" s="12" t="s">
        <v>410</v>
      </c>
      <c r="E203" s="14"/>
      <c r="F203" s="113"/>
      <c r="G203" s="1"/>
      <c r="H203" s="11" t="s">
        <v>266</v>
      </c>
      <c r="I203" s="12">
        <v>4</v>
      </c>
      <c r="J203" s="52" t="s">
        <v>267</v>
      </c>
      <c r="K203" s="12" t="s">
        <v>119</v>
      </c>
      <c r="L203" s="14"/>
      <c r="M203" s="113"/>
      <c r="N203" s="1"/>
      <c r="O203" s="11" t="s">
        <v>266</v>
      </c>
      <c r="P203" s="12">
        <v>4</v>
      </c>
      <c r="Q203" s="52" t="s">
        <v>267</v>
      </c>
      <c r="R203" s="12" t="s">
        <v>120</v>
      </c>
      <c r="S203" s="14"/>
      <c r="T203" s="113"/>
      <c r="Y203" s="53" t="s">
        <v>365</v>
      </c>
      <c r="Z203" s="54">
        <v>1</v>
      </c>
      <c r="AA203" s="53" t="s">
        <v>216</v>
      </c>
      <c r="AB203" s="12" t="s">
        <v>118</v>
      </c>
      <c r="AC203" s="100">
        <f>Z203*250</f>
        <v>250</v>
      </c>
      <c r="AD203" s="102">
        <f>Z203*4</f>
        <v>4</v>
      </c>
      <c r="AE203" s="203"/>
      <c r="AF203" s="121"/>
      <c r="AX203" s="74" t="s">
        <v>369</v>
      </c>
      <c r="AY203" s="12">
        <v>1</v>
      </c>
      <c r="AZ203" s="74" t="s">
        <v>370</v>
      </c>
      <c r="BA203" s="12"/>
      <c r="BB203" s="100">
        <f>AY203*750</f>
        <v>750</v>
      </c>
      <c r="BC203" s="102">
        <f>AY203*2</f>
        <v>2</v>
      </c>
      <c r="BD203" s="203"/>
      <c r="BE203" s="121"/>
      <c r="BG203" s="74" t="s">
        <v>59</v>
      </c>
      <c r="BH203" s="54">
        <v>1</v>
      </c>
      <c r="BI203" s="74" t="s">
        <v>740</v>
      </c>
      <c r="BJ203" s="12" t="s">
        <v>128</v>
      </c>
      <c r="BK203" s="62"/>
      <c r="BL203" s="75"/>
      <c r="BM203" s="57"/>
      <c r="BN203" s="59" t="s">
        <v>129</v>
      </c>
      <c r="BX203" s="74" t="s">
        <v>369</v>
      </c>
      <c r="BY203" s="12">
        <v>1</v>
      </c>
      <c r="BZ203" s="74" t="s">
        <v>370</v>
      </c>
      <c r="CA203" s="12"/>
      <c r="CB203" s="100">
        <f>BY203*750</f>
        <v>750</v>
      </c>
      <c r="CC203" s="102">
        <f>BY203*2</f>
        <v>2</v>
      </c>
      <c r="CD203" s="57"/>
      <c r="CE203" s="121"/>
      <c r="CG203" s="74" t="s">
        <v>59</v>
      </c>
      <c r="CH203" s="54">
        <v>1</v>
      </c>
      <c r="CI203" s="74" t="s">
        <v>741</v>
      </c>
      <c r="CJ203" s="12" t="s">
        <v>130</v>
      </c>
      <c r="CK203" s="62">
        <f>CH203*340</f>
        <v>340</v>
      </c>
      <c r="CL203" s="75"/>
      <c r="CM203" s="57">
        <v>45376</v>
      </c>
      <c r="CN203" s="59" t="s">
        <v>129</v>
      </c>
    </row>
    <row r="204" spans="1:92" x14ac:dyDescent="0.25">
      <c r="A204" s="11" t="s">
        <v>279</v>
      </c>
      <c r="B204" s="12">
        <v>16</v>
      </c>
      <c r="C204" s="52" t="s">
        <v>280</v>
      </c>
      <c r="D204" s="12" t="s">
        <v>410</v>
      </c>
      <c r="E204" s="14"/>
      <c r="F204" s="113"/>
      <c r="G204" s="1"/>
      <c r="H204" s="11" t="s">
        <v>279</v>
      </c>
      <c r="I204" s="12">
        <v>16</v>
      </c>
      <c r="J204" s="52" t="s">
        <v>280</v>
      </c>
      <c r="K204" s="12" t="s">
        <v>119</v>
      </c>
      <c r="L204" s="14"/>
      <c r="M204" s="113"/>
      <c r="N204" s="1"/>
      <c r="O204" s="11" t="s">
        <v>279</v>
      </c>
      <c r="P204" s="12">
        <v>16</v>
      </c>
      <c r="Q204" s="52" t="s">
        <v>280</v>
      </c>
      <c r="R204" s="12" t="s">
        <v>120</v>
      </c>
      <c r="S204" s="14"/>
      <c r="T204" s="113"/>
      <c r="Y204" s="74" t="s">
        <v>369</v>
      </c>
      <c r="Z204" s="12">
        <v>1</v>
      </c>
      <c r="AA204" s="74" t="s">
        <v>370</v>
      </c>
      <c r="AB204" s="12"/>
      <c r="AC204" s="100">
        <f>Z204*750</f>
        <v>750</v>
      </c>
      <c r="AD204" s="102">
        <f>Z204*2</f>
        <v>2</v>
      </c>
      <c r="AE204" s="203"/>
      <c r="AF204" s="121"/>
      <c r="AX204" s="53"/>
      <c r="AY204" s="54"/>
      <c r="AZ204" s="58"/>
      <c r="BA204" s="12"/>
      <c r="BB204" s="100"/>
      <c r="BC204" s="102"/>
      <c r="BD204" s="203"/>
      <c r="BE204" s="121"/>
      <c r="BG204" s="74" t="s">
        <v>59</v>
      </c>
      <c r="BH204" s="12">
        <v>1</v>
      </c>
      <c r="BI204" s="74" t="s">
        <v>742</v>
      </c>
      <c r="BJ204" s="12" t="s">
        <v>128</v>
      </c>
      <c r="BK204" s="62"/>
      <c r="BL204" s="62"/>
      <c r="BM204" s="57"/>
      <c r="BN204" s="59" t="s">
        <v>129</v>
      </c>
      <c r="BX204" s="53"/>
      <c r="BY204" s="54"/>
      <c r="BZ204" s="58"/>
      <c r="CA204" s="12"/>
      <c r="CB204" s="100"/>
      <c r="CC204" s="102"/>
      <c r="CD204" s="57"/>
      <c r="CE204" s="121"/>
      <c r="CG204" s="74" t="s">
        <v>59</v>
      </c>
      <c r="CH204" s="12">
        <v>1</v>
      </c>
      <c r="CI204" s="74" t="s">
        <v>743</v>
      </c>
      <c r="CJ204" s="12" t="s">
        <v>130</v>
      </c>
      <c r="CK204" s="62">
        <f>CH204*525</f>
        <v>525</v>
      </c>
      <c r="CL204" s="62"/>
      <c r="CM204" s="57">
        <v>45376</v>
      </c>
      <c r="CN204" s="59" t="s">
        <v>129</v>
      </c>
    </row>
    <row r="205" spans="1:92" x14ac:dyDescent="0.25">
      <c r="A205" s="11"/>
      <c r="B205" s="12"/>
      <c r="C205" s="13"/>
      <c r="D205" s="12"/>
      <c r="E205" s="14"/>
      <c r="F205" s="113"/>
      <c r="G205" s="1"/>
      <c r="H205" s="11"/>
      <c r="I205" s="12"/>
      <c r="J205" s="13"/>
      <c r="K205" s="12"/>
      <c r="L205" s="14"/>
      <c r="M205" s="113"/>
      <c r="N205" s="1"/>
      <c r="O205" s="11"/>
      <c r="P205" s="12"/>
      <c r="Q205" s="13"/>
      <c r="R205" s="12"/>
      <c r="S205" s="14"/>
      <c r="T205" s="113"/>
      <c r="Y205" s="53"/>
      <c r="Z205" s="54"/>
      <c r="AA205" s="58"/>
      <c r="AB205" s="12"/>
      <c r="AC205" s="100"/>
      <c r="AD205" s="102"/>
      <c r="AE205" s="203"/>
      <c r="AF205" s="121"/>
      <c r="AX205" s="53" t="s">
        <v>744</v>
      </c>
      <c r="AY205" s="54">
        <v>1</v>
      </c>
      <c r="AZ205" s="53" t="s">
        <v>611</v>
      </c>
      <c r="BA205" s="12" t="s">
        <v>119</v>
      </c>
      <c r="BB205" s="100">
        <f>AY205*12*76*11.16/144*2.15</f>
        <v>151.96200000000002</v>
      </c>
      <c r="BC205" s="76"/>
      <c r="BD205" s="203"/>
      <c r="BE205" s="121"/>
      <c r="BG205" s="74" t="s">
        <v>59</v>
      </c>
      <c r="BH205" s="54">
        <v>1</v>
      </c>
      <c r="BI205" s="74" t="s">
        <v>745</v>
      </c>
      <c r="BJ205" s="12" t="s">
        <v>128</v>
      </c>
      <c r="BK205" s="62"/>
      <c r="BL205" s="14"/>
      <c r="BM205" s="57"/>
      <c r="BN205" s="59" t="s">
        <v>129</v>
      </c>
      <c r="BX205" s="53" t="s">
        <v>744</v>
      </c>
      <c r="BY205" s="54">
        <v>1</v>
      </c>
      <c r="BZ205" s="53" t="s">
        <v>611</v>
      </c>
      <c r="CA205" s="12" t="s">
        <v>120</v>
      </c>
      <c r="CB205" s="100"/>
      <c r="CC205" s="76"/>
      <c r="CD205" s="57"/>
      <c r="CE205" s="121"/>
      <c r="CG205" s="74" t="s">
        <v>59</v>
      </c>
      <c r="CH205" s="54">
        <v>1</v>
      </c>
      <c r="CI205" s="74" t="s">
        <v>746</v>
      </c>
      <c r="CJ205" s="12" t="s">
        <v>130</v>
      </c>
      <c r="CK205" s="62"/>
      <c r="CL205" s="14"/>
      <c r="CM205" s="57"/>
      <c r="CN205" s="59" t="s">
        <v>129</v>
      </c>
    </row>
    <row r="206" spans="1:92" x14ac:dyDescent="0.25">
      <c r="A206" s="290" t="s">
        <v>82</v>
      </c>
      <c r="B206" s="290"/>
      <c r="C206" s="290"/>
      <c r="D206" s="290"/>
      <c r="E206" s="290"/>
      <c r="F206" s="290"/>
      <c r="G206" s="290"/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Y206" s="53" t="s">
        <v>744</v>
      </c>
      <c r="Z206" s="54">
        <v>1</v>
      </c>
      <c r="AA206" s="53" t="s">
        <v>611</v>
      </c>
      <c r="AB206" s="12" t="s">
        <v>118</v>
      </c>
      <c r="AC206" s="100"/>
      <c r="AD206" s="76"/>
      <c r="AE206" s="203"/>
      <c r="AF206" s="121"/>
      <c r="AX206" s="53" t="s">
        <v>747</v>
      </c>
      <c r="AY206" s="54">
        <v>1</v>
      </c>
      <c r="AZ206" s="53" t="s">
        <v>731</v>
      </c>
      <c r="BA206" s="12" t="s">
        <v>119</v>
      </c>
      <c r="BB206" s="114">
        <f>AY206*855</f>
        <v>855</v>
      </c>
      <c r="BC206" s="76"/>
      <c r="BD206" s="203"/>
      <c r="BE206" s="121"/>
      <c r="BG206" s="74" t="s">
        <v>59</v>
      </c>
      <c r="BH206" s="54">
        <v>1</v>
      </c>
      <c r="BI206" s="74" t="s">
        <v>748</v>
      </c>
      <c r="BJ206" s="12" t="s">
        <v>128</v>
      </c>
      <c r="BK206" s="62"/>
      <c r="BL206" s="14"/>
      <c r="BM206" s="57"/>
      <c r="BN206" s="59" t="s">
        <v>129</v>
      </c>
      <c r="BX206" s="53" t="s">
        <v>747</v>
      </c>
      <c r="BY206" s="54">
        <v>1</v>
      </c>
      <c r="BZ206" s="53" t="s">
        <v>731</v>
      </c>
      <c r="CA206" s="12" t="s">
        <v>120</v>
      </c>
      <c r="CB206" s="114">
        <f>BY206*1090</f>
        <v>1090</v>
      </c>
      <c r="CC206" s="76"/>
      <c r="CD206" s="57"/>
      <c r="CE206" s="121"/>
    </row>
    <row r="207" spans="1:92" ht="24" x14ac:dyDescent="0.4">
      <c r="A207" s="290"/>
      <c r="B207" s="290"/>
      <c r="C207" s="290"/>
      <c r="D207" s="290"/>
      <c r="E207" s="290"/>
      <c r="F207" s="290"/>
      <c r="G207" s="290"/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  <c r="S207" s="290"/>
      <c r="T207" s="290"/>
      <c r="Y207" s="53" t="s">
        <v>747</v>
      </c>
      <c r="Z207" s="54">
        <v>1</v>
      </c>
      <c r="AA207" s="53" t="s">
        <v>731</v>
      </c>
      <c r="AB207" s="12" t="s">
        <v>118</v>
      </c>
      <c r="AC207" s="114">
        <f>Z207*400</f>
        <v>400</v>
      </c>
      <c r="AD207" s="76"/>
      <c r="AE207" s="203"/>
      <c r="AF207" s="121"/>
      <c r="AX207" s="53" t="s">
        <v>749</v>
      </c>
      <c r="AY207" s="54">
        <v>1</v>
      </c>
      <c r="AZ207" s="53" t="s">
        <v>731</v>
      </c>
      <c r="BA207" s="12" t="s">
        <v>119</v>
      </c>
      <c r="BB207" s="60">
        <f>AY207*900</f>
        <v>900</v>
      </c>
      <c r="BC207" s="76"/>
      <c r="BD207" s="203"/>
      <c r="BE207" s="121"/>
      <c r="BX207" s="53" t="s">
        <v>749</v>
      </c>
      <c r="BY207" s="54">
        <v>1</v>
      </c>
      <c r="BZ207" s="53" t="s">
        <v>731</v>
      </c>
      <c r="CA207" s="12" t="s">
        <v>120</v>
      </c>
      <c r="CB207" s="60">
        <f>BY207*1155</f>
        <v>1155</v>
      </c>
      <c r="CC207" s="76"/>
      <c r="CD207" s="57"/>
      <c r="CE207" s="121"/>
      <c r="CG207" s="346"/>
      <c r="CH207" s="347"/>
      <c r="CI207" s="347"/>
      <c r="CJ207" s="347"/>
      <c r="CK207" s="347"/>
      <c r="CL207" s="347"/>
      <c r="CM207" s="347"/>
      <c r="CN207" s="347"/>
    </row>
    <row r="208" spans="1:92" x14ac:dyDescent="0.25">
      <c r="A208" s="290"/>
      <c r="B208" s="290"/>
      <c r="C208" s="290"/>
      <c r="D208" s="290"/>
      <c r="E208" s="290"/>
      <c r="F208" s="290"/>
      <c r="G208" s="290"/>
      <c r="H208" s="290"/>
      <c r="I208" s="290"/>
      <c r="J208" s="290"/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  <c r="Y208" s="53" t="s">
        <v>749</v>
      </c>
      <c r="Z208" s="54">
        <v>1</v>
      </c>
      <c r="AA208" s="53" t="s">
        <v>731</v>
      </c>
      <c r="AB208" s="12" t="s">
        <v>118</v>
      </c>
      <c r="AC208" s="60">
        <f>Z208*450</f>
        <v>450</v>
      </c>
      <c r="AD208" s="76"/>
      <c r="AE208" s="203"/>
      <c r="AF208" s="121"/>
      <c r="AX208" s="53" t="s">
        <v>365</v>
      </c>
      <c r="AY208" s="54">
        <v>1</v>
      </c>
      <c r="AZ208" s="53" t="s">
        <v>216</v>
      </c>
      <c r="BA208" s="12" t="s">
        <v>119</v>
      </c>
      <c r="BB208" s="100">
        <f>AY208*300</f>
        <v>300</v>
      </c>
      <c r="BC208" s="102">
        <f>AY208*4</f>
        <v>4</v>
      </c>
      <c r="BD208" s="203"/>
      <c r="BE208" s="121"/>
      <c r="BG208" s="74" t="s">
        <v>59</v>
      </c>
      <c r="BH208" s="12">
        <v>1</v>
      </c>
      <c r="BI208" s="74" t="s">
        <v>736</v>
      </c>
      <c r="BJ208" s="12" t="s">
        <v>130</v>
      </c>
      <c r="BK208" s="62"/>
      <c r="BL208" s="117"/>
      <c r="BM208" s="57"/>
      <c r="BN208" s="59" t="s">
        <v>129</v>
      </c>
      <c r="BX208" s="53" t="s">
        <v>365</v>
      </c>
      <c r="BY208" s="54">
        <v>1</v>
      </c>
      <c r="BZ208" s="53" t="s">
        <v>216</v>
      </c>
      <c r="CA208" s="12" t="s">
        <v>120</v>
      </c>
      <c r="CB208" s="60">
        <f>BY208*350</f>
        <v>350</v>
      </c>
      <c r="CC208" s="76">
        <f>BY208*4</f>
        <v>4</v>
      </c>
      <c r="CD208" s="57"/>
      <c r="CE208" s="121"/>
      <c r="CG208" s="53"/>
      <c r="CH208" s="54"/>
      <c r="CI208" s="53"/>
      <c r="CJ208" s="12"/>
      <c r="CK208" s="100"/>
      <c r="CL208" s="102"/>
      <c r="CM208" s="57"/>
      <c r="CN208" s="58"/>
    </row>
    <row r="209" spans="1:92" x14ac:dyDescent="0.25">
      <c r="A209" s="290"/>
      <c r="B209" s="290"/>
      <c r="C209" s="290"/>
      <c r="D209" s="290"/>
      <c r="E209" s="290"/>
      <c r="F209" s="290"/>
      <c r="G209" s="290"/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  <c r="Y209" s="53" t="s">
        <v>365</v>
      </c>
      <c r="Z209" s="54">
        <v>1</v>
      </c>
      <c r="AA209" s="53" t="s">
        <v>216</v>
      </c>
      <c r="AB209" s="12" t="s">
        <v>118</v>
      </c>
      <c r="AC209" s="100">
        <f>Z209*250</f>
        <v>250</v>
      </c>
      <c r="AD209" s="102">
        <f>Z209*4</f>
        <v>4</v>
      </c>
      <c r="AE209" s="203"/>
      <c r="AF209" s="121"/>
      <c r="AX209" s="74" t="s">
        <v>369</v>
      </c>
      <c r="AY209" s="12">
        <v>1</v>
      </c>
      <c r="AZ209" s="74" t="s">
        <v>370</v>
      </c>
      <c r="BA209" s="12"/>
      <c r="BB209" s="100">
        <f>AY209*750</f>
        <v>750</v>
      </c>
      <c r="BC209" s="102">
        <f>AY209*2</f>
        <v>2</v>
      </c>
      <c r="BD209" s="203"/>
      <c r="BE209" s="121"/>
      <c r="BG209" s="74" t="s">
        <v>59</v>
      </c>
      <c r="BH209" s="54">
        <v>1</v>
      </c>
      <c r="BI209" s="74" t="s">
        <v>738</v>
      </c>
      <c r="BJ209" s="12" t="s">
        <v>130</v>
      </c>
      <c r="BK209" s="62"/>
      <c r="BL209" s="75"/>
      <c r="BM209" s="57"/>
      <c r="BN209" s="59" t="s">
        <v>129</v>
      </c>
      <c r="BX209" s="74" t="s">
        <v>369</v>
      </c>
      <c r="BY209" s="12">
        <v>1</v>
      </c>
      <c r="BZ209" s="74" t="s">
        <v>370</v>
      </c>
      <c r="CA209" s="12"/>
      <c r="CB209" s="100">
        <f>BY209*750</f>
        <v>750</v>
      </c>
      <c r="CC209" s="76">
        <f>BY209*2</f>
        <v>2</v>
      </c>
      <c r="CD209" s="57"/>
      <c r="CE209" s="121"/>
      <c r="CG209" s="59"/>
      <c r="CH209" s="12"/>
      <c r="CI209" s="59"/>
      <c r="CJ209" s="12"/>
      <c r="CK209" s="100"/>
      <c r="CL209" s="76"/>
      <c r="CM209" s="57"/>
      <c r="CN209" s="58"/>
    </row>
    <row r="210" spans="1:92" x14ac:dyDescent="0.25">
      <c r="A210" s="290"/>
      <c r="B210" s="290"/>
      <c r="C210" s="290"/>
      <c r="D210" s="290"/>
      <c r="E210" s="290"/>
      <c r="F210" s="290"/>
      <c r="G210" s="290"/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Y210" s="74" t="s">
        <v>369</v>
      </c>
      <c r="Z210" s="12">
        <v>1</v>
      </c>
      <c r="AA210" s="74" t="s">
        <v>370</v>
      </c>
      <c r="AB210" s="12"/>
      <c r="AC210" s="100">
        <f>Z210*750</f>
        <v>750</v>
      </c>
      <c r="AD210" s="102">
        <f>Z210*2</f>
        <v>2</v>
      </c>
      <c r="AE210" s="203"/>
      <c r="AF210" s="121"/>
      <c r="AX210" s="53"/>
      <c r="AY210" s="54"/>
      <c r="AZ210" s="53"/>
      <c r="BA210" s="12"/>
      <c r="BB210" s="100"/>
      <c r="BC210" s="76"/>
      <c r="BD210" s="203"/>
      <c r="BE210" s="121"/>
      <c r="BG210" s="74" t="s">
        <v>59</v>
      </c>
      <c r="BH210" s="54">
        <v>1</v>
      </c>
      <c r="BI210" s="74" t="s">
        <v>740</v>
      </c>
      <c r="BJ210" s="12" t="s">
        <v>130</v>
      </c>
      <c r="BK210" s="62"/>
      <c r="BL210" s="75"/>
      <c r="BM210" s="57"/>
      <c r="BN210" s="59" t="s">
        <v>129</v>
      </c>
      <c r="BX210" s="53"/>
      <c r="BY210" s="54"/>
      <c r="BZ210" s="53"/>
      <c r="CA210" s="12"/>
      <c r="CB210" s="100"/>
      <c r="CC210" s="76"/>
      <c r="CD210" s="57"/>
      <c r="CE210" s="121"/>
      <c r="CG210" s="53"/>
      <c r="CH210" s="54"/>
      <c r="CI210" s="53"/>
      <c r="CJ210" s="12"/>
      <c r="CK210" s="100"/>
      <c r="CL210" s="76"/>
      <c r="CM210" s="57"/>
      <c r="CN210" s="58"/>
    </row>
    <row r="211" spans="1:92" x14ac:dyDescent="0.25">
      <c r="A211" s="129"/>
      <c r="B211" s="129"/>
      <c r="C211" s="129"/>
      <c r="D211" s="129"/>
      <c r="E211" s="129"/>
      <c r="F211" s="129"/>
      <c r="G211" s="129"/>
      <c r="H211" s="129"/>
      <c r="I211" s="129"/>
      <c r="J211" s="129"/>
      <c r="K211" s="129"/>
      <c r="L211" s="129"/>
      <c r="M211" s="129"/>
      <c r="N211" s="129"/>
      <c r="O211" s="129"/>
      <c r="P211" s="129"/>
      <c r="Q211" s="129"/>
      <c r="R211" s="129"/>
      <c r="S211" s="129"/>
      <c r="T211" s="129"/>
      <c r="Y211" s="53"/>
      <c r="Z211" s="54"/>
      <c r="AA211" s="53"/>
      <c r="AB211" s="12"/>
      <c r="AC211" s="100"/>
      <c r="AD211" s="76"/>
      <c r="AE211" s="203"/>
      <c r="AF211" s="121"/>
      <c r="AX211" s="53" t="s">
        <v>750</v>
      </c>
      <c r="AY211" s="54">
        <v>1</v>
      </c>
      <c r="AZ211" s="53" t="s">
        <v>614</v>
      </c>
      <c r="BA211" s="12" t="s">
        <v>119</v>
      </c>
      <c r="BB211" s="114">
        <f>AY211*12*95*11.16/144*2.15</f>
        <v>189.95249999999999</v>
      </c>
      <c r="BC211" s="76"/>
      <c r="BD211" s="203"/>
      <c r="BE211" s="121"/>
      <c r="BG211" s="74" t="s">
        <v>59</v>
      </c>
      <c r="BH211" s="12">
        <v>1</v>
      </c>
      <c r="BI211" s="74" t="s">
        <v>742</v>
      </c>
      <c r="BJ211" s="12" t="s">
        <v>130</v>
      </c>
      <c r="BK211" s="62"/>
      <c r="BL211" s="62"/>
      <c r="BM211" s="57"/>
      <c r="BN211" s="59" t="s">
        <v>129</v>
      </c>
      <c r="BX211" s="53" t="s">
        <v>750</v>
      </c>
      <c r="BY211" s="54">
        <v>1</v>
      </c>
      <c r="BZ211" s="53" t="s">
        <v>614</v>
      </c>
      <c r="CA211" s="12" t="s">
        <v>120</v>
      </c>
      <c r="CB211" s="118"/>
      <c r="CC211" s="76"/>
      <c r="CD211" s="57"/>
      <c r="CE211" s="121"/>
      <c r="CG211" s="59"/>
      <c r="CH211" s="12"/>
      <c r="CI211" s="59"/>
      <c r="CJ211" s="12"/>
      <c r="CK211" s="118"/>
      <c r="CL211" s="76"/>
      <c r="CM211" s="204"/>
      <c r="CN211" s="121"/>
    </row>
    <row r="212" spans="1:92" x14ac:dyDescent="0.25">
      <c r="A212" s="129"/>
      <c r="B212" s="129"/>
      <c r="C212" s="129"/>
      <c r="D212" s="129"/>
      <c r="E212" s="129"/>
      <c r="F212" s="129"/>
      <c r="G212" s="129"/>
      <c r="H212" s="129"/>
      <c r="I212" s="129"/>
      <c r="J212" s="129"/>
      <c r="K212" s="129"/>
      <c r="L212" s="129"/>
      <c r="M212" s="129"/>
      <c r="N212" s="129"/>
      <c r="O212" s="129"/>
      <c r="P212" s="129"/>
      <c r="Q212" s="129"/>
      <c r="R212" s="129"/>
      <c r="S212" s="129"/>
      <c r="T212" s="129"/>
      <c r="Y212" s="53" t="s">
        <v>750</v>
      </c>
      <c r="Z212" s="54">
        <v>1</v>
      </c>
      <c r="AA212" s="53" t="s">
        <v>614</v>
      </c>
      <c r="AB212" s="12" t="s">
        <v>118</v>
      </c>
      <c r="AC212" s="118"/>
      <c r="AD212" s="76"/>
      <c r="AE212" s="203"/>
      <c r="AF212" s="121"/>
      <c r="AX212" s="53" t="s">
        <v>751</v>
      </c>
      <c r="AY212" s="54">
        <v>1</v>
      </c>
      <c r="AZ212" s="53" t="s">
        <v>731</v>
      </c>
      <c r="BA212" s="12" t="s">
        <v>119</v>
      </c>
      <c r="BB212" s="118">
        <f>AY212*1000</f>
        <v>1000</v>
      </c>
      <c r="BC212" s="121"/>
      <c r="BD212" s="203"/>
      <c r="BE212" s="121"/>
      <c r="BG212" s="74" t="s">
        <v>59</v>
      </c>
      <c r="BH212" s="54">
        <v>1</v>
      </c>
      <c r="BI212" s="74" t="s">
        <v>745</v>
      </c>
      <c r="BJ212" s="12" t="s">
        <v>130</v>
      </c>
      <c r="BK212" s="62"/>
      <c r="BL212" s="14"/>
      <c r="BM212" s="57"/>
      <c r="BN212" s="59" t="s">
        <v>129</v>
      </c>
      <c r="BX212" s="53" t="s">
        <v>751</v>
      </c>
      <c r="BY212" s="54">
        <v>1</v>
      </c>
      <c r="BZ212" s="53" t="s">
        <v>731</v>
      </c>
      <c r="CA212" s="12" t="s">
        <v>120</v>
      </c>
      <c r="CB212" s="118"/>
      <c r="CC212" s="121"/>
      <c r="CD212" s="57"/>
      <c r="CE212" s="121"/>
      <c r="CG212" s="58"/>
      <c r="CH212" s="54"/>
      <c r="CI212" s="58"/>
      <c r="CJ212" s="12"/>
      <c r="CK212" s="118"/>
      <c r="CL212" s="76"/>
      <c r="CM212" s="204"/>
      <c r="CN212" s="121"/>
    </row>
    <row r="213" spans="1:92" x14ac:dyDescent="0.25">
      <c r="A213" s="129"/>
      <c r="B213" s="129"/>
      <c r="C213" s="129"/>
      <c r="D213" s="129"/>
      <c r="E213" s="129"/>
      <c r="F213" s="129"/>
      <c r="G213" s="129"/>
      <c r="H213" s="129"/>
      <c r="I213" s="129"/>
      <c r="J213" s="129"/>
      <c r="K213" s="129"/>
      <c r="L213" s="129"/>
      <c r="M213" s="129"/>
      <c r="N213" s="129"/>
      <c r="O213" s="129"/>
      <c r="P213" s="129"/>
      <c r="Q213" s="129"/>
      <c r="R213" s="129"/>
      <c r="S213" s="129"/>
      <c r="T213" s="129"/>
      <c r="Y213" s="53" t="s">
        <v>751</v>
      </c>
      <c r="Z213" s="54">
        <v>1</v>
      </c>
      <c r="AA213" s="53" t="s">
        <v>731</v>
      </c>
      <c r="AB213" s="12" t="s">
        <v>118</v>
      </c>
      <c r="AC213" s="118"/>
      <c r="AD213" s="121"/>
      <c r="AE213" s="203"/>
      <c r="AF213" s="121"/>
      <c r="AX213" s="53" t="s">
        <v>752</v>
      </c>
      <c r="AY213" s="54">
        <v>1</v>
      </c>
      <c r="AZ213" s="53" t="s">
        <v>731</v>
      </c>
      <c r="BA213" s="12" t="s">
        <v>119</v>
      </c>
      <c r="BB213" s="118">
        <f>AY213*1050</f>
        <v>1050</v>
      </c>
      <c r="BC213" s="121"/>
      <c r="BD213" s="203"/>
      <c r="BE213" s="121"/>
      <c r="BG213" s="74" t="s">
        <v>59</v>
      </c>
      <c r="BH213" s="54">
        <v>1</v>
      </c>
      <c r="BI213" s="74" t="s">
        <v>748</v>
      </c>
      <c r="BJ213" s="12" t="s">
        <v>130</v>
      </c>
      <c r="BK213" s="62"/>
      <c r="BL213" s="14"/>
      <c r="BM213" s="57"/>
      <c r="BN213" s="59" t="s">
        <v>129</v>
      </c>
      <c r="BX213" s="53" t="s">
        <v>752</v>
      </c>
      <c r="BY213" s="54">
        <v>1</v>
      </c>
      <c r="BZ213" s="53" t="s">
        <v>731</v>
      </c>
      <c r="CA213" s="12" t="s">
        <v>120</v>
      </c>
      <c r="CB213" s="118"/>
      <c r="CC213" s="121"/>
      <c r="CD213" s="57"/>
      <c r="CE213" s="121"/>
      <c r="CG213" s="53"/>
      <c r="CH213" s="54"/>
      <c r="CI213" s="53"/>
      <c r="CJ213" s="12"/>
      <c r="CK213" s="118"/>
      <c r="CL213" s="76"/>
      <c r="CM213" s="204"/>
      <c r="CN213" s="121"/>
    </row>
    <row r="214" spans="1:92" x14ac:dyDescent="0.25">
      <c r="A214" s="129"/>
      <c r="B214" s="129"/>
      <c r="C214" s="129"/>
      <c r="D214" s="129"/>
      <c r="E214" s="129"/>
      <c r="F214" s="129"/>
      <c r="G214" s="129"/>
      <c r="H214" s="129"/>
      <c r="I214" s="129"/>
      <c r="J214" s="129"/>
      <c r="K214" s="129"/>
      <c r="L214" s="129"/>
      <c r="M214" s="129"/>
      <c r="N214" s="129"/>
      <c r="O214" s="129"/>
      <c r="P214" s="129"/>
      <c r="Q214" s="129"/>
      <c r="R214" s="129"/>
      <c r="S214" s="129"/>
      <c r="T214" s="129"/>
      <c r="Y214" s="53" t="s">
        <v>752</v>
      </c>
      <c r="Z214" s="54">
        <v>1</v>
      </c>
      <c r="AA214" s="53" t="s">
        <v>731</v>
      </c>
      <c r="AB214" s="12" t="s">
        <v>118</v>
      </c>
      <c r="AC214" s="118"/>
      <c r="AD214" s="121"/>
      <c r="AE214" s="203"/>
      <c r="AF214" s="121"/>
      <c r="AX214" s="53" t="s">
        <v>365</v>
      </c>
      <c r="AY214" s="54">
        <v>1</v>
      </c>
      <c r="AZ214" s="53" t="s">
        <v>216</v>
      </c>
      <c r="BA214" s="12" t="s">
        <v>119</v>
      </c>
      <c r="BB214" s="100">
        <f>AY214*350</f>
        <v>350</v>
      </c>
      <c r="BC214" s="102">
        <f>AY214*4</f>
        <v>4</v>
      </c>
      <c r="BD214" s="203"/>
      <c r="BE214" s="121"/>
      <c r="BX214" s="53" t="s">
        <v>365</v>
      </c>
      <c r="BY214" s="54">
        <v>1</v>
      </c>
      <c r="BZ214" s="53" t="s">
        <v>216</v>
      </c>
      <c r="CA214" s="12" t="s">
        <v>120</v>
      </c>
      <c r="CB214" s="118">
        <f>BY214*350</f>
        <v>350</v>
      </c>
      <c r="CC214" s="59">
        <f>BY214*4</f>
        <v>4</v>
      </c>
      <c r="CD214" s="57"/>
      <c r="CE214" s="121"/>
    </row>
    <row r="215" spans="1:92" x14ac:dyDescent="0.25">
      <c r="A215" s="129"/>
      <c r="B215" s="129"/>
      <c r="C215" s="129"/>
      <c r="D215" s="129"/>
      <c r="E215" s="129"/>
      <c r="F215" s="129"/>
      <c r="G215" s="129"/>
      <c r="H215" s="129"/>
      <c r="I215" s="129"/>
      <c r="J215" s="129"/>
      <c r="K215" s="129"/>
      <c r="L215" s="129"/>
      <c r="M215" s="129"/>
      <c r="N215" s="129"/>
      <c r="O215" s="129"/>
      <c r="P215" s="129"/>
      <c r="Q215" s="129"/>
      <c r="R215" s="129"/>
      <c r="S215" s="129"/>
      <c r="T215" s="129"/>
      <c r="Y215" s="53" t="s">
        <v>365</v>
      </c>
      <c r="Z215" s="54">
        <v>1</v>
      </c>
      <c r="AA215" s="53" t="s">
        <v>216</v>
      </c>
      <c r="AB215" s="12" t="s">
        <v>118</v>
      </c>
      <c r="AC215" s="100">
        <f>Z215*250</f>
        <v>250</v>
      </c>
      <c r="AD215" s="102">
        <f>Z215*4</f>
        <v>4</v>
      </c>
      <c r="AE215" s="203"/>
      <c r="AF215" s="121"/>
      <c r="AX215" s="74" t="s">
        <v>369</v>
      </c>
      <c r="AY215" s="12">
        <v>1</v>
      </c>
      <c r="AZ215" s="74" t="s">
        <v>370</v>
      </c>
      <c r="BA215" s="12"/>
      <c r="BB215" s="100">
        <f>AY215*750</f>
        <v>750</v>
      </c>
      <c r="BC215" s="102">
        <f>AY215*2</f>
        <v>2</v>
      </c>
      <c r="BD215" s="203"/>
      <c r="BE215" s="121"/>
      <c r="BX215" s="74" t="s">
        <v>369</v>
      </c>
      <c r="BY215" s="12">
        <v>1</v>
      </c>
      <c r="BZ215" s="74" t="s">
        <v>370</v>
      </c>
      <c r="CA215" s="12"/>
      <c r="CB215" s="100">
        <f>BY215*750</f>
        <v>750</v>
      </c>
      <c r="CC215" s="59">
        <f>BY215*2</f>
        <v>2</v>
      </c>
      <c r="CD215" s="57"/>
      <c r="CE215" s="121"/>
    </row>
    <row r="216" spans="1:92" x14ac:dyDescent="0.25">
      <c r="A216" s="129"/>
      <c r="B216" s="129"/>
      <c r="C216" s="129"/>
      <c r="D216" s="129"/>
      <c r="E216" s="129"/>
      <c r="F216" s="129"/>
      <c r="G216" s="129"/>
      <c r="H216" s="129"/>
      <c r="I216" s="129"/>
      <c r="J216" s="129"/>
      <c r="K216" s="129"/>
      <c r="L216" s="129"/>
      <c r="M216" s="129"/>
      <c r="N216" s="129"/>
      <c r="O216" s="129"/>
      <c r="P216" s="129"/>
      <c r="Q216" s="129"/>
      <c r="R216" s="129"/>
      <c r="S216" s="129"/>
      <c r="T216" s="129"/>
      <c r="Y216" s="74" t="s">
        <v>369</v>
      </c>
      <c r="Z216" s="12">
        <v>1</v>
      </c>
      <c r="AA216" s="74" t="s">
        <v>370</v>
      </c>
      <c r="AB216" s="12"/>
      <c r="AC216" s="100">
        <f>Z216*750</f>
        <v>750</v>
      </c>
      <c r="AD216" s="102">
        <f>Z216*2</f>
        <v>2</v>
      </c>
      <c r="AE216" s="203"/>
      <c r="AF216" s="121"/>
      <c r="AX216" s="53"/>
      <c r="AY216" s="54"/>
      <c r="AZ216" s="53"/>
      <c r="BA216" s="12"/>
      <c r="BB216" s="205"/>
      <c r="BC216" s="121"/>
      <c r="BD216" s="203"/>
      <c r="BE216" s="121"/>
      <c r="BX216" s="53"/>
      <c r="BY216" s="54"/>
      <c r="BZ216" s="53"/>
      <c r="CA216" s="12"/>
      <c r="CB216" s="205"/>
      <c r="CC216" s="121"/>
      <c r="CD216" s="57"/>
      <c r="CE216" s="121"/>
    </row>
    <row r="217" spans="1:92" x14ac:dyDescent="0.25">
      <c r="A217" s="129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  <c r="N217" s="129"/>
      <c r="O217" s="129"/>
      <c r="P217" s="129"/>
      <c r="Q217" s="129"/>
      <c r="R217" s="129"/>
      <c r="S217" s="129"/>
      <c r="T217" s="129"/>
      <c r="Y217" s="53"/>
      <c r="Z217" s="54"/>
      <c r="AA217" s="53"/>
      <c r="AB217" s="12"/>
      <c r="AC217" s="205"/>
      <c r="AD217" s="121"/>
      <c r="AE217" s="203"/>
      <c r="AF217" s="121"/>
      <c r="AX217" s="53"/>
      <c r="AY217" s="54"/>
      <c r="AZ217" s="53"/>
      <c r="BA217" s="12"/>
      <c r="BB217" s="205"/>
      <c r="BC217" s="121"/>
      <c r="BD217" s="203"/>
      <c r="BE217" s="121"/>
      <c r="BX217" s="53"/>
      <c r="BY217" s="54"/>
      <c r="BZ217" s="53"/>
      <c r="CA217" s="12"/>
      <c r="CB217" s="205"/>
      <c r="CC217" s="121"/>
      <c r="CD217" s="203"/>
      <c r="CE217" s="121"/>
    </row>
    <row r="218" spans="1:92" x14ac:dyDescent="0.25">
      <c r="A218" s="129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  <c r="N218" s="129"/>
      <c r="O218" s="129"/>
      <c r="P218" s="129"/>
      <c r="Q218" s="129"/>
      <c r="R218" s="129"/>
      <c r="S218" s="129"/>
      <c r="T218" s="129"/>
    </row>
    <row r="219" spans="1:92" x14ac:dyDescent="0.25">
      <c r="A219" s="129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  <c r="N219" s="129"/>
      <c r="O219" s="129"/>
      <c r="P219" s="129"/>
      <c r="Q219" s="129"/>
      <c r="R219" s="129"/>
      <c r="S219" s="129"/>
      <c r="T219" s="129"/>
    </row>
    <row r="220" spans="1:92" x14ac:dyDescent="0.25">
      <c r="A220" s="129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  <c r="N220" s="129"/>
      <c r="O220" s="129"/>
      <c r="P220" s="129"/>
      <c r="Q220" s="129"/>
      <c r="R220" s="129"/>
      <c r="S220" s="129"/>
      <c r="T220" s="129"/>
    </row>
    <row r="221" spans="1:92" x14ac:dyDescent="0.25">
      <c r="A221" s="129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  <c r="N221" s="129"/>
      <c r="O221" s="129"/>
      <c r="P221" s="129"/>
      <c r="Q221" s="129"/>
      <c r="R221" s="129"/>
      <c r="S221" s="129"/>
      <c r="T221" s="129"/>
    </row>
    <row r="222" spans="1:92" x14ac:dyDescent="0.25">
      <c r="A222" s="129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  <c r="N222" s="129"/>
      <c r="O222" s="129"/>
      <c r="P222" s="129"/>
      <c r="Q222" s="129"/>
      <c r="R222" s="129"/>
      <c r="S222" s="129"/>
      <c r="T222" s="129"/>
    </row>
    <row r="223" spans="1:92" x14ac:dyDescent="0.25">
      <c r="A223" s="129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  <c r="N223" s="129"/>
      <c r="O223" s="129"/>
      <c r="P223" s="129"/>
      <c r="Q223" s="129"/>
      <c r="R223" s="129"/>
      <c r="S223" s="129"/>
      <c r="T223" s="129"/>
    </row>
    <row r="224" spans="1:92" x14ac:dyDescent="0.25">
      <c r="A224" s="129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  <c r="N224" s="129"/>
      <c r="O224" s="129"/>
      <c r="P224" s="129"/>
      <c r="Q224" s="129"/>
      <c r="R224" s="129"/>
      <c r="S224" s="129"/>
      <c r="T224" s="129"/>
    </row>
    <row r="225" spans="1:20" x14ac:dyDescent="0.25">
      <c r="A225" s="129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  <c r="N225" s="129"/>
      <c r="O225" s="129"/>
      <c r="P225" s="129"/>
      <c r="Q225" s="129"/>
      <c r="R225" s="129"/>
      <c r="S225" s="129"/>
      <c r="T225" s="129"/>
    </row>
    <row r="226" spans="1:20" x14ac:dyDescent="0.25">
      <c r="A226" s="129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  <c r="N226" s="129"/>
      <c r="O226" s="129"/>
      <c r="P226" s="129"/>
      <c r="Q226" s="129"/>
      <c r="R226" s="129"/>
      <c r="S226" s="129"/>
      <c r="T226" s="129"/>
    </row>
    <row r="227" spans="1:20" x14ac:dyDescent="0.25">
      <c r="A227" s="129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  <c r="N227" s="129"/>
      <c r="O227" s="129"/>
      <c r="P227" s="129"/>
      <c r="Q227" s="129"/>
      <c r="R227" s="129"/>
      <c r="S227" s="129"/>
      <c r="T227" s="129"/>
    </row>
    <row r="228" spans="1:20" x14ac:dyDescent="0.25">
      <c r="A228" s="129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  <c r="N228" s="129"/>
      <c r="O228" s="129"/>
      <c r="P228" s="129"/>
      <c r="Q228" s="129"/>
      <c r="R228" s="129"/>
      <c r="S228" s="129"/>
      <c r="T228" s="129"/>
    </row>
    <row r="229" spans="1:20" x14ac:dyDescent="0.25">
      <c r="A229" s="129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  <c r="N229" s="129"/>
      <c r="O229" s="129"/>
      <c r="P229" s="129"/>
      <c r="Q229" s="129"/>
      <c r="R229" s="129"/>
      <c r="S229" s="129"/>
      <c r="T229" s="129"/>
    </row>
    <row r="230" spans="1:20" x14ac:dyDescent="0.25">
      <c r="A230" s="129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  <c r="N230" s="129"/>
      <c r="O230" s="129"/>
      <c r="P230" s="129"/>
      <c r="Q230" s="129"/>
      <c r="R230" s="129"/>
      <c r="S230" s="129"/>
      <c r="T230" s="129"/>
    </row>
    <row r="231" spans="1:20" x14ac:dyDescent="0.25">
      <c r="A231" s="129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  <c r="N231" s="129"/>
      <c r="O231" s="129"/>
      <c r="P231" s="129"/>
      <c r="Q231" s="129"/>
      <c r="R231" s="129"/>
      <c r="S231" s="129"/>
      <c r="T231" s="129"/>
    </row>
    <row r="232" spans="1:20" x14ac:dyDescent="0.25">
      <c r="A232" s="129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  <c r="N232" s="129"/>
      <c r="O232" s="129"/>
      <c r="P232" s="129"/>
      <c r="Q232" s="129"/>
      <c r="R232" s="129"/>
      <c r="S232" s="129"/>
      <c r="T232" s="129"/>
    </row>
    <row r="233" spans="1:20" x14ac:dyDescent="0.25">
      <c r="A233" s="129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  <c r="N233" s="129"/>
      <c r="O233" s="129"/>
      <c r="P233" s="129"/>
      <c r="Q233" s="129"/>
      <c r="R233" s="129"/>
      <c r="S233" s="129"/>
      <c r="T233" s="129"/>
    </row>
    <row r="236" spans="1:20" x14ac:dyDescent="0.25">
      <c r="A236" s="206"/>
      <c r="B236" s="207"/>
      <c r="C236" s="193"/>
      <c r="D236" s="193"/>
      <c r="E236" s="193"/>
      <c r="F236" s="208"/>
    </row>
    <row r="237" spans="1:20" ht="18.75" x14ac:dyDescent="0.3">
      <c r="A237" s="348" t="s">
        <v>753</v>
      </c>
      <c r="B237" s="349"/>
      <c r="C237" s="349"/>
      <c r="D237" s="349"/>
      <c r="E237" s="349"/>
      <c r="F237" s="350"/>
    </row>
    <row r="238" spans="1:20" ht="15.75" x14ac:dyDescent="0.25">
      <c r="A238" s="209"/>
      <c r="B238" s="210"/>
      <c r="C238" s="211"/>
      <c r="D238" s="211"/>
      <c r="E238" s="211"/>
      <c r="F238" s="211"/>
      <c r="H238" s="351" t="s">
        <v>754</v>
      </c>
      <c r="I238" s="352"/>
      <c r="J238" s="352"/>
      <c r="K238" s="352"/>
      <c r="L238" s="352"/>
      <c r="M238" s="353"/>
      <c r="O238" s="351" t="s">
        <v>755</v>
      </c>
      <c r="P238" s="352"/>
      <c r="Q238" s="352"/>
      <c r="R238" s="352"/>
      <c r="S238" s="352"/>
      <c r="T238" s="353"/>
    </row>
    <row r="239" spans="1:20" ht="16.5" thickBot="1" x14ac:dyDescent="0.3">
      <c r="A239" s="35" t="s">
        <v>34</v>
      </c>
      <c r="B239" s="36" t="s">
        <v>35</v>
      </c>
      <c r="C239" s="36" t="s">
        <v>36</v>
      </c>
      <c r="D239" s="36" t="s">
        <v>37</v>
      </c>
      <c r="E239" s="212" t="s">
        <v>38</v>
      </c>
      <c r="F239" s="213" t="s">
        <v>39</v>
      </c>
      <c r="H239" s="53"/>
      <c r="I239" s="54"/>
      <c r="J239" s="58"/>
      <c r="K239" s="12"/>
      <c r="L239" s="132"/>
      <c r="M239" s="14"/>
      <c r="O239" s="53"/>
      <c r="P239" s="54"/>
      <c r="Q239" s="58"/>
      <c r="R239" s="12"/>
      <c r="S239" s="132"/>
      <c r="T239" s="14"/>
    </row>
    <row r="240" spans="1:20" x14ac:dyDescent="0.25">
      <c r="A240" s="53"/>
      <c r="B240" s="54"/>
      <c r="C240" s="53"/>
      <c r="D240" s="12"/>
      <c r="E240" s="102"/>
      <c r="F240" s="117"/>
      <c r="H240" s="53" t="s">
        <v>756</v>
      </c>
      <c r="I240" s="54">
        <v>1</v>
      </c>
      <c r="J240" s="214" t="s">
        <v>757</v>
      </c>
      <c r="K240" s="215" t="s">
        <v>559</v>
      </c>
      <c r="L240" s="102"/>
      <c r="M240" s="117"/>
      <c r="O240" s="53" t="s">
        <v>758</v>
      </c>
      <c r="P240" s="54">
        <v>1</v>
      </c>
      <c r="Q240" s="53" t="s">
        <v>759</v>
      </c>
      <c r="R240" s="12" t="s">
        <v>760</v>
      </c>
      <c r="S240" s="216">
        <v>3375</v>
      </c>
      <c r="T240" s="217">
        <v>16</v>
      </c>
    </row>
    <row r="241" spans="1:20" ht="15.75" x14ac:dyDescent="0.25">
      <c r="A241" s="351" t="s">
        <v>761</v>
      </c>
      <c r="B241" s="352"/>
      <c r="C241" s="352"/>
      <c r="D241" s="352"/>
      <c r="E241" s="352"/>
      <c r="F241" s="353"/>
      <c r="H241" s="53" t="s">
        <v>692</v>
      </c>
      <c r="I241" s="54">
        <v>2</v>
      </c>
      <c r="J241" s="214" t="s">
        <v>762</v>
      </c>
      <c r="K241" s="215" t="s">
        <v>559</v>
      </c>
      <c r="L241" s="102"/>
      <c r="M241" s="117"/>
      <c r="O241" s="53" t="s">
        <v>763</v>
      </c>
      <c r="P241" s="54">
        <v>1</v>
      </c>
      <c r="Q241" s="53" t="s">
        <v>759</v>
      </c>
      <c r="R241" s="12" t="s">
        <v>764</v>
      </c>
      <c r="S241" s="216">
        <v>3485</v>
      </c>
      <c r="T241" s="217">
        <v>16</v>
      </c>
    </row>
    <row r="242" spans="1:20" x14ac:dyDescent="0.25">
      <c r="A242" s="53"/>
      <c r="B242" s="54"/>
      <c r="C242" s="53"/>
      <c r="D242" s="12"/>
      <c r="E242" s="102"/>
      <c r="F242" s="117"/>
      <c r="H242" s="53" t="s">
        <v>765</v>
      </c>
      <c r="I242" s="54">
        <v>1</v>
      </c>
      <c r="J242" s="218" t="s">
        <v>766</v>
      </c>
      <c r="K242" s="215" t="s">
        <v>120</v>
      </c>
      <c r="L242" s="102"/>
      <c r="M242" s="117"/>
      <c r="O242" s="53" t="s">
        <v>767</v>
      </c>
      <c r="P242" s="54">
        <v>1</v>
      </c>
      <c r="Q242" s="53" t="s">
        <v>759</v>
      </c>
      <c r="R242" s="12" t="s">
        <v>760</v>
      </c>
      <c r="S242" s="216">
        <v>4195</v>
      </c>
      <c r="T242" s="217">
        <v>16</v>
      </c>
    </row>
    <row r="243" spans="1:20" x14ac:dyDescent="0.25">
      <c r="A243" s="24" t="s">
        <v>768</v>
      </c>
      <c r="B243" s="12">
        <v>12</v>
      </c>
      <c r="C243" s="219" t="s">
        <v>769</v>
      </c>
      <c r="D243" s="220" t="s">
        <v>770</v>
      </c>
      <c r="E243" s="221">
        <v>300</v>
      </c>
      <c r="F243" s="217">
        <v>6</v>
      </c>
      <c r="H243" s="53"/>
      <c r="I243" s="54">
        <v>1</v>
      </c>
      <c r="J243" s="218" t="s">
        <v>771</v>
      </c>
      <c r="K243" s="215" t="s">
        <v>120</v>
      </c>
      <c r="L243" s="102"/>
      <c r="M243" s="117"/>
      <c r="O243" s="53"/>
      <c r="P243" s="54"/>
      <c r="Q243" s="58"/>
      <c r="R243" s="12"/>
      <c r="S243" s="132"/>
      <c r="T243" s="14"/>
    </row>
    <row r="244" spans="1:20" ht="45" x14ac:dyDescent="0.25">
      <c r="A244" s="177" t="s">
        <v>772</v>
      </c>
      <c r="B244" s="178">
        <v>1</v>
      </c>
      <c r="C244" s="214" t="s">
        <v>773</v>
      </c>
      <c r="D244" s="54" t="s">
        <v>774</v>
      </c>
      <c r="E244" s="222"/>
      <c r="F244" s="117"/>
      <c r="H244" s="53" t="s">
        <v>775</v>
      </c>
      <c r="I244" s="54">
        <v>1</v>
      </c>
      <c r="J244" s="214" t="s">
        <v>776</v>
      </c>
      <c r="K244" s="215" t="s">
        <v>120</v>
      </c>
      <c r="L244" s="102"/>
      <c r="M244" s="117"/>
      <c r="O244" s="52" t="s">
        <v>777</v>
      </c>
      <c r="P244" s="215">
        <v>1</v>
      </c>
      <c r="Q244" s="223" t="s">
        <v>778</v>
      </c>
      <c r="R244" s="215" t="s">
        <v>410</v>
      </c>
      <c r="S244" s="132"/>
      <c r="T244" s="14"/>
    </row>
    <row r="245" spans="1:20" x14ac:dyDescent="0.25">
      <c r="A245" s="53" t="s">
        <v>779</v>
      </c>
      <c r="B245" s="54">
        <v>1</v>
      </c>
      <c r="C245" s="53"/>
      <c r="D245" s="54" t="s">
        <v>774</v>
      </c>
      <c r="E245" s="102">
        <v>275</v>
      </c>
      <c r="F245" s="117"/>
      <c r="H245" s="53"/>
      <c r="I245" s="54"/>
      <c r="J245" s="53"/>
      <c r="K245" s="12"/>
      <c r="L245" s="102"/>
      <c r="M245" s="117"/>
      <c r="O245" s="53"/>
      <c r="P245" s="54"/>
      <c r="Q245" s="58"/>
      <c r="R245" s="12"/>
      <c r="S245" s="132"/>
      <c r="T245" s="14"/>
    </row>
    <row r="246" spans="1:20" ht="15.75" x14ac:dyDescent="0.25">
      <c r="A246" s="53"/>
      <c r="B246" s="54"/>
      <c r="C246" s="53"/>
      <c r="D246" s="12"/>
      <c r="E246" s="102"/>
      <c r="F246" s="117"/>
      <c r="H246" s="53"/>
      <c r="I246" s="54"/>
      <c r="J246" s="224" t="s">
        <v>780</v>
      </c>
      <c r="K246" s="12"/>
      <c r="L246" s="102"/>
      <c r="M246" s="117"/>
      <c r="O246" s="351" t="s">
        <v>781</v>
      </c>
      <c r="P246" s="352"/>
      <c r="Q246" s="352"/>
      <c r="R246" s="352"/>
      <c r="S246" s="352"/>
      <c r="T246" s="353"/>
    </row>
    <row r="247" spans="1:20" x14ac:dyDescent="0.25">
      <c r="A247" s="53" t="s">
        <v>32</v>
      </c>
      <c r="B247" s="54">
        <v>1</v>
      </c>
      <c r="C247" s="225" t="s">
        <v>782</v>
      </c>
      <c r="D247" s="54" t="s">
        <v>774</v>
      </c>
      <c r="E247" s="102"/>
      <c r="F247" s="117"/>
      <c r="H247" s="53"/>
      <c r="I247" s="226"/>
      <c r="J247" s="227"/>
      <c r="K247" s="12"/>
      <c r="L247" s="102"/>
      <c r="M247" s="117"/>
      <c r="O247" s="53"/>
      <c r="P247" s="54"/>
      <c r="Q247" s="58"/>
      <c r="R247" s="12"/>
      <c r="S247" s="132"/>
      <c r="T247" s="14"/>
    </row>
    <row r="248" spans="1:20" ht="30" x14ac:dyDescent="0.25">
      <c r="A248" s="228" t="s">
        <v>783</v>
      </c>
      <c r="B248" s="54">
        <v>1</v>
      </c>
      <c r="C248" s="214" t="s">
        <v>784</v>
      </c>
      <c r="D248" s="229" t="s">
        <v>785</v>
      </c>
      <c r="E248" s="230">
        <v>800</v>
      </c>
      <c r="F248" s="117"/>
      <c r="H248" s="214" t="s">
        <v>786</v>
      </c>
      <c r="I248" s="231">
        <v>1</v>
      </c>
      <c r="J248" s="232" t="s">
        <v>787</v>
      </c>
      <c r="K248" s="215" t="s">
        <v>558</v>
      </c>
      <c r="L248" s="102"/>
      <c r="M248" s="117"/>
      <c r="O248" s="74" t="s">
        <v>369</v>
      </c>
      <c r="P248" s="12">
        <v>1</v>
      </c>
      <c r="Q248" s="74" t="s">
        <v>788</v>
      </c>
      <c r="R248" s="12"/>
      <c r="S248" s="14"/>
      <c r="T248" s="14"/>
    </row>
    <row r="249" spans="1:20" x14ac:dyDescent="0.25">
      <c r="A249" s="74"/>
      <c r="B249" s="12"/>
      <c r="C249" s="59"/>
      <c r="D249" s="12"/>
      <c r="E249" s="102"/>
      <c r="F249" s="14"/>
      <c r="H249" s="214" t="s">
        <v>692</v>
      </c>
      <c r="I249" s="231">
        <v>8</v>
      </c>
      <c r="J249" s="232" t="s">
        <v>789</v>
      </c>
      <c r="K249" s="215" t="s">
        <v>558</v>
      </c>
      <c r="L249" s="132"/>
      <c r="M249" s="117"/>
      <c r="O249" s="74" t="s">
        <v>369</v>
      </c>
      <c r="P249" s="12">
        <v>1</v>
      </c>
      <c r="Q249" s="74" t="s">
        <v>370</v>
      </c>
      <c r="R249" s="12"/>
      <c r="S249" s="14"/>
      <c r="T249" s="14"/>
    </row>
    <row r="250" spans="1:20" x14ac:dyDescent="0.25">
      <c r="A250" s="53" t="s">
        <v>790</v>
      </c>
      <c r="B250" s="229">
        <v>2</v>
      </c>
      <c r="C250" s="214" t="s">
        <v>791</v>
      </c>
      <c r="D250" s="229" t="s">
        <v>774</v>
      </c>
      <c r="E250" s="230">
        <v>143</v>
      </c>
      <c r="F250" s="14"/>
      <c r="H250" s="214" t="s">
        <v>692</v>
      </c>
      <c r="I250" s="231">
        <v>2</v>
      </c>
      <c r="J250" s="232" t="s">
        <v>792</v>
      </c>
      <c r="K250" s="215" t="s">
        <v>558</v>
      </c>
      <c r="L250" s="233"/>
      <c r="M250" s="117"/>
    </row>
    <row r="251" spans="1:20" ht="30" x14ac:dyDescent="0.25">
      <c r="A251" s="53"/>
      <c r="B251" s="229">
        <v>1</v>
      </c>
      <c r="C251" s="218" t="s">
        <v>793</v>
      </c>
      <c r="D251" s="229" t="s">
        <v>118</v>
      </c>
      <c r="E251" s="230">
        <f>B251*1100</f>
        <v>1100</v>
      </c>
      <c r="F251" s="14"/>
      <c r="H251" s="214" t="s">
        <v>794</v>
      </c>
      <c r="I251" s="231">
        <v>4</v>
      </c>
      <c r="J251" s="232" t="s">
        <v>795</v>
      </c>
      <c r="K251" s="215" t="s">
        <v>119</v>
      </c>
      <c r="L251" s="233"/>
      <c r="M251" s="117"/>
      <c r="O251" s="218" t="s">
        <v>796</v>
      </c>
      <c r="P251" s="229">
        <v>2</v>
      </c>
      <c r="Q251" s="218" t="s">
        <v>797</v>
      </c>
      <c r="R251" s="229" t="s">
        <v>798</v>
      </c>
      <c r="S251" s="132"/>
      <c r="T251" s="14"/>
    </row>
    <row r="252" spans="1:20" ht="30" x14ac:dyDescent="0.25">
      <c r="A252" s="53"/>
      <c r="B252" s="54"/>
      <c r="C252" s="53"/>
      <c r="D252" s="12"/>
      <c r="E252" s="102"/>
      <c r="F252" s="117"/>
      <c r="H252" s="214" t="s">
        <v>799</v>
      </c>
      <c r="I252" s="231">
        <v>40</v>
      </c>
      <c r="J252" s="232" t="s">
        <v>800</v>
      </c>
      <c r="K252" s="215" t="s">
        <v>119</v>
      </c>
      <c r="L252" s="233"/>
      <c r="M252" s="117"/>
      <c r="O252" s="218" t="s">
        <v>801</v>
      </c>
      <c r="P252" s="229">
        <v>2</v>
      </c>
      <c r="Q252" s="218" t="s">
        <v>802</v>
      </c>
      <c r="R252" s="229" t="s">
        <v>798</v>
      </c>
      <c r="S252" s="234"/>
      <c r="T252" s="117"/>
    </row>
    <row r="253" spans="1:20" ht="30" x14ac:dyDescent="0.25">
      <c r="A253" s="351" t="s">
        <v>803</v>
      </c>
      <c r="B253" s="352"/>
      <c r="C253" s="352"/>
      <c r="D253" s="352"/>
      <c r="E253" s="352"/>
      <c r="F253" s="353"/>
      <c r="H253" s="53"/>
      <c r="I253" s="54"/>
      <c r="J253" s="58"/>
      <c r="K253" s="12"/>
      <c r="L253" s="132"/>
      <c r="M253" s="14"/>
      <c r="O253" s="218" t="s">
        <v>804</v>
      </c>
      <c r="P253" s="229">
        <v>2</v>
      </c>
      <c r="Q253" s="218" t="s">
        <v>805</v>
      </c>
      <c r="R253" s="229" t="s">
        <v>798</v>
      </c>
      <c r="S253" s="102"/>
      <c r="T253" s="117"/>
    </row>
    <row r="254" spans="1:20" x14ac:dyDescent="0.25">
      <c r="A254" s="53"/>
      <c r="B254" s="54"/>
      <c r="C254" s="53"/>
      <c r="D254" s="12"/>
      <c r="E254" s="102"/>
      <c r="F254" s="117"/>
      <c r="O254" s="53"/>
      <c r="P254" s="54"/>
      <c r="Q254" s="53"/>
      <c r="R254" s="12"/>
      <c r="S254" s="102"/>
      <c r="T254" s="117"/>
    </row>
    <row r="255" spans="1:20" ht="45" x14ac:dyDescent="0.25">
      <c r="A255" s="218" t="s">
        <v>806</v>
      </c>
      <c r="B255" s="229">
        <v>1</v>
      </c>
      <c r="C255" s="218" t="s">
        <v>807</v>
      </c>
      <c r="D255" s="215" t="s">
        <v>119</v>
      </c>
      <c r="E255" s="102"/>
      <c r="F255" s="117"/>
      <c r="H255" s="367" t="s">
        <v>82</v>
      </c>
      <c r="I255" s="367"/>
      <c r="J255" s="367"/>
      <c r="K255" s="367"/>
      <c r="L255" s="367"/>
      <c r="O255" s="351" t="s">
        <v>808</v>
      </c>
      <c r="P255" s="352"/>
      <c r="Q255" s="352"/>
      <c r="R255" s="352"/>
      <c r="S255" s="352"/>
      <c r="T255" s="353"/>
    </row>
    <row r="256" spans="1:20" ht="60" x14ac:dyDescent="0.25">
      <c r="A256" s="218" t="s">
        <v>809</v>
      </c>
      <c r="B256" s="229">
        <v>1</v>
      </c>
      <c r="C256" s="218" t="s">
        <v>810</v>
      </c>
      <c r="D256" s="215" t="s">
        <v>119</v>
      </c>
      <c r="E256" s="102"/>
      <c r="F256" s="117"/>
      <c r="H256" s="367"/>
      <c r="I256" s="367"/>
      <c r="J256" s="367"/>
      <c r="K256" s="367"/>
      <c r="L256" s="367"/>
      <c r="O256" s="53"/>
      <c r="P256" s="54"/>
      <c r="Q256" s="53"/>
      <c r="R256" s="12"/>
      <c r="S256" s="132"/>
      <c r="T256" s="117"/>
    </row>
    <row r="257" spans="1:20" ht="30" customHeight="1" x14ac:dyDescent="0.25">
      <c r="A257" s="53"/>
      <c r="B257" s="54"/>
      <c r="C257" s="53"/>
      <c r="D257" s="12"/>
      <c r="E257" s="102"/>
      <c r="F257" s="117"/>
      <c r="H257" s="367"/>
      <c r="I257" s="367"/>
      <c r="J257" s="367"/>
      <c r="K257" s="367"/>
      <c r="L257" s="367"/>
      <c r="O257" s="228" t="s">
        <v>811</v>
      </c>
      <c r="P257" s="54">
        <v>1</v>
      </c>
      <c r="Q257" s="53" t="s">
        <v>812</v>
      </c>
      <c r="R257" s="12" t="s">
        <v>119</v>
      </c>
      <c r="S257" s="235">
        <v>550</v>
      </c>
      <c r="T257" s="217">
        <v>3</v>
      </c>
    </row>
    <row r="258" spans="1:20" ht="30" customHeight="1" x14ac:dyDescent="0.25">
      <c r="A258" s="228" t="s">
        <v>813</v>
      </c>
      <c r="B258" s="54">
        <v>1</v>
      </c>
      <c r="C258" s="218" t="s">
        <v>814</v>
      </c>
      <c r="D258" s="12"/>
      <c r="E258" s="102"/>
      <c r="F258" s="14"/>
      <c r="H258" s="367"/>
      <c r="I258" s="367"/>
      <c r="J258" s="367"/>
      <c r="K258" s="367"/>
      <c r="L258" s="367"/>
    </row>
    <row r="259" spans="1:20" ht="45" customHeight="1" x14ac:dyDescent="0.25">
      <c r="A259" s="228" t="s">
        <v>815</v>
      </c>
      <c r="B259" s="54">
        <v>1</v>
      </c>
      <c r="C259" s="218" t="s">
        <v>816</v>
      </c>
      <c r="D259" s="12"/>
      <c r="E259" s="102"/>
      <c r="F259" s="14"/>
      <c r="H259" s="367"/>
      <c r="I259" s="367"/>
      <c r="J259" s="367"/>
      <c r="K259" s="367"/>
      <c r="L259" s="367"/>
    </row>
    <row r="260" spans="1:20" ht="30" customHeight="1" x14ac:dyDescent="0.25">
      <c r="A260" s="228" t="s">
        <v>817</v>
      </c>
      <c r="B260" s="54">
        <v>1</v>
      </c>
      <c r="C260" s="218" t="s">
        <v>818</v>
      </c>
      <c r="D260" s="12"/>
      <c r="E260" s="132"/>
      <c r="F260" s="14"/>
    </row>
    <row r="261" spans="1:20" ht="15" customHeight="1" x14ac:dyDescent="0.25">
      <c r="A261" s="53"/>
      <c r="B261" s="54"/>
      <c r="C261" s="58"/>
      <c r="D261" s="12"/>
      <c r="E261" s="132"/>
      <c r="F261" s="14"/>
    </row>
    <row r="269" spans="1:20" x14ac:dyDescent="0.25">
      <c r="A269" s="209"/>
      <c r="B269" s="210"/>
      <c r="C269" s="211"/>
      <c r="D269" s="211"/>
      <c r="E269" s="211"/>
      <c r="F269" s="211"/>
    </row>
    <row r="270" spans="1:20" x14ac:dyDescent="0.25">
      <c r="A270" s="364"/>
      <c r="B270" s="365"/>
      <c r="C270" s="365"/>
      <c r="D270" s="365"/>
      <c r="E270" s="365"/>
      <c r="F270" s="366"/>
    </row>
    <row r="271" spans="1:20" x14ac:dyDescent="0.25">
      <c r="A271" s="364" t="s">
        <v>819</v>
      </c>
      <c r="B271" s="365"/>
      <c r="C271" s="365"/>
      <c r="D271" s="365"/>
      <c r="E271" s="365"/>
      <c r="F271" s="366"/>
    </row>
    <row r="272" spans="1:20" x14ac:dyDescent="0.25">
      <c r="A272" s="364" t="s">
        <v>820</v>
      </c>
      <c r="B272" s="365"/>
      <c r="C272" s="365"/>
      <c r="D272" s="365"/>
      <c r="E272" s="365"/>
      <c r="F272" s="366"/>
    </row>
    <row r="273" spans="1:12" ht="15" customHeight="1" x14ac:dyDescent="0.25">
      <c r="A273" s="364" t="s">
        <v>821</v>
      </c>
      <c r="B273" s="365"/>
      <c r="C273" s="365"/>
      <c r="D273" s="365"/>
      <c r="E273" s="365"/>
      <c r="F273" s="366"/>
      <c r="H273" s="367" t="s">
        <v>82</v>
      </c>
      <c r="I273" s="367"/>
      <c r="J273" s="367"/>
      <c r="K273" s="236"/>
      <c r="L273" s="236"/>
    </row>
    <row r="274" spans="1:12" ht="15" customHeight="1" x14ac:dyDescent="0.25">
      <c r="A274" s="364"/>
      <c r="B274" s="365"/>
      <c r="C274" s="365"/>
      <c r="D274" s="365"/>
      <c r="E274" s="365"/>
      <c r="F274" s="366"/>
      <c r="H274" s="367"/>
      <c r="I274" s="367"/>
      <c r="J274" s="367"/>
      <c r="K274" s="236"/>
      <c r="L274" s="236"/>
    </row>
    <row r="275" spans="1:12" ht="15" customHeight="1" x14ac:dyDescent="0.25">
      <c r="A275" s="364" t="s">
        <v>822</v>
      </c>
      <c r="B275" s="365"/>
      <c r="C275" s="365"/>
      <c r="D275" s="365"/>
      <c r="E275" s="365"/>
      <c r="F275" s="366"/>
      <c r="H275" s="367"/>
      <c r="I275" s="367"/>
      <c r="J275" s="367"/>
      <c r="K275" s="236"/>
      <c r="L275" s="236"/>
    </row>
    <row r="276" spans="1:12" ht="15" customHeight="1" x14ac:dyDescent="0.25">
      <c r="A276" s="364"/>
      <c r="B276" s="365"/>
      <c r="C276" s="365"/>
      <c r="D276" s="365"/>
      <c r="E276" s="365"/>
      <c r="F276" s="366"/>
      <c r="H276" s="367"/>
      <c r="I276" s="367"/>
      <c r="J276" s="367"/>
      <c r="K276" s="236"/>
      <c r="L276" s="236"/>
    </row>
    <row r="277" spans="1:12" ht="15" customHeight="1" x14ac:dyDescent="0.25">
      <c r="A277" s="368" t="s">
        <v>823</v>
      </c>
      <c r="B277" s="369"/>
      <c r="C277" s="369"/>
      <c r="D277" s="369"/>
      <c r="E277" s="369"/>
      <c r="F277" s="370"/>
      <c r="H277" s="367"/>
      <c r="I277" s="367"/>
      <c r="J277" s="367"/>
      <c r="K277" s="236"/>
      <c r="L277" s="236"/>
    </row>
    <row r="278" spans="1:12" x14ac:dyDescent="0.25">
      <c r="A278" s="368" t="s">
        <v>824</v>
      </c>
      <c r="B278" s="369"/>
      <c r="C278" s="369"/>
      <c r="D278" s="369"/>
      <c r="E278" s="369"/>
      <c r="F278" s="370"/>
      <c r="H278" s="367"/>
      <c r="I278" s="367"/>
      <c r="J278" s="367"/>
    </row>
    <row r="279" spans="1:12" x14ac:dyDescent="0.25">
      <c r="A279" s="368"/>
      <c r="B279" s="369"/>
      <c r="C279" s="369"/>
      <c r="D279" s="369"/>
      <c r="E279" s="369"/>
      <c r="F279" s="370"/>
    </row>
    <row r="280" spans="1:12" x14ac:dyDescent="0.25">
      <c r="A280" s="364" t="s">
        <v>825</v>
      </c>
      <c r="B280" s="365"/>
      <c r="C280" s="365"/>
      <c r="D280" s="365"/>
      <c r="E280" s="365"/>
      <c r="F280" s="366"/>
    </row>
    <row r="281" spans="1:12" x14ac:dyDescent="0.25">
      <c r="A281" s="364"/>
      <c r="B281" s="365"/>
      <c r="C281" s="365"/>
      <c r="D281" s="365"/>
      <c r="E281" s="365"/>
      <c r="F281" s="366"/>
    </row>
    <row r="282" spans="1:12" x14ac:dyDescent="0.25">
      <c r="A282" s="364" t="s">
        <v>826</v>
      </c>
      <c r="B282" s="365"/>
      <c r="C282" s="365"/>
      <c r="D282" s="365"/>
      <c r="E282" s="365"/>
      <c r="F282" s="366"/>
    </row>
    <row r="283" spans="1:12" x14ac:dyDescent="0.25">
      <c r="A283" s="364"/>
      <c r="B283" s="365"/>
      <c r="C283" s="365"/>
      <c r="D283" s="365"/>
      <c r="E283" s="365"/>
      <c r="F283" s="366"/>
    </row>
    <row r="284" spans="1:12" x14ac:dyDescent="0.25">
      <c r="A284" s="364" t="s">
        <v>827</v>
      </c>
      <c r="B284" s="365"/>
      <c r="C284" s="365"/>
      <c r="D284" s="365"/>
      <c r="E284" s="365"/>
      <c r="F284" s="366"/>
    </row>
    <row r="285" spans="1:12" x14ac:dyDescent="0.25">
      <c r="A285" s="364"/>
      <c r="B285" s="365"/>
      <c r="C285" s="365"/>
      <c r="D285" s="365"/>
      <c r="E285" s="365"/>
      <c r="F285" s="366"/>
    </row>
    <row r="286" spans="1:12" x14ac:dyDescent="0.25">
      <c r="A286" s="364"/>
      <c r="B286" s="365"/>
      <c r="C286" s="365"/>
      <c r="D286" s="365"/>
      <c r="E286" s="365"/>
      <c r="F286" s="366"/>
    </row>
    <row r="287" spans="1:12" x14ac:dyDescent="0.25">
      <c r="A287" s="364"/>
      <c r="B287" s="365"/>
      <c r="C287" s="365"/>
      <c r="D287" s="365"/>
      <c r="E287" s="365"/>
      <c r="F287" s="366"/>
    </row>
    <row r="288" spans="1:12" x14ac:dyDescent="0.25">
      <c r="A288" s="2"/>
      <c r="B288" s="2"/>
    </row>
    <row r="289" spans="1:3" x14ac:dyDescent="0.25">
      <c r="A289" s="2" t="s">
        <v>828</v>
      </c>
      <c r="B289" s="373" t="s">
        <v>829</v>
      </c>
      <c r="C289" s="373"/>
    </row>
    <row r="290" spans="1:3" x14ac:dyDescent="0.25">
      <c r="A290" s="2" t="s">
        <v>830</v>
      </c>
      <c r="B290" s="374" t="s">
        <v>831</v>
      </c>
      <c r="C290" s="374"/>
    </row>
    <row r="306" spans="1:48" ht="15.75" thickBot="1" x14ac:dyDescent="0.3">
      <c r="A306" s="237"/>
      <c r="B306" s="237"/>
      <c r="C306" s="237"/>
      <c r="D306" s="237"/>
      <c r="E306" s="237"/>
      <c r="F306" s="237"/>
    </row>
    <row r="307" spans="1:48" x14ac:dyDescent="0.25">
      <c r="A307" s="238" t="s">
        <v>410</v>
      </c>
      <c r="B307" s="238" t="s">
        <v>315</v>
      </c>
      <c r="C307" s="237">
        <v>120</v>
      </c>
      <c r="D307" s="239">
        <f>'[1]Plate Price'!$C$8</f>
        <v>0.78</v>
      </c>
      <c r="E307" s="237"/>
      <c r="F307" s="237"/>
      <c r="G307" s="240" t="s">
        <v>832</v>
      </c>
      <c r="H307" s="241" t="s">
        <v>833</v>
      </c>
      <c r="I307" s="241" t="s">
        <v>834</v>
      </c>
      <c r="J307" s="241" t="s">
        <v>835</v>
      </c>
      <c r="K307" s="120" t="s">
        <v>836</v>
      </c>
      <c r="L307" s="237" t="s">
        <v>832</v>
      </c>
      <c r="M307" s="237" t="s">
        <v>835</v>
      </c>
      <c r="N307" s="237" t="s">
        <v>836</v>
      </c>
      <c r="O307" s="237" t="s">
        <v>837</v>
      </c>
      <c r="P307" s="237">
        <v>144</v>
      </c>
      <c r="Q307" s="237" t="s">
        <v>838</v>
      </c>
      <c r="R307" s="237"/>
      <c r="S307" s="237"/>
      <c r="T307" s="237"/>
      <c r="U307" s="237"/>
      <c r="V307" s="237"/>
      <c r="W307" s="238" t="s">
        <v>410</v>
      </c>
      <c r="X307" s="242" t="s">
        <v>93</v>
      </c>
      <c r="Y307" s="237">
        <v>120</v>
      </c>
      <c r="Z307" s="239">
        <f>D304</f>
        <v>0</v>
      </c>
      <c r="AA307" s="237">
        <v>120</v>
      </c>
      <c r="AB307" s="239">
        <f>Z307</f>
        <v>0</v>
      </c>
      <c r="AC307" s="238" t="s">
        <v>118</v>
      </c>
      <c r="AD307" s="242" t="s">
        <v>96</v>
      </c>
      <c r="AE307" s="237">
        <v>60</v>
      </c>
      <c r="AF307" s="239">
        <f>D312</f>
        <v>0</v>
      </c>
      <c r="AG307" s="237">
        <v>60</v>
      </c>
      <c r="AH307" s="239">
        <f>AF307</f>
        <v>0</v>
      </c>
      <c r="AI307" s="238" t="s">
        <v>119</v>
      </c>
      <c r="AJ307" s="242" t="s">
        <v>96</v>
      </c>
      <c r="AK307" s="237">
        <v>60</v>
      </c>
      <c r="AL307" s="239">
        <f>D321</f>
        <v>1.59</v>
      </c>
      <c r="AM307" s="237">
        <v>72</v>
      </c>
      <c r="AN307" s="239">
        <f>D329</f>
        <v>0</v>
      </c>
      <c r="AO307" s="238" t="s">
        <v>120</v>
      </c>
      <c r="AP307" s="242" t="s">
        <v>96</v>
      </c>
      <c r="AQ307" s="237">
        <v>60</v>
      </c>
      <c r="AR307" s="239">
        <f>D334</f>
        <v>2.39</v>
      </c>
      <c r="AS307" s="237">
        <v>72</v>
      </c>
      <c r="AT307" s="239">
        <f>D339</f>
        <v>0</v>
      </c>
      <c r="AU307" s="237"/>
    </row>
    <row r="308" spans="1:48" ht="15.75" thickBot="1" x14ac:dyDescent="0.3">
      <c r="A308" s="238" t="s">
        <v>410</v>
      </c>
      <c r="B308" s="238" t="s">
        <v>483</v>
      </c>
      <c r="C308" s="237">
        <v>120</v>
      </c>
      <c r="D308" s="239">
        <f>'[1]Plate Price'!$C$9</f>
        <v>0.78</v>
      </c>
      <c r="E308" s="237"/>
      <c r="F308" s="237"/>
      <c r="G308" s="243">
        <v>2</v>
      </c>
      <c r="H308" s="133" t="s">
        <v>118</v>
      </c>
      <c r="I308" s="133" t="s">
        <v>188</v>
      </c>
      <c r="J308" s="133">
        <v>48</v>
      </c>
      <c r="K308" s="115">
        <v>96</v>
      </c>
      <c r="L308" s="237">
        <f>G308</f>
        <v>2</v>
      </c>
      <c r="M308" s="237">
        <f>J308</f>
        <v>48</v>
      </c>
      <c r="N308" s="237">
        <f>K308</f>
        <v>96</v>
      </c>
      <c r="O308" s="237">
        <f>VLOOKUP(I308,S:U,IF(H308="sa516-70",3,IF(H308="sa36",3,IF(H308="SA240-304/304L",2,IF(H308="SA240-316/316L",2)))),FALSE)</f>
        <v>25.53</v>
      </c>
      <c r="P308" s="237">
        <v>144</v>
      </c>
      <c r="Q308" s="237">
        <f>VLOOKUP(I308,IF(H308="SA36",AD:AH, IF(H308="SA516-70",X:AB, IF(H308="SA240-304/304L",AJ:AN, IF(H308="SA240-316/316L",AP:AT)))),IF(M308&lt;60.1,3,5),FALSE)</f>
        <v>0</v>
      </c>
      <c r="R308" s="237"/>
      <c r="S308" s="237"/>
      <c r="T308" s="237"/>
      <c r="U308" s="237"/>
      <c r="V308" s="237"/>
      <c r="W308" s="238" t="s">
        <v>410</v>
      </c>
      <c r="X308" s="242" t="s">
        <v>152</v>
      </c>
      <c r="Y308" s="237">
        <v>120</v>
      </c>
      <c r="Z308" s="239">
        <f t="shared" ref="Z308:Z314" si="79">D305</f>
        <v>0</v>
      </c>
      <c r="AA308" s="237">
        <v>120</v>
      </c>
      <c r="AB308" s="239">
        <f t="shared" ref="AB308:AB314" si="80">Z308</f>
        <v>0</v>
      </c>
      <c r="AC308" s="238" t="s">
        <v>118</v>
      </c>
      <c r="AD308" s="242" t="s">
        <v>93</v>
      </c>
      <c r="AE308" s="237">
        <v>60</v>
      </c>
      <c r="AF308" s="239">
        <f t="shared" ref="AF308:AF315" si="81">D313</f>
        <v>0</v>
      </c>
      <c r="AG308" s="237">
        <v>60</v>
      </c>
      <c r="AH308" s="239">
        <f t="shared" ref="AH308:AH315" si="82">AF308</f>
        <v>0</v>
      </c>
      <c r="AI308" s="238" t="s">
        <v>119</v>
      </c>
      <c r="AJ308" s="242" t="s">
        <v>93</v>
      </c>
      <c r="AK308" s="237">
        <v>60</v>
      </c>
      <c r="AL308" s="239">
        <f t="shared" ref="AL308:AL314" si="83">D322</f>
        <v>1.59</v>
      </c>
      <c r="AM308" s="237">
        <v>72</v>
      </c>
      <c r="AN308" s="239">
        <f t="shared" ref="AN308:AN311" si="84">D330</f>
        <v>1.89</v>
      </c>
      <c r="AO308" s="238" t="s">
        <v>120</v>
      </c>
      <c r="AP308" s="242" t="s">
        <v>93</v>
      </c>
      <c r="AQ308" s="237">
        <v>60</v>
      </c>
      <c r="AR308" s="239">
        <f t="shared" ref="AR308:AR311" si="85">D335</f>
        <v>2.37</v>
      </c>
      <c r="AS308" s="237">
        <v>72</v>
      </c>
      <c r="AT308" s="239">
        <f t="shared" ref="AT308:AT311" si="86">D340</f>
        <v>0</v>
      </c>
      <c r="AU308" s="237"/>
    </row>
    <row r="309" spans="1:48" x14ac:dyDescent="0.25">
      <c r="A309" s="238" t="s">
        <v>410</v>
      </c>
      <c r="B309" s="238" t="s">
        <v>316</v>
      </c>
      <c r="C309" s="237">
        <v>120</v>
      </c>
      <c r="D309" s="239">
        <f>'[1]Plate Price'!$C$10</f>
        <v>0</v>
      </c>
      <c r="E309" s="237"/>
      <c r="F309" s="237"/>
      <c r="L309" s="237"/>
      <c r="M309" s="237"/>
      <c r="N309" s="237"/>
      <c r="O309" s="237"/>
      <c r="P309" s="237"/>
      <c r="Q309" s="237"/>
      <c r="R309" s="237"/>
      <c r="S309" s="242" t="s">
        <v>96</v>
      </c>
      <c r="T309" s="237">
        <v>8.58</v>
      </c>
      <c r="U309" s="237">
        <v>7.66</v>
      </c>
      <c r="V309" s="237"/>
      <c r="W309" s="238" t="s">
        <v>410</v>
      </c>
      <c r="X309" s="242" t="s">
        <v>162</v>
      </c>
      <c r="Y309" s="237">
        <v>120</v>
      </c>
      <c r="Z309" s="239">
        <f t="shared" si="79"/>
        <v>0</v>
      </c>
      <c r="AA309" s="237">
        <v>120</v>
      </c>
      <c r="AB309" s="239">
        <f t="shared" si="80"/>
        <v>0</v>
      </c>
      <c r="AC309" s="238" t="s">
        <v>118</v>
      </c>
      <c r="AD309" s="242" t="s">
        <v>152</v>
      </c>
      <c r="AE309" s="237">
        <v>60</v>
      </c>
      <c r="AF309" s="239">
        <f t="shared" si="81"/>
        <v>0</v>
      </c>
      <c r="AG309" s="237">
        <v>60</v>
      </c>
      <c r="AH309" s="239">
        <f t="shared" si="82"/>
        <v>0</v>
      </c>
      <c r="AI309" s="238" t="s">
        <v>119</v>
      </c>
      <c r="AJ309" s="242" t="s">
        <v>152</v>
      </c>
      <c r="AK309" s="237">
        <v>60</v>
      </c>
      <c r="AL309" s="239">
        <f t="shared" si="83"/>
        <v>1.69</v>
      </c>
      <c r="AM309" s="237">
        <v>72</v>
      </c>
      <c r="AN309" s="239">
        <f t="shared" si="84"/>
        <v>0</v>
      </c>
      <c r="AO309" s="238" t="s">
        <v>120</v>
      </c>
      <c r="AP309" s="242" t="s">
        <v>152</v>
      </c>
      <c r="AQ309" s="237">
        <v>60</v>
      </c>
      <c r="AR309" s="239">
        <f t="shared" si="85"/>
        <v>2.48</v>
      </c>
      <c r="AS309" s="237">
        <v>72</v>
      </c>
      <c r="AT309" s="239">
        <f t="shared" si="86"/>
        <v>0</v>
      </c>
      <c r="AU309" s="237"/>
    </row>
    <row r="310" spans="1:48" ht="15.75" thickBot="1" x14ac:dyDescent="0.3">
      <c r="A310" s="238" t="s">
        <v>410</v>
      </c>
      <c r="B310" s="238" t="s">
        <v>839</v>
      </c>
      <c r="C310" s="237">
        <v>120</v>
      </c>
      <c r="D310" s="239">
        <f>'[1]Plate Price'!$C$11</f>
        <v>0</v>
      </c>
      <c r="E310" s="237"/>
      <c r="F310" s="237"/>
      <c r="L310" s="237"/>
      <c r="M310" s="237"/>
      <c r="N310" s="237"/>
      <c r="O310" s="237"/>
      <c r="P310" s="237"/>
      <c r="Q310" s="237"/>
      <c r="R310" s="237"/>
      <c r="S310" s="242" t="s">
        <v>93</v>
      </c>
      <c r="T310" s="237">
        <v>11.16</v>
      </c>
      <c r="U310" s="237">
        <v>10.210000000000001</v>
      </c>
      <c r="V310" s="237"/>
      <c r="W310" s="238" t="s">
        <v>410</v>
      </c>
      <c r="X310" s="242" t="s">
        <v>174</v>
      </c>
      <c r="Y310" s="237">
        <v>120</v>
      </c>
      <c r="Z310" s="239">
        <f t="shared" si="79"/>
        <v>0.78</v>
      </c>
      <c r="AA310" s="237">
        <v>120</v>
      </c>
      <c r="AB310" s="239">
        <f t="shared" si="80"/>
        <v>0.78</v>
      </c>
      <c r="AC310" s="238" t="s">
        <v>118</v>
      </c>
      <c r="AD310" s="242" t="s">
        <v>162</v>
      </c>
      <c r="AE310" s="237">
        <v>60</v>
      </c>
      <c r="AF310" s="239">
        <f t="shared" si="81"/>
        <v>0</v>
      </c>
      <c r="AG310" s="237">
        <v>60</v>
      </c>
      <c r="AH310" s="239">
        <f t="shared" si="82"/>
        <v>0</v>
      </c>
      <c r="AI310" s="238" t="s">
        <v>119</v>
      </c>
      <c r="AJ310" s="242" t="s">
        <v>162</v>
      </c>
      <c r="AK310" s="237">
        <v>60</v>
      </c>
      <c r="AL310" s="239">
        <f t="shared" si="83"/>
        <v>1.74</v>
      </c>
      <c r="AM310" s="237">
        <v>72</v>
      </c>
      <c r="AN310" s="239">
        <f t="shared" si="84"/>
        <v>0</v>
      </c>
      <c r="AO310" s="238" t="s">
        <v>120</v>
      </c>
      <c r="AP310" s="242" t="s">
        <v>162</v>
      </c>
      <c r="AQ310" s="237">
        <v>60</v>
      </c>
      <c r="AR310" s="239">
        <f t="shared" si="85"/>
        <v>2.48</v>
      </c>
      <c r="AS310" s="237">
        <v>72</v>
      </c>
      <c r="AT310" s="239">
        <f t="shared" si="86"/>
        <v>0</v>
      </c>
      <c r="AU310" s="237"/>
    </row>
    <row r="311" spans="1:48" ht="15.75" thickBot="1" x14ac:dyDescent="0.3">
      <c r="A311" s="238" t="s">
        <v>410</v>
      </c>
      <c r="B311" s="238" t="s">
        <v>92</v>
      </c>
      <c r="C311" s="237">
        <v>120</v>
      </c>
      <c r="D311" s="239">
        <f>'[1]Plate Price'!$C$12</f>
        <v>0</v>
      </c>
      <c r="E311" s="237"/>
      <c r="F311" s="237"/>
      <c r="G311" s="375" t="s">
        <v>838</v>
      </c>
      <c r="H311" s="376"/>
      <c r="I311" s="371">
        <f>IFERROR(L308*M308*N308*(O308/P308)*Q308," ")</f>
        <v>0</v>
      </c>
      <c r="J311" s="371"/>
      <c r="K311" s="372"/>
      <c r="L311" s="237"/>
      <c r="M311" s="237"/>
      <c r="N311" s="237"/>
      <c r="O311" s="237"/>
      <c r="P311" s="237"/>
      <c r="Q311" s="237"/>
      <c r="R311" s="237"/>
      <c r="S311" s="242" t="s">
        <v>152</v>
      </c>
      <c r="T311" s="237">
        <v>13.75</v>
      </c>
      <c r="U311" s="237">
        <v>12.76</v>
      </c>
      <c r="V311" s="237"/>
      <c r="W311" s="238" t="s">
        <v>410</v>
      </c>
      <c r="X311" s="242" t="s">
        <v>188</v>
      </c>
      <c r="Y311" s="237">
        <v>120</v>
      </c>
      <c r="Z311" s="239">
        <f t="shared" si="79"/>
        <v>0.78</v>
      </c>
      <c r="AA311" s="237">
        <v>120</v>
      </c>
      <c r="AB311" s="239">
        <f t="shared" si="80"/>
        <v>0.78</v>
      </c>
      <c r="AC311" s="238" t="s">
        <v>118</v>
      </c>
      <c r="AD311" s="242" t="s">
        <v>174</v>
      </c>
      <c r="AE311" s="237">
        <v>60</v>
      </c>
      <c r="AF311" s="239">
        <f t="shared" si="81"/>
        <v>0</v>
      </c>
      <c r="AG311" s="237">
        <v>60</v>
      </c>
      <c r="AH311" s="239">
        <f t="shared" si="82"/>
        <v>0</v>
      </c>
      <c r="AI311" s="238" t="s">
        <v>119</v>
      </c>
      <c r="AJ311" s="242" t="s">
        <v>174</v>
      </c>
      <c r="AK311" s="237">
        <v>60</v>
      </c>
      <c r="AL311" s="239">
        <f t="shared" si="83"/>
        <v>1.99</v>
      </c>
      <c r="AM311" s="237">
        <v>72</v>
      </c>
      <c r="AN311" s="239">
        <f t="shared" si="84"/>
        <v>0</v>
      </c>
      <c r="AO311" s="238" t="s">
        <v>120</v>
      </c>
      <c r="AP311" s="242" t="s">
        <v>174</v>
      </c>
      <c r="AQ311" s="237">
        <v>60</v>
      </c>
      <c r="AR311" s="239">
        <f t="shared" si="85"/>
        <v>2.71</v>
      </c>
      <c r="AS311" s="237">
        <v>72</v>
      </c>
      <c r="AT311" s="239">
        <f t="shared" si="86"/>
        <v>0</v>
      </c>
      <c r="AU311" s="237"/>
      <c r="AV311" s="237"/>
    </row>
    <row r="312" spans="1:48" x14ac:dyDescent="0.25">
      <c r="A312" s="238" t="s">
        <v>118</v>
      </c>
      <c r="B312" s="238" t="s">
        <v>840</v>
      </c>
      <c r="C312" s="237">
        <v>60</v>
      </c>
      <c r="D312" s="239">
        <f>'[1]Plate Price'!$C$31</f>
        <v>0</v>
      </c>
      <c r="E312" s="237"/>
      <c r="F312" s="237"/>
      <c r="L312" s="237"/>
      <c r="M312" s="237"/>
      <c r="N312" s="237"/>
      <c r="O312" s="237"/>
      <c r="P312" s="237"/>
      <c r="Q312" s="237"/>
      <c r="R312" s="237"/>
      <c r="S312" s="242" t="s">
        <v>162</v>
      </c>
      <c r="T312" s="237">
        <v>16.5</v>
      </c>
      <c r="U312" s="237">
        <v>15.32</v>
      </c>
      <c r="V312" s="237"/>
      <c r="W312" s="238" t="s">
        <v>410</v>
      </c>
      <c r="X312" s="242" t="s">
        <v>211</v>
      </c>
      <c r="Y312" s="237">
        <v>120</v>
      </c>
      <c r="Z312" s="239">
        <f t="shared" si="79"/>
        <v>0</v>
      </c>
      <c r="AA312" s="237">
        <v>120</v>
      </c>
      <c r="AB312" s="239">
        <f t="shared" si="80"/>
        <v>0</v>
      </c>
      <c r="AC312" s="238" t="s">
        <v>118</v>
      </c>
      <c r="AD312" s="242" t="s">
        <v>188</v>
      </c>
      <c r="AE312" s="237">
        <v>60</v>
      </c>
      <c r="AF312" s="239">
        <f t="shared" si="81"/>
        <v>0</v>
      </c>
      <c r="AG312" s="237">
        <v>60</v>
      </c>
      <c r="AH312" s="239">
        <f t="shared" si="82"/>
        <v>0</v>
      </c>
      <c r="AI312" s="238" t="s">
        <v>119</v>
      </c>
      <c r="AJ312" s="242" t="s">
        <v>188</v>
      </c>
      <c r="AK312" s="237">
        <v>60</v>
      </c>
      <c r="AL312" s="239">
        <f t="shared" si="83"/>
        <v>2.09</v>
      </c>
      <c r="AM312" s="237"/>
      <c r="AN312" s="237"/>
      <c r="AO312" s="237"/>
      <c r="AP312" s="237"/>
      <c r="AQ312" s="237"/>
      <c r="AR312" s="237"/>
      <c r="AS312" s="237"/>
      <c r="AT312" s="237"/>
      <c r="AU312" s="237"/>
      <c r="AV312" s="237"/>
    </row>
    <row r="313" spans="1:48" x14ac:dyDescent="0.25">
      <c r="A313" s="238" t="s">
        <v>118</v>
      </c>
      <c r="B313" s="238" t="s">
        <v>841</v>
      </c>
      <c r="C313" s="237">
        <v>60</v>
      </c>
      <c r="D313" s="239">
        <f>'[1]Plate Price'!$C$32</f>
        <v>0</v>
      </c>
      <c r="E313" s="238" t="s">
        <v>410</v>
      </c>
      <c r="F313" s="238"/>
      <c r="G313" s="2"/>
      <c r="L313" s="237"/>
      <c r="M313" s="237"/>
      <c r="N313" s="237"/>
      <c r="O313" s="237"/>
      <c r="P313" s="237"/>
      <c r="Q313" s="237"/>
      <c r="R313" s="237"/>
      <c r="S313" s="242" t="s">
        <v>174</v>
      </c>
      <c r="T313" s="237">
        <v>21.66</v>
      </c>
      <c r="U313" s="237">
        <v>20.420000000000002</v>
      </c>
      <c r="V313" s="237"/>
      <c r="W313" s="238" t="s">
        <v>410</v>
      </c>
      <c r="X313" s="242" t="s">
        <v>842</v>
      </c>
      <c r="Y313" s="237">
        <v>120</v>
      </c>
      <c r="Z313" s="239">
        <f t="shared" si="79"/>
        <v>0</v>
      </c>
      <c r="AA313" s="237">
        <v>120</v>
      </c>
      <c r="AB313" s="239">
        <f t="shared" si="80"/>
        <v>0</v>
      </c>
      <c r="AC313" s="238" t="s">
        <v>118</v>
      </c>
      <c r="AD313" s="242" t="s">
        <v>211</v>
      </c>
      <c r="AE313" s="237">
        <v>60</v>
      </c>
      <c r="AF313" s="239">
        <f t="shared" si="81"/>
        <v>0</v>
      </c>
      <c r="AG313" s="237">
        <v>60</v>
      </c>
      <c r="AH313" s="239">
        <f t="shared" si="82"/>
        <v>0</v>
      </c>
      <c r="AI313" s="238" t="s">
        <v>119</v>
      </c>
      <c r="AJ313" s="242" t="s">
        <v>211</v>
      </c>
      <c r="AK313" s="237">
        <v>60</v>
      </c>
      <c r="AL313" s="239">
        <f t="shared" si="83"/>
        <v>2.09</v>
      </c>
      <c r="AM313" s="237"/>
      <c r="AN313" s="237"/>
      <c r="AO313" s="237"/>
      <c r="AP313" s="237"/>
      <c r="AQ313" s="237"/>
      <c r="AR313" s="237"/>
      <c r="AS313" s="237"/>
      <c r="AT313" s="237"/>
      <c r="AU313" s="237"/>
      <c r="AV313" s="237"/>
    </row>
    <row r="314" spans="1:48" x14ac:dyDescent="0.25">
      <c r="A314" s="238" t="s">
        <v>118</v>
      </c>
      <c r="B314" s="238" t="s">
        <v>313</v>
      </c>
      <c r="C314" s="237">
        <v>60</v>
      </c>
      <c r="D314" s="239">
        <f>'[1]Plate Price'!$C$33</f>
        <v>0</v>
      </c>
      <c r="E314" s="238" t="s">
        <v>118</v>
      </c>
      <c r="F314" s="238"/>
      <c r="G314" s="2"/>
      <c r="L314" s="237"/>
      <c r="M314" s="237"/>
      <c r="N314" s="237"/>
      <c r="O314" s="237"/>
      <c r="P314" s="237"/>
      <c r="Q314" s="237"/>
      <c r="R314" s="237"/>
      <c r="S314" s="242" t="s">
        <v>188</v>
      </c>
      <c r="T314" s="237">
        <v>26.83</v>
      </c>
      <c r="U314" s="237">
        <v>25.53</v>
      </c>
      <c r="V314" s="237"/>
      <c r="W314" s="238" t="s">
        <v>410</v>
      </c>
      <c r="X314" s="242" t="s">
        <v>843</v>
      </c>
      <c r="Y314" s="237">
        <v>120</v>
      </c>
      <c r="Z314" s="239">
        <f t="shared" si="79"/>
        <v>0</v>
      </c>
      <c r="AA314" s="237">
        <v>120</v>
      </c>
      <c r="AB314" s="239">
        <f t="shared" si="80"/>
        <v>0</v>
      </c>
      <c r="AC314" s="238" t="s">
        <v>118</v>
      </c>
      <c r="AD314" s="242" t="s">
        <v>842</v>
      </c>
      <c r="AE314" s="237">
        <v>60</v>
      </c>
      <c r="AF314" s="239">
        <f t="shared" si="81"/>
        <v>0</v>
      </c>
      <c r="AG314" s="237">
        <v>60</v>
      </c>
      <c r="AH314" s="239">
        <f t="shared" si="82"/>
        <v>0</v>
      </c>
      <c r="AI314" s="238" t="s">
        <v>119</v>
      </c>
      <c r="AJ314" s="242" t="s">
        <v>843</v>
      </c>
      <c r="AK314" s="237">
        <v>60</v>
      </c>
      <c r="AL314" s="239">
        <f t="shared" si="83"/>
        <v>2.09</v>
      </c>
      <c r="AM314" s="237"/>
      <c r="AN314" s="237"/>
      <c r="AO314" s="237"/>
      <c r="AP314" s="237"/>
      <c r="AQ314" s="237"/>
      <c r="AR314" s="237"/>
      <c r="AS314" s="237"/>
      <c r="AT314" s="237"/>
      <c r="AU314" s="237"/>
      <c r="AV314" s="237"/>
    </row>
    <row r="315" spans="1:48" x14ac:dyDescent="0.25">
      <c r="A315" s="238" t="s">
        <v>118</v>
      </c>
      <c r="B315" s="238" t="s">
        <v>314</v>
      </c>
      <c r="C315" s="237">
        <v>60</v>
      </c>
      <c r="D315" s="239">
        <f>'[1]Plate Price'!$C$34</f>
        <v>0</v>
      </c>
      <c r="E315" s="238" t="s">
        <v>119</v>
      </c>
      <c r="F315" s="238"/>
      <c r="G315" s="2"/>
      <c r="L315" s="237"/>
      <c r="M315" s="237"/>
      <c r="N315" s="237"/>
      <c r="O315" s="237"/>
      <c r="P315" s="237"/>
      <c r="Q315" s="237"/>
      <c r="R315" s="237"/>
      <c r="S315" s="242" t="s">
        <v>211</v>
      </c>
      <c r="T315" s="237">
        <v>32.119999999999997</v>
      </c>
      <c r="U315" s="237">
        <v>30.63</v>
      </c>
      <c r="V315" s="237"/>
      <c r="W315" s="237"/>
      <c r="X315" s="237"/>
      <c r="Y315" s="237"/>
      <c r="Z315" s="237"/>
      <c r="AA315" s="237"/>
      <c r="AB315" s="237"/>
      <c r="AC315" s="238" t="s">
        <v>118</v>
      </c>
      <c r="AD315" s="242" t="s">
        <v>843</v>
      </c>
      <c r="AE315" s="237">
        <v>60</v>
      </c>
      <c r="AF315" s="239">
        <f t="shared" si="81"/>
        <v>0</v>
      </c>
      <c r="AG315" s="237">
        <v>60</v>
      </c>
      <c r="AH315" s="239">
        <f t="shared" si="82"/>
        <v>0</v>
      </c>
      <c r="AI315" s="237"/>
      <c r="AJ315" s="237"/>
      <c r="AK315" s="237"/>
      <c r="AL315" s="237"/>
      <c r="AM315" s="237"/>
      <c r="AN315" s="237"/>
      <c r="AO315" s="237"/>
      <c r="AP315" s="237"/>
      <c r="AQ315" s="237"/>
      <c r="AR315" s="237"/>
      <c r="AS315" s="237"/>
      <c r="AT315" s="237"/>
      <c r="AU315" s="237"/>
      <c r="AV315" s="237"/>
    </row>
    <row r="316" spans="1:48" x14ac:dyDescent="0.25">
      <c r="A316" s="238" t="s">
        <v>118</v>
      </c>
      <c r="B316" s="238" t="s">
        <v>315</v>
      </c>
      <c r="C316" s="237">
        <v>60</v>
      </c>
      <c r="D316" s="239">
        <f>'[1]Plate Price'!$C$35</f>
        <v>0</v>
      </c>
      <c r="E316" s="238" t="s">
        <v>120</v>
      </c>
      <c r="F316" s="238"/>
      <c r="G316" s="2"/>
      <c r="L316" s="237"/>
      <c r="M316" s="237"/>
      <c r="N316" s="237"/>
      <c r="O316" s="237"/>
      <c r="P316" s="237"/>
      <c r="Q316" s="237"/>
      <c r="R316" s="237"/>
      <c r="S316" s="242" t="s">
        <v>842</v>
      </c>
      <c r="T316" s="237">
        <v>37.29</v>
      </c>
      <c r="U316" s="237">
        <v>35.74</v>
      </c>
      <c r="V316" s="237"/>
      <c r="W316" s="237"/>
      <c r="X316" s="237"/>
      <c r="Y316" s="237"/>
      <c r="Z316" s="237"/>
      <c r="AA316" s="237"/>
      <c r="AB316" s="237"/>
      <c r="AC316" s="237"/>
      <c r="AD316" s="237"/>
      <c r="AE316" s="237"/>
      <c r="AF316" s="237"/>
      <c r="AG316" s="237"/>
      <c r="AH316" s="237"/>
      <c r="AI316" s="237"/>
      <c r="AJ316" s="237"/>
      <c r="AK316" s="237"/>
      <c r="AL316" s="237"/>
      <c r="AM316" s="237"/>
      <c r="AN316" s="237"/>
      <c r="AO316" s="237"/>
      <c r="AP316" s="237"/>
      <c r="AQ316" s="237"/>
      <c r="AR316" s="237"/>
      <c r="AS316" s="237"/>
      <c r="AT316" s="237"/>
      <c r="AU316" s="237"/>
      <c r="AV316" s="237"/>
    </row>
    <row r="317" spans="1:48" x14ac:dyDescent="0.25">
      <c r="A317" s="238" t="s">
        <v>118</v>
      </c>
      <c r="B317" s="238" t="s">
        <v>483</v>
      </c>
      <c r="C317" s="237">
        <v>60</v>
      </c>
      <c r="D317" s="239">
        <f>'[1]Plate Price'!$C$36</f>
        <v>0</v>
      </c>
      <c r="E317" s="237"/>
      <c r="F317" s="237"/>
      <c r="L317" s="237"/>
      <c r="M317" s="237"/>
      <c r="N317" s="237"/>
      <c r="O317" s="237"/>
      <c r="P317" s="237"/>
      <c r="Q317" s="237"/>
      <c r="R317" s="237"/>
      <c r="S317" s="242" t="s">
        <v>843</v>
      </c>
      <c r="T317" s="237">
        <v>42.67</v>
      </c>
      <c r="U317" s="237">
        <v>40.840000000000003</v>
      </c>
      <c r="V317" s="237"/>
      <c r="W317" s="237"/>
      <c r="X317" s="237"/>
      <c r="Y317" s="237"/>
      <c r="Z317" s="237"/>
      <c r="AA317" s="237"/>
      <c r="AB317" s="237"/>
      <c r="AC317" s="237"/>
      <c r="AD317" s="237"/>
      <c r="AE317" s="237"/>
      <c r="AF317" s="237"/>
      <c r="AG317" s="237"/>
      <c r="AH317" s="237"/>
      <c r="AI317" s="237"/>
      <c r="AJ317" s="237"/>
      <c r="AK317" s="237"/>
      <c r="AL317" s="237"/>
      <c r="AM317" s="237"/>
      <c r="AN317" s="237"/>
      <c r="AO317" s="237"/>
      <c r="AP317" s="237"/>
      <c r="AQ317" s="237"/>
      <c r="AR317" s="237"/>
      <c r="AS317" s="237"/>
      <c r="AT317" s="237"/>
      <c r="AU317" s="237"/>
      <c r="AV317" s="237"/>
    </row>
    <row r="318" spans="1:48" x14ac:dyDescent="0.25">
      <c r="A318" s="238" t="s">
        <v>118</v>
      </c>
      <c r="B318" s="238" t="s">
        <v>316</v>
      </c>
      <c r="C318" s="237">
        <v>60</v>
      </c>
      <c r="D318" s="239">
        <f>'[1]Plate Price'!$C$37</f>
        <v>0</v>
      </c>
      <c r="E318" s="237"/>
      <c r="F318" s="237"/>
      <c r="L318" s="237"/>
      <c r="M318" s="237"/>
      <c r="N318" s="237"/>
      <c r="O318" s="237"/>
      <c r="P318" s="237"/>
      <c r="Q318" s="237"/>
      <c r="R318" s="237"/>
      <c r="S318" s="238"/>
      <c r="T318" s="237"/>
      <c r="U318" s="237"/>
      <c r="V318" s="237"/>
      <c r="W318" s="237"/>
      <c r="X318" s="237"/>
      <c r="Y318" s="237"/>
      <c r="Z318" s="237"/>
      <c r="AA318" s="237"/>
      <c r="AB318" s="237"/>
      <c r="AC318" s="237"/>
      <c r="AD318" s="237"/>
      <c r="AE318" s="237"/>
      <c r="AF318" s="237"/>
      <c r="AG318" s="237"/>
      <c r="AH318" s="237"/>
      <c r="AI318" s="237"/>
      <c r="AJ318" s="237"/>
      <c r="AK318" s="237"/>
      <c r="AL318" s="237"/>
      <c r="AM318" s="237"/>
      <c r="AN318" s="237"/>
      <c r="AO318" s="237"/>
      <c r="AP318" s="237"/>
      <c r="AQ318" s="237"/>
      <c r="AR318" s="237"/>
      <c r="AS318" s="237"/>
      <c r="AT318" s="237"/>
      <c r="AU318" s="237"/>
      <c r="AV318" s="237"/>
    </row>
    <row r="319" spans="1:48" x14ac:dyDescent="0.25">
      <c r="A319" s="238" t="s">
        <v>118</v>
      </c>
      <c r="B319" s="238" t="s">
        <v>839</v>
      </c>
      <c r="C319" s="237">
        <v>60</v>
      </c>
      <c r="D319" s="239">
        <f>'[1]Plate Price'!$C$38</f>
        <v>0</v>
      </c>
      <c r="E319" s="237"/>
      <c r="F319" s="237"/>
      <c r="L319" s="237"/>
      <c r="M319" s="237"/>
      <c r="N319" s="237"/>
      <c r="O319" s="237"/>
      <c r="P319" s="237"/>
      <c r="Q319" s="237"/>
      <c r="R319" s="237"/>
      <c r="S319" s="238"/>
      <c r="T319" s="237"/>
      <c r="U319" s="237"/>
      <c r="V319" s="237"/>
      <c r="W319" s="237"/>
      <c r="X319" s="237"/>
      <c r="Y319" s="237"/>
      <c r="Z319" s="237"/>
      <c r="AA319" s="237"/>
      <c r="AB319" s="237"/>
      <c r="AC319" s="237"/>
      <c r="AD319" s="237"/>
      <c r="AE319" s="237"/>
      <c r="AF319" s="237"/>
      <c r="AG319" s="237"/>
      <c r="AH319" s="237"/>
      <c r="AI319" s="237"/>
      <c r="AJ319" s="237"/>
      <c r="AK319" s="237"/>
      <c r="AL319" s="237"/>
      <c r="AM319" s="237"/>
      <c r="AN319" s="237"/>
      <c r="AO319" s="237"/>
      <c r="AP319" s="237"/>
      <c r="AQ319" s="237"/>
      <c r="AR319" s="237"/>
      <c r="AS319" s="237"/>
      <c r="AT319" s="237"/>
      <c r="AU319" s="237"/>
      <c r="AV319" s="237"/>
    </row>
    <row r="320" spans="1:48" x14ac:dyDescent="0.25">
      <c r="A320" s="238" t="s">
        <v>118</v>
      </c>
      <c r="B320" s="238" t="s">
        <v>92</v>
      </c>
      <c r="C320" s="237">
        <v>60</v>
      </c>
      <c r="D320" s="239">
        <f>'[1]Plate Price'!$C$39</f>
        <v>0</v>
      </c>
      <c r="E320" s="242" t="s">
        <v>96</v>
      </c>
      <c r="F320" s="237"/>
      <c r="H320" s="367" t="s">
        <v>82</v>
      </c>
      <c r="I320" s="367"/>
      <c r="J320" s="367"/>
      <c r="L320" s="237"/>
      <c r="M320" s="237"/>
      <c r="N320" s="237"/>
      <c r="O320" s="237"/>
      <c r="P320" s="237"/>
      <c r="Q320" s="237"/>
      <c r="R320" s="237"/>
      <c r="S320" s="238"/>
      <c r="T320" s="237"/>
      <c r="U320" s="237"/>
      <c r="V320" s="237"/>
      <c r="W320" s="237"/>
      <c r="X320" s="237"/>
      <c r="Y320" s="237"/>
      <c r="Z320" s="237"/>
      <c r="AA320" s="237"/>
      <c r="AB320" s="237"/>
      <c r="AC320" s="237"/>
      <c r="AD320" s="237"/>
      <c r="AE320" s="237"/>
      <c r="AF320" s="237"/>
      <c r="AG320" s="237"/>
      <c r="AH320" s="237"/>
      <c r="AI320" s="237"/>
      <c r="AJ320" s="237"/>
      <c r="AK320" s="237"/>
      <c r="AL320" s="237"/>
      <c r="AM320" s="237"/>
      <c r="AN320" s="237"/>
      <c r="AO320" s="237"/>
      <c r="AP320" s="237"/>
      <c r="AQ320" s="237"/>
      <c r="AR320" s="237"/>
      <c r="AS320" s="237"/>
      <c r="AT320" s="237"/>
      <c r="AU320" s="237"/>
      <c r="AV320" s="237"/>
    </row>
    <row r="321" spans="1:48" x14ac:dyDescent="0.25">
      <c r="A321" s="238" t="s">
        <v>119</v>
      </c>
      <c r="B321" s="238" t="s">
        <v>840</v>
      </c>
      <c r="C321" s="237">
        <v>60</v>
      </c>
      <c r="D321" s="239">
        <f>'[1]Plate Price'!$I$4</f>
        <v>1.59</v>
      </c>
      <c r="E321" s="242" t="s">
        <v>93</v>
      </c>
      <c r="F321" s="238"/>
      <c r="G321" s="2"/>
      <c r="H321" s="367"/>
      <c r="I321" s="367"/>
      <c r="J321" s="367"/>
      <c r="L321" s="237"/>
      <c r="M321" s="237"/>
      <c r="N321" s="237"/>
      <c r="O321" s="237"/>
      <c r="P321" s="237"/>
      <c r="Q321" s="237"/>
      <c r="R321" s="237"/>
      <c r="S321" s="238"/>
      <c r="T321" s="237"/>
      <c r="U321" s="237"/>
      <c r="V321" s="237"/>
      <c r="W321" s="237"/>
      <c r="X321" s="237"/>
      <c r="Y321" s="237"/>
      <c r="Z321" s="237"/>
      <c r="AA321" s="237"/>
      <c r="AB321" s="237"/>
      <c r="AC321" s="237"/>
      <c r="AD321" s="237"/>
      <c r="AE321" s="237"/>
      <c r="AF321" s="237"/>
      <c r="AG321" s="237"/>
      <c r="AH321" s="237"/>
      <c r="AI321" s="237"/>
      <c r="AJ321" s="237"/>
      <c r="AK321" s="237"/>
      <c r="AL321" s="237"/>
      <c r="AM321" s="237"/>
      <c r="AN321" s="237"/>
      <c r="AO321" s="237"/>
      <c r="AP321" s="237"/>
      <c r="AQ321" s="237"/>
      <c r="AR321" s="237"/>
      <c r="AS321" s="237"/>
      <c r="AT321" s="237"/>
      <c r="AU321" s="237"/>
      <c r="AV321" s="237"/>
    </row>
    <row r="322" spans="1:48" x14ac:dyDescent="0.25">
      <c r="A322" s="238" t="s">
        <v>119</v>
      </c>
      <c r="B322" s="238" t="s">
        <v>841</v>
      </c>
      <c r="C322" s="237">
        <v>60</v>
      </c>
      <c r="D322" s="239">
        <f>'[1]Plate Price'!$I$5</f>
        <v>1.59</v>
      </c>
      <c r="E322" s="242" t="s">
        <v>152</v>
      </c>
      <c r="F322" s="238"/>
      <c r="G322" s="2"/>
      <c r="H322" s="367"/>
      <c r="I322" s="367"/>
      <c r="J322" s="367"/>
      <c r="L322" s="237"/>
      <c r="M322" s="237"/>
      <c r="N322" s="237"/>
      <c r="O322" s="237"/>
      <c r="P322" s="237"/>
      <c r="Q322" s="237"/>
      <c r="R322" s="237"/>
      <c r="S322" s="238"/>
      <c r="T322" s="237"/>
      <c r="U322" s="237"/>
      <c r="V322" s="237"/>
      <c r="W322" s="237"/>
      <c r="X322" s="237"/>
      <c r="Y322" s="237"/>
      <c r="Z322" s="237"/>
      <c r="AA322" s="237"/>
      <c r="AB322" s="237"/>
      <c r="AC322" s="237"/>
      <c r="AD322" s="237"/>
      <c r="AE322" s="237"/>
      <c r="AF322" s="237"/>
      <c r="AG322" s="237"/>
      <c r="AH322" s="237"/>
      <c r="AI322" s="237"/>
      <c r="AJ322" s="237"/>
      <c r="AK322" s="237"/>
      <c r="AL322" s="237"/>
      <c r="AM322" s="237"/>
      <c r="AN322" s="237"/>
      <c r="AO322" s="237"/>
      <c r="AP322" s="237"/>
      <c r="AQ322" s="237"/>
      <c r="AR322" s="237"/>
      <c r="AS322" s="237"/>
      <c r="AT322" s="237"/>
      <c r="AU322" s="237"/>
      <c r="AV322" s="237"/>
    </row>
    <row r="323" spans="1:48" x14ac:dyDescent="0.25">
      <c r="A323" s="238" t="s">
        <v>119</v>
      </c>
      <c r="B323" s="238" t="s">
        <v>313</v>
      </c>
      <c r="C323" s="237">
        <v>60</v>
      </c>
      <c r="D323" s="239">
        <f>'[1]Plate Price'!$I$6</f>
        <v>1.69</v>
      </c>
      <c r="E323" s="242" t="s">
        <v>162</v>
      </c>
      <c r="F323" s="238"/>
      <c r="G323" s="2"/>
      <c r="H323" s="367"/>
      <c r="I323" s="367"/>
      <c r="J323" s="367"/>
      <c r="L323" s="237"/>
      <c r="M323" s="237"/>
      <c r="N323" s="237"/>
      <c r="O323" s="237"/>
      <c r="P323" s="237"/>
      <c r="Q323" s="237"/>
      <c r="R323" s="237"/>
      <c r="S323" s="238"/>
      <c r="T323" s="237"/>
      <c r="U323" s="237"/>
      <c r="V323" s="237"/>
      <c r="W323" s="237"/>
      <c r="X323" s="237"/>
      <c r="Y323" s="237"/>
      <c r="Z323" s="237"/>
      <c r="AA323" s="237"/>
      <c r="AB323" s="237"/>
      <c r="AC323" s="237"/>
      <c r="AD323" s="237"/>
      <c r="AE323" s="237"/>
      <c r="AF323" s="237"/>
      <c r="AG323" s="237"/>
      <c r="AH323" s="237"/>
      <c r="AI323" s="237"/>
      <c r="AJ323" s="237"/>
      <c r="AK323" s="237"/>
      <c r="AL323" s="237"/>
      <c r="AM323" s="237"/>
      <c r="AN323" s="237"/>
      <c r="AO323" s="237"/>
      <c r="AP323" s="237"/>
      <c r="AQ323" s="237"/>
      <c r="AR323" s="237"/>
      <c r="AS323" s="237"/>
      <c r="AT323" s="237"/>
      <c r="AU323" s="237"/>
      <c r="AV323" s="237"/>
    </row>
    <row r="324" spans="1:48" x14ac:dyDescent="0.25">
      <c r="A324" s="238" t="s">
        <v>119</v>
      </c>
      <c r="B324" s="238" t="s">
        <v>314</v>
      </c>
      <c r="C324" s="237">
        <v>60</v>
      </c>
      <c r="D324" s="239">
        <f>'[1]Plate Price'!$I$7</f>
        <v>1.74</v>
      </c>
      <c r="E324" s="242" t="s">
        <v>174</v>
      </c>
      <c r="F324" s="238"/>
      <c r="G324" s="2"/>
      <c r="H324" s="367"/>
      <c r="I324" s="367"/>
      <c r="J324" s="367"/>
      <c r="L324" s="237"/>
      <c r="M324" s="237"/>
      <c r="N324" s="237"/>
      <c r="O324" s="237"/>
      <c r="P324" s="237"/>
      <c r="Q324" s="237"/>
      <c r="R324" s="237"/>
      <c r="S324" s="238"/>
      <c r="T324" s="237"/>
      <c r="U324" s="237"/>
      <c r="V324" s="237"/>
      <c r="W324" s="237"/>
      <c r="X324" s="237"/>
      <c r="Y324" s="237"/>
      <c r="Z324" s="237"/>
      <c r="AA324" s="237"/>
      <c r="AB324" s="237"/>
      <c r="AC324" s="237"/>
      <c r="AD324" s="237"/>
      <c r="AE324" s="237"/>
      <c r="AF324" s="237"/>
      <c r="AG324" s="237"/>
      <c r="AH324" s="237"/>
      <c r="AI324" s="237"/>
      <c r="AJ324" s="237"/>
      <c r="AK324" s="237"/>
      <c r="AL324" s="237"/>
      <c r="AM324" s="237"/>
      <c r="AN324" s="237"/>
      <c r="AO324" s="237"/>
      <c r="AP324" s="237"/>
      <c r="AQ324" s="237"/>
      <c r="AR324" s="237"/>
      <c r="AS324" s="237"/>
      <c r="AT324" s="237"/>
      <c r="AU324" s="237"/>
      <c r="AV324" s="237"/>
    </row>
    <row r="325" spans="1:48" x14ac:dyDescent="0.25">
      <c r="A325" s="238" t="s">
        <v>119</v>
      </c>
      <c r="B325" s="238" t="s">
        <v>315</v>
      </c>
      <c r="C325" s="237">
        <v>60</v>
      </c>
      <c r="D325" s="239">
        <f>'[1]Plate Price'!$I$8</f>
        <v>1.99</v>
      </c>
      <c r="E325" s="242" t="s">
        <v>188</v>
      </c>
      <c r="F325" s="238"/>
      <c r="G325" s="2"/>
      <c r="H325" s="367"/>
      <c r="I325" s="367"/>
      <c r="J325" s="367"/>
      <c r="L325" s="237"/>
      <c r="M325" s="237"/>
      <c r="N325" s="237"/>
      <c r="O325" s="237"/>
      <c r="P325" s="237"/>
      <c r="Q325" s="237"/>
      <c r="R325" s="237"/>
      <c r="S325" s="238"/>
      <c r="T325" s="237"/>
      <c r="U325" s="237"/>
      <c r="V325" s="237"/>
      <c r="W325" s="237"/>
      <c r="X325" s="237"/>
      <c r="Y325" s="237"/>
      <c r="Z325" s="237"/>
      <c r="AA325" s="237"/>
      <c r="AB325" s="237"/>
      <c r="AC325" s="237"/>
      <c r="AD325" s="237"/>
      <c r="AE325" s="237"/>
      <c r="AF325" s="237"/>
      <c r="AG325" s="237"/>
      <c r="AH325" s="237"/>
      <c r="AI325" s="237"/>
      <c r="AJ325" s="237"/>
      <c r="AK325" s="237"/>
      <c r="AL325" s="237"/>
      <c r="AM325" s="237"/>
      <c r="AN325" s="237"/>
      <c r="AO325" s="237"/>
      <c r="AP325" s="237"/>
      <c r="AQ325" s="237"/>
      <c r="AR325" s="237"/>
      <c r="AS325" s="237"/>
      <c r="AT325" s="237"/>
      <c r="AU325" s="237"/>
      <c r="AV325" s="237"/>
    </row>
    <row r="326" spans="1:48" x14ac:dyDescent="0.25">
      <c r="A326" s="238" t="s">
        <v>119</v>
      </c>
      <c r="B326" s="238" t="s">
        <v>483</v>
      </c>
      <c r="C326" s="237">
        <v>60</v>
      </c>
      <c r="D326" s="239">
        <f>'[1]Plate Price'!$I$9</f>
        <v>2.09</v>
      </c>
      <c r="E326" s="242" t="s">
        <v>211</v>
      </c>
      <c r="F326" s="238"/>
      <c r="G326" s="2"/>
      <c r="S326" s="2"/>
      <c r="AU326" s="237"/>
      <c r="AV326" s="237"/>
    </row>
    <row r="327" spans="1:48" x14ac:dyDescent="0.25">
      <c r="A327" s="238" t="s">
        <v>119</v>
      </c>
      <c r="B327" s="238" t="s">
        <v>316</v>
      </c>
      <c r="C327" s="237">
        <v>60</v>
      </c>
      <c r="D327" s="239">
        <f>'[1]Plate Price'!$I$10</f>
        <v>2.09</v>
      </c>
      <c r="E327" s="242" t="s">
        <v>842</v>
      </c>
      <c r="F327" s="238"/>
      <c r="G327" s="2"/>
      <c r="S327" s="2"/>
    </row>
    <row r="328" spans="1:48" x14ac:dyDescent="0.25">
      <c r="A328" s="238" t="s">
        <v>119</v>
      </c>
      <c r="B328" s="238" t="s">
        <v>844</v>
      </c>
      <c r="C328" s="237">
        <v>60</v>
      </c>
      <c r="D328" s="239">
        <f>'[1]Plate Price'!$I$11</f>
        <v>2.09</v>
      </c>
      <c r="E328" s="242" t="s">
        <v>843</v>
      </c>
      <c r="F328" s="238"/>
      <c r="G328" s="2"/>
    </row>
    <row r="329" spans="1:48" x14ac:dyDescent="0.25">
      <c r="A329" s="238" t="s">
        <v>119</v>
      </c>
      <c r="B329" s="238" t="s">
        <v>840</v>
      </c>
      <c r="C329" s="237">
        <v>72</v>
      </c>
      <c r="D329" s="239">
        <f>'[1]Plate Price'!$I$13</f>
        <v>0</v>
      </c>
      <c r="E329" s="237"/>
      <c r="F329" s="237"/>
    </row>
    <row r="330" spans="1:48" x14ac:dyDescent="0.25">
      <c r="A330" s="238" t="s">
        <v>119</v>
      </c>
      <c r="B330" s="238" t="s">
        <v>841</v>
      </c>
      <c r="C330" s="237">
        <v>72</v>
      </c>
      <c r="D330" s="239">
        <f>'[1]Plate Price'!$I$14</f>
        <v>1.89</v>
      </c>
      <c r="E330" s="237"/>
      <c r="F330" s="237"/>
    </row>
    <row r="331" spans="1:48" x14ac:dyDescent="0.25">
      <c r="A331" s="238" t="s">
        <v>119</v>
      </c>
      <c r="B331" s="238" t="s">
        <v>313</v>
      </c>
      <c r="C331" s="237">
        <v>72</v>
      </c>
      <c r="D331" s="239">
        <f>'[1]Plate Price'!$I$15</f>
        <v>0</v>
      </c>
      <c r="E331" s="237"/>
      <c r="F331" s="237"/>
    </row>
    <row r="332" spans="1:48" x14ac:dyDescent="0.25">
      <c r="A332" s="238" t="s">
        <v>119</v>
      </c>
      <c r="B332" s="238" t="s">
        <v>314</v>
      </c>
      <c r="C332" s="237">
        <v>72</v>
      </c>
      <c r="D332" s="239">
        <f>'[1]Plate Price'!$I$16</f>
        <v>0</v>
      </c>
      <c r="E332" s="237"/>
      <c r="F332" s="237"/>
    </row>
    <row r="333" spans="1:48" x14ac:dyDescent="0.25">
      <c r="A333" s="238" t="s">
        <v>119</v>
      </c>
      <c r="B333" s="238" t="s">
        <v>315</v>
      </c>
      <c r="C333" s="237">
        <v>72</v>
      </c>
      <c r="D333" s="239">
        <f>'[1]Plate Price'!$I$17</f>
        <v>0</v>
      </c>
      <c r="E333" s="237"/>
      <c r="F333" s="237"/>
    </row>
    <row r="334" spans="1:48" x14ac:dyDescent="0.25">
      <c r="A334" s="238" t="s">
        <v>120</v>
      </c>
      <c r="B334" s="238" t="s">
        <v>840</v>
      </c>
      <c r="C334" s="237">
        <v>60</v>
      </c>
      <c r="D334" s="239">
        <f>'[1]Plate Price'!$O$4</f>
        <v>2.39</v>
      </c>
      <c r="E334" s="237"/>
      <c r="F334" s="237"/>
    </row>
    <row r="335" spans="1:48" x14ac:dyDescent="0.25">
      <c r="A335" s="238" t="s">
        <v>120</v>
      </c>
      <c r="B335" s="238" t="s">
        <v>841</v>
      </c>
      <c r="C335" s="237">
        <v>60</v>
      </c>
      <c r="D335" s="239">
        <f>'[1]Plate Price'!$O$5</f>
        <v>2.37</v>
      </c>
      <c r="E335" s="237"/>
      <c r="F335" s="237"/>
    </row>
    <row r="336" spans="1:48" x14ac:dyDescent="0.25">
      <c r="A336" s="238" t="s">
        <v>120</v>
      </c>
      <c r="B336" s="238" t="s">
        <v>313</v>
      </c>
      <c r="C336" s="237">
        <v>60</v>
      </c>
      <c r="D336" s="239">
        <f>'[1]Plate Price'!$O$6</f>
        <v>2.48</v>
      </c>
      <c r="E336" s="237"/>
      <c r="F336" s="237"/>
    </row>
    <row r="337" spans="1:6" x14ac:dyDescent="0.25">
      <c r="A337" s="238" t="s">
        <v>120</v>
      </c>
      <c r="B337" s="238" t="s">
        <v>314</v>
      </c>
      <c r="C337" s="237">
        <v>60</v>
      </c>
      <c r="D337" s="239">
        <f>'[1]Plate Price'!$O$7</f>
        <v>2.48</v>
      </c>
      <c r="E337" s="237"/>
      <c r="F337" s="237"/>
    </row>
    <row r="338" spans="1:6" x14ac:dyDescent="0.25">
      <c r="A338" s="238" t="s">
        <v>120</v>
      </c>
      <c r="B338" s="238" t="s">
        <v>315</v>
      </c>
      <c r="C338" s="237">
        <v>60</v>
      </c>
      <c r="D338" s="239">
        <f>'[1]Plate Price'!$O$8</f>
        <v>2.71</v>
      </c>
      <c r="E338" s="237"/>
      <c r="F338" s="237"/>
    </row>
    <row r="339" spans="1:6" x14ac:dyDescent="0.25">
      <c r="A339" s="238" t="s">
        <v>120</v>
      </c>
      <c r="B339" s="238" t="s">
        <v>840</v>
      </c>
      <c r="C339" s="237">
        <v>72</v>
      </c>
      <c r="D339" s="239">
        <f>'[1]Plate Price'!$O$13</f>
        <v>0</v>
      </c>
      <c r="E339" s="237"/>
      <c r="F339" s="237"/>
    </row>
    <row r="340" spans="1:6" x14ac:dyDescent="0.25">
      <c r="A340" s="238" t="s">
        <v>120</v>
      </c>
      <c r="B340" s="238" t="s">
        <v>841</v>
      </c>
      <c r="C340" s="237">
        <v>72</v>
      </c>
      <c r="D340" s="239">
        <f>'[1]Plate Price'!$O$14</f>
        <v>0</v>
      </c>
      <c r="E340" s="237"/>
      <c r="F340" s="237"/>
    </row>
    <row r="341" spans="1:6" x14ac:dyDescent="0.25">
      <c r="A341" s="238" t="s">
        <v>120</v>
      </c>
      <c r="B341" s="238" t="s">
        <v>313</v>
      </c>
      <c r="C341" s="237">
        <v>72</v>
      </c>
      <c r="D341" s="239">
        <f>'[1]Plate Price'!$O$15</f>
        <v>0</v>
      </c>
      <c r="E341" s="237"/>
      <c r="F341" s="237"/>
    </row>
    <row r="342" spans="1:6" x14ac:dyDescent="0.25">
      <c r="A342" s="238" t="s">
        <v>120</v>
      </c>
      <c r="B342" s="238" t="s">
        <v>314</v>
      </c>
      <c r="C342" s="237">
        <v>72</v>
      </c>
      <c r="D342" s="239">
        <f>'[1]Plate Price'!$O$16</f>
        <v>0</v>
      </c>
      <c r="E342" s="237"/>
      <c r="F342" s="237"/>
    </row>
    <row r="343" spans="1:6" x14ac:dyDescent="0.25">
      <c r="A343" s="238" t="s">
        <v>120</v>
      </c>
      <c r="B343" s="238" t="s">
        <v>315</v>
      </c>
      <c r="C343" s="237">
        <v>72</v>
      </c>
      <c r="D343" s="239">
        <f>'[1]Plate Price'!$O$17</f>
        <v>0</v>
      </c>
      <c r="E343" s="237"/>
      <c r="F343" s="237"/>
    </row>
    <row r="344" spans="1:6" x14ac:dyDescent="0.25">
      <c r="A344" s="244" t="s">
        <v>120</v>
      </c>
      <c r="B344" s="244" t="s">
        <v>841</v>
      </c>
      <c r="C344" s="245">
        <v>72</v>
      </c>
      <c r="D344" s="246">
        <f>'[1]Plate Price'!$O$14</f>
        <v>0</v>
      </c>
      <c r="E344" s="245"/>
      <c r="F344" s="237"/>
    </row>
    <row r="345" spans="1:6" x14ac:dyDescent="0.25">
      <c r="A345" s="244" t="s">
        <v>120</v>
      </c>
      <c r="B345" s="244" t="s">
        <v>313</v>
      </c>
      <c r="C345" s="245">
        <v>72</v>
      </c>
      <c r="D345" s="246">
        <f>'[1]Plate Price'!$O$15</f>
        <v>0</v>
      </c>
      <c r="E345" s="245"/>
      <c r="F345" s="237"/>
    </row>
    <row r="346" spans="1:6" x14ac:dyDescent="0.25">
      <c r="A346" s="244" t="s">
        <v>120</v>
      </c>
      <c r="B346" s="244" t="s">
        <v>314</v>
      </c>
      <c r="C346" s="245">
        <v>72</v>
      </c>
      <c r="D346" s="246">
        <f>'[1]Plate Price'!$O$16</f>
        <v>0</v>
      </c>
      <c r="E346" s="245"/>
      <c r="F346" s="237"/>
    </row>
    <row r="347" spans="1:6" x14ac:dyDescent="0.25">
      <c r="A347" s="244" t="s">
        <v>120</v>
      </c>
      <c r="B347" s="244" t="s">
        <v>315</v>
      </c>
      <c r="C347" s="245">
        <v>72</v>
      </c>
      <c r="D347" s="246">
        <f>'[1]Plate Price'!$O$17</f>
        <v>0</v>
      </c>
      <c r="E347" s="245"/>
      <c r="F347" s="237"/>
    </row>
  </sheetData>
  <mergeCells count="224">
    <mergeCell ref="I311:K311"/>
    <mergeCell ref="H320:J325"/>
    <mergeCell ref="A285:F285"/>
    <mergeCell ref="A286:F286"/>
    <mergeCell ref="A287:F287"/>
    <mergeCell ref="B289:C289"/>
    <mergeCell ref="B290:C290"/>
    <mergeCell ref="G311:H311"/>
    <mergeCell ref="A279:F279"/>
    <mergeCell ref="A280:F280"/>
    <mergeCell ref="A281:F281"/>
    <mergeCell ref="A282:F282"/>
    <mergeCell ref="A283:F283"/>
    <mergeCell ref="A284:F284"/>
    <mergeCell ref="A272:F272"/>
    <mergeCell ref="A273:F273"/>
    <mergeCell ref="H273:J278"/>
    <mergeCell ref="A274:F274"/>
    <mergeCell ref="A275:F275"/>
    <mergeCell ref="A276:F276"/>
    <mergeCell ref="A277:F277"/>
    <mergeCell ref="A278:F278"/>
    <mergeCell ref="O246:T246"/>
    <mergeCell ref="A253:F253"/>
    <mergeCell ref="H255:L259"/>
    <mergeCell ref="O255:T255"/>
    <mergeCell ref="A270:F270"/>
    <mergeCell ref="A271:F271"/>
    <mergeCell ref="A206:T210"/>
    <mergeCell ref="CG207:CN207"/>
    <mergeCell ref="A237:F237"/>
    <mergeCell ref="H238:M238"/>
    <mergeCell ref="O238:T238"/>
    <mergeCell ref="A241:F241"/>
    <mergeCell ref="AC192:AF197"/>
    <mergeCell ref="BB192:BE197"/>
    <mergeCell ref="CB192:CE197"/>
    <mergeCell ref="CG193:CN193"/>
    <mergeCell ref="Y198:AF198"/>
    <mergeCell ref="AX198:BE198"/>
    <mergeCell ref="BG198:BN199"/>
    <mergeCell ref="BX198:CE198"/>
    <mergeCell ref="CG198:CN199"/>
    <mergeCell ref="AQ184:AU188"/>
    <mergeCell ref="BP184:BT188"/>
    <mergeCell ref="CP184:CT188"/>
    <mergeCell ref="A191:F191"/>
    <mergeCell ref="H191:M191"/>
    <mergeCell ref="O191:T191"/>
    <mergeCell ref="Y181:AF181"/>
    <mergeCell ref="AH181:AO181"/>
    <mergeCell ref="AX181:BE181"/>
    <mergeCell ref="BG181:BN181"/>
    <mergeCell ref="BX181:CE181"/>
    <mergeCell ref="CG181:CN181"/>
    <mergeCell ref="A163:T167"/>
    <mergeCell ref="CX167:DI168"/>
    <mergeCell ref="CX175:DF176"/>
    <mergeCell ref="DI175:DP176"/>
    <mergeCell ref="Y180:AO180"/>
    <mergeCell ref="AX180:BN180"/>
    <mergeCell ref="BX180:CN180"/>
    <mergeCell ref="AC147:AF152"/>
    <mergeCell ref="AL147:AO152"/>
    <mergeCell ref="BB147:BE152"/>
    <mergeCell ref="BK147:BN152"/>
    <mergeCell ref="CB147:CE152"/>
    <mergeCell ref="CK147:CN152"/>
    <mergeCell ref="CG136:CN136"/>
    <mergeCell ref="AQ138:AU142"/>
    <mergeCell ref="BP138:BT142"/>
    <mergeCell ref="CP138:CT142"/>
    <mergeCell ref="A140:F140"/>
    <mergeCell ref="H140:M140"/>
    <mergeCell ref="O140:T140"/>
    <mergeCell ref="DQ131:DT131"/>
    <mergeCell ref="DV131:DY131"/>
    <mergeCell ref="Y135:AO135"/>
    <mergeCell ref="AX135:BN135"/>
    <mergeCell ref="BX135:CN135"/>
    <mergeCell ref="Y136:AF136"/>
    <mergeCell ref="AH136:AO136"/>
    <mergeCell ref="AX136:BE136"/>
    <mergeCell ref="BG136:BN136"/>
    <mergeCell ref="BX136:CE136"/>
    <mergeCell ref="A112:T116"/>
    <mergeCell ref="CX128:DO128"/>
    <mergeCell ref="CX129:DO129"/>
    <mergeCell ref="DB131:DE131"/>
    <mergeCell ref="DG131:DJ131"/>
    <mergeCell ref="DL131:DO131"/>
    <mergeCell ref="AC102:AF107"/>
    <mergeCell ref="AL102:AO107"/>
    <mergeCell ref="BB102:BE107"/>
    <mergeCell ref="BK102:BN107"/>
    <mergeCell ref="CB102:CE107"/>
    <mergeCell ref="CK102:CN107"/>
    <mergeCell ref="CX88:DT88"/>
    <mergeCell ref="FG88:GD89"/>
    <mergeCell ref="Y90:AO90"/>
    <mergeCell ref="AX90:BN90"/>
    <mergeCell ref="BX90:CN90"/>
    <mergeCell ref="DA90:DE90"/>
    <mergeCell ref="DH90:DK90"/>
    <mergeCell ref="DN90:DT90"/>
    <mergeCell ref="A93:F93"/>
    <mergeCell ref="H93:M93"/>
    <mergeCell ref="O93:T93"/>
    <mergeCell ref="AQ93:AU97"/>
    <mergeCell ref="BP93:BT97"/>
    <mergeCell ref="CP93:CT97"/>
    <mergeCell ref="Y91:AF91"/>
    <mergeCell ref="AH91:AO91"/>
    <mergeCell ref="AX91:BE91"/>
    <mergeCell ref="BG91:BN91"/>
    <mergeCell ref="BX91:CE91"/>
    <mergeCell ref="CG91:CN91"/>
    <mergeCell ref="GU61:GV61"/>
    <mergeCell ref="GU62:GV62"/>
    <mergeCell ref="GU63:GV63"/>
    <mergeCell ref="GU64:GV64"/>
    <mergeCell ref="A65:T69"/>
    <mergeCell ref="Y65:AF65"/>
    <mergeCell ref="AH65:AO65"/>
    <mergeCell ref="AX65:BE65"/>
    <mergeCell ref="BG65:BN65"/>
    <mergeCell ref="BX65:CE65"/>
    <mergeCell ref="CG65:CN65"/>
    <mergeCell ref="FG65:GD65"/>
    <mergeCell ref="GU56:GV56"/>
    <mergeCell ref="GU57:GV57"/>
    <mergeCell ref="GU58:GV58"/>
    <mergeCell ref="GU59:GV59"/>
    <mergeCell ref="GU60:GV60"/>
    <mergeCell ref="GU49:GV50"/>
    <mergeCell ref="GW49:GW50"/>
    <mergeCell ref="GU51:GV51"/>
    <mergeCell ref="GU52:GV52"/>
    <mergeCell ref="GU53:GV53"/>
    <mergeCell ref="GU54:GV54"/>
    <mergeCell ref="GH47:GK48"/>
    <mergeCell ref="GM47:GQ48"/>
    <mergeCell ref="GS47:GW48"/>
    <mergeCell ref="AQ49:AU53"/>
    <mergeCell ref="BP49:BT53"/>
    <mergeCell ref="CP49:CT53"/>
    <mergeCell ref="GS49:GS50"/>
    <mergeCell ref="GT49:GT50"/>
    <mergeCell ref="GU55:GV55"/>
    <mergeCell ref="Y45:AO45"/>
    <mergeCell ref="AX45:BN45"/>
    <mergeCell ref="BX45:CN45"/>
    <mergeCell ref="A46:F46"/>
    <mergeCell ref="H46:M46"/>
    <mergeCell ref="O46:T46"/>
    <mergeCell ref="Y46:AF46"/>
    <mergeCell ref="AH46:AO46"/>
    <mergeCell ref="AX46:BE46"/>
    <mergeCell ref="BG46:BN46"/>
    <mergeCell ref="BX46:CE46"/>
    <mergeCell ref="CG46:CN46"/>
    <mergeCell ref="CG21:CN21"/>
    <mergeCell ref="LI8:LI9"/>
    <mergeCell ref="LJ8:LJ9"/>
    <mergeCell ref="FG21:GD21"/>
    <mergeCell ref="CX44:CX45"/>
    <mergeCell ref="CY44:CY45"/>
    <mergeCell ref="CZ44:CZ45"/>
    <mergeCell ref="DA44:DA45"/>
    <mergeCell ref="DB44:DF44"/>
    <mergeCell ref="DH44:DL44"/>
    <mergeCell ref="DN44:DR44"/>
    <mergeCell ref="DS44:DW44"/>
    <mergeCell ref="FG44:GD44"/>
    <mergeCell ref="LK8:LK9"/>
    <mergeCell ref="IC15:IK15"/>
    <mergeCell ref="ES16:EZ17"/>
    <mergeCell ref="A18:T22"/>
    <mergeCell ref="EC18:EF18"/>
    <mergeCell ref="EG18:EJ18"/>
    <mergeCell ref="EK18:EM18"/>
    <mergeCell ref="EN18:EP18"/>
    <mergeCell ref="DN3:DR3"/>
    <mergeCell ref="DS3:DW3"/>
    <mergeCell ref="KZ6:LK7"/>
    <mergeCell ref="KZ8:KZ9"/>
    <mergeCell ref="LA8:LA9"/>
    <mergeCell ref="LB8:LB9"/>
    <mergeCell ref="LC8:LC9"/>
    <mergeCell ref="LD8:LD9"/>
    <mergeCell ref="LG8:LG9"/>
    <mergeCell ref="LH8:LH9"/>
    <mergeCell ref="ES19:EY20"/>
    <mergeCell ref="Y21:AF21"/>
    <mergeCell ref="AH21:AO21"/>
    <mergeCell ref="AX21:BE21"/>
    <mergeCell ref="BG21:BN21"/>
    <mergeCell ref="BX21:CE21"/>
    <mergeCell ref="LH1:LL1"/>
    <mergeCell ref="Y2:AF2"/>
    <mergeCell ref="AH2:AO2"/>
    <mergeCell ref="AX2:BE2"/>
    <mergeCell ref="BG2:BN2"/>
    <mergeCell ref="BX2:CE2"/>
    <mergeCell ref="CG2:CN2"/>
    <mergeCell ref="CX2:DW2"/>
    <mergeCell ref="AQ3:AU7"/>
    <mergeCell ref="BP3:BT7"/>
    <mergeCell ref="CP3:CT7"/>
    <mergeCell ref="CX3:CX4"/>
    <mergeCell ref="CY3:CY4"/>
    <mergeCell ref="CZ3:CZ4"/>
    <mergeCell ref="DA3:DA4"/>
    <mergeCell ref="DB3:DF3"/>
    <mergeCell ref="DH3:DL3"/>
    <mergeCell ref="A1:F1"/>
    <mergeCell ref="H1:M1"/>
    <mergeCell ref="O1:T1"/>
    <mergeCell ref="Y1:AO1"/>
    <mergeCell ref="AX1:BN1"/>
    <mergeCell ref="BX1:CN1"/>
    <mergeCell ref="FG1:GD1"/>
    <mergeCell ref="IC1:IK1"/>
    <mergeCell ref="KZ1:LE1"/>
  </mergeCells>
  <conditionalFormatting sqref="AE4:AE19 AN4:AN19">
    <cfRule type="expression" dxfId="41" priority="35">
      <formula>AE4&lt;TODAY()-30</formula>
    </cfRule>
  </conditionalFormatting>
  <conditionalFormatting sqref="AE23:AE38">
    <cfRule type="expression" dxfId="40" priority="34">
      <formula>AE23&lt;TODAY()-30</formula>
    </cfRule>
  </conditionalFormatting>
  <conditionalFormatting sqref="AE48:AE63 AN48:AN63">
    <cfRule type="expression" dxfId="39" priority="32">
      <formula>AE48&lt;TODAY()-30</formula>
    </cfRule>
  </conditionalFormatting>
  <conditionalFormatting sqref="AE67:AE82">
    <cfRule type="expression" dxfId="38" priority="31">
      <formula>AE67&lt;TODAY()-30</formula>
    </cfRule>
  </conditionalFormatting>
  <conditionalFormatting sqref="AE92:AE101 AN92:AN101">
    <cfRule type="expression" dxfId="37" priority="29">
      <formula>AE92&lt;TODAY()-30</formula>
    </cfRule>
  </conditionalFormatting>
  <conditionalFormatting sqref="AE137:AE146 AN137:AN146">
    <cfRule type="expression" dxfId="36" priority="28">
      <formula>AE137&lt;TODAY()-30</formula>
    </cfRule>
  </conditionalFormatting>
  <conditionalFormatting sqref="AE182:AE191">
    <cfRule type="expression" dxfId="35" priority="27">
      <formula>AE182&lt;TODAY()-30</formula>
    </cfRule>
  </conditionalFormatting>
  <conditionalFormatting sqref="AN23:AN38">
    <cfRule type="expression" dxfId="34" priority="33">
      <formula>AN23&lt;TODAY()-30</formula>
    </cfRule>
  </conditionalFormatting>
  <conditionalFormatting sqref="AN67:AN82">
    <cfRule type="expression" dxfId="33" priority="30">
      <formula>AN67&lt;TODAY()-30</formula>
    </cfRule>
  </conditionalFormatting>
  <conditionalFormatting sqref="AN182:AN196">
    <cfRule type="expression" dxfId="32" priority="26">
      <formula>AN182&lt;TODAY()-30</formula>
    </cfRule>
  </conditionalFormatting>
  <conditionalFormatting sqref="BD4:BD19 BM4:BM19">
    <cfRule type="expression" dxfId="31" priority="24">
      <formula>BD4&lt;TODAY()-30</formula>
    </cfRule>
  </conditionalFormatting>
  <conditionalFormatting sqref="BD23:BD38">
    <cfRule type="expression" dxfId="30" priority="23">
      <formula>BD23&lt;TODAY()-30</formula>
    </cfRule>
  </conditionalFormatting>
  <conditionalFormatting sqref="BD48:BD63 BM48:BM63">
    <cfRule type="expression" dxfId="29" priority="21">
      <formula>BD48&lt;TODAY()-30</formula>
    </cfRule>
  </conditionalFormatting>
  <conditionalFormatting sqref="BD67:BD82">
    <cfRule type="expression" dxfId="28" priority="20">
      <formula>BD67&lt;TODAY()-30</formula>
    </cfRule>
  </conditionalFormatting>
  <conditionalFormatting sqref="BD92:BD101 BM92:BM101">
    <cfRule type="expression" dxfId="27" priority="18">
      <formula>BD92&lt;TODAY()-30</formula>
    </cfRule>
  </conditionalFormatting>
  <conditionalFormatting sqref="BD137:BD146 BM137:BM146">
    <cfRule type="expression" dxfId="26" priority="25">
      <formula>BD137&lt;TODAY()-30</formula>
    </cfRule>
  </conditionalFormatting>
  <conditionalFormatting sqref="BD182:BD191">
    <cfRule type="expression" dxfId="25" priority="17">
      <formula>BD182&lt;TODAY()-30</formula>
    </cfRule>
  </conditionalFormatting>
  <conditionalFormatting sqref="BM23:BM38">
    <cfRule type="expression" dxfId="24" priority="22">
      <formula>BM23&lt;TODAY()-30</formula>
    </cfRule>
  </conditionalFormatting>
  <conditionalFormatting sqref="BM67:BM82">
    <cfRule type="expression" dxfId="23" priority="19">
      <formula>BM67&lt;TODAY()-30</formula>
    </cfRule>
  </conditionalFormatting>
  <conditionalFormatting sqref="BM182:BM191">
    <cfRule type="expression" dxfId="22" priority="16">
      <formula>BM182&lt;TODAY()-30</formula>
    </cfRule>
  </conditionalFormatting>
  <conditionalFormatting sqref="BM201:BM206">
    <cfRule type="expression" dxfId="21" priority="15">
      <formula>BM201&lt;TODAY()-30</formula>
    </cfRule>
  </conditionalFormatting>
  <conditionalFormatting sqref="BM208:BM213">
    <cfRule type="expression" dxfId="20" priority="2">
      <formula>BM208&lt;TODAY()-30</formula>
    </cfRule>
  </conditionalFormatting>
  <conditionalFormatting sqref="CD4:CD19 CM4:CM19">
    <cfRule type="expression" dxfId="19" priority="13">
      <formula>CD4&lt;TODAY()-30</formula>
    </cfRule>
  </conditionalFormatting>
  <conditionalFormatting sqref="CD23:CD38">
    <cfRule type="expression" dxfId="18" priority="12">
      <formula>CD23&lt;TODAY()-30</formula>
    </cfRule>
  </conditionalFormatting>
  <conditionalFormatting sqref="CD48:CD63 CM48:CM63">
    <cfRule type="expression" dxfId="17" priority="10">
      <formula>CD48&lt;TODAY()-30</formula>
    </cfRule>
  </conditionalFormatting>
  <conditionalFormatting sqref="CD67:CD82">
    <cfRule type="expression" dxfId="16" priority="9">
      <formula>CD67&lt;TODAY()-30</formula>
    </cfRule>
  </conditionalFormatting>
  <conditionalFormatting sqref="CD92:CD101 CM92:CM101">
    <cfRule type="expression" dxfId="15" priority="11">
      <formula>CD92&lt;TODAY()-30</formula>
    </cfRule>
  </conditionalFormatting>
  <conditionalFormatting sqref="CD137:CD146 CM137:CM146">
    <cfRule type="expression" dxfId="14" priority="7">
      <formula>CD137&lt;TODAY()-30</formula>
    </cfRule>
  </conditionalFormatting>
  <conditionalFormatting sqref="CD182:CD191">
    <cfRule type="expression" dxfId="13" priority="6">
      <formula>CD182&lt;TODAY()-30</formula>
    </cfRule>
  </conditionalFormatting>
  <conditionalFormatting sqref="CD199:CD216">
    <cfRule type="expression" dxfId="12" priority="4">
      <formula>CD199&lt;TODAY()-30</formula>
    </cfRule>
  </conditionalFormatting>
  <conditionalFormatting sqref="CM23:CM38">
    <cfRule type="expression" dxfId="11" priority="1">
      <formula>CM23&lt;TODAY()-30</formula>
    </cfRule>
  </conditionalFormatting>
  <conditionalFormatting sqref="CM67:CM82">
    <cfRule type="expression" dxfId="10" priority="8">
      <formula>CM67&lt;TODAY()-30</formula>
    </cfRule>
  </conditionalFormatting>
  <conditionalFormatting sqref="CM182:CM187">
    <cfRule type="expression" dxfId="9" priority="5">
      <formula>CM182&lt;TODAY()-30</formula>
    </cfRule>
  </conditionalFormatting>
  <conditionalFormatting sqref="CM200:CM205">
    <cfRule type="expression" dxfId="8" priority="14">
      <formula>CM200&lt;TODAY()-30</formula>
    </cfRule>
  </conditionalFormatting>
  <conditionalFormatting sqref="CM208:CM210">
    <cfRule type="expression" dxfId="7" priority="3">
      <formula>CM208&lt;TODAY()-30</formula>
    </cfRule>
  </conditionalFormatting>
  <dataValidations count="9">
    <dataValidation type="list" allowBlank="1" showInputMessage="1" showErrorMessage="1" sqref="LI3" xr:uid="{F6C6B780-4E27-4526-AD6B-01D8B6CE17F8}">
      <formula1>"Round, Straight"</formula1>
    </dataValidation>
    <dataValidation type="list" allowBlank="1" showInputMessage="1" showErrorMessage="1" sqref="GN50:GN63 GT51:GT64" xr:uid="{F8FC684B-779E-4760-8C43-751EA7B89103}">
      <formula1>$GL$66:$GL$68</formula1>
    </dataValidation>
    <dataValidation type="list" allowBlank="1" showInputMessage="1" showErrorMessage="1" sqref="FI3:FI16 FI91:FI104 FI46:FI59 FI23:FI36 FI67:FI80" xr:uid="{22372749-563D-438A-8B82-0C576485CB75}">
      <formula1>$GD$3:$GD$10</formula1>
    </dataValidation>
    <dataValidation type="list" allowBlank="1" showInputMessage="1" showErrorMessage="1" sqref="ET22:ET35" xr:uid="{D5613F87-5D2C-42AB-831C-A517A0A92525}">
      <formula1>"0, 1, 2"</formula1>
    </dataValidation>
    <dataValidation type="list" allowBlank="1" showInputMessage="1" showErrorMessage="1" sqref="DA178:DA182" xr:uid="{C7EAB4C0-3711-431E-BB48-59F87C9D99A7}">
      <formula1>"Side Mount, Undercut"</formula1>
    </dataValidation>
    <dataValidation type="list" allowBlank="1" showInputMessage="1" showErrorMessage="1" sqref="DA170:DC173 DB178:DB182 DL178:DL185 FJ91:FN104 FJ23:FN36 FJ46:FN59 FJ67:FN80 FJ3:FN16 LA3 LA10:LA20" xr:uid="{7041D353-7E2A-4448-89D2-200C942CB15B}">
      <formula1>"Yes, No"</formula1>
    </dataValidation>
    <dataValidation type="list" allowBlank="1" showInputMessage="1" showErrorMessage="1" sqref="I308" xr:uid="{B391E84C-FBD2-461F-AC91-EF9F50F1E37A}">
      <formula1>$E$320:$E$329</formula1>
    </dataValidation>
    <dataValidation type="list" allowBlank="1" showInputMessage="1" showErrorMessage="1" sqref="H308" xr:uid="{A78778F5-F74A-47F1-894D-07FD72C3DBEA}">
      <formula1>$E$313:$E$316</formula1>
    </dataValidation>
    <dataValidation type="list" allowBlank="1" showInputMessage="1" showErrorMessage="1" sqref="EC4:EC17" xr:uid="{B411F34E-E774-4BA9-A1AC-245C5833E33C}">
      <formula1>#REF!</formula1>
    </dataValidation>
  </dataValidations>
  <hyperlinks>
    <hyperlink ref="A18:T22" location="ESTIMATE!A1" display="HOME" xr:uid="{4F1DE66C-3782-4927-9A7D-21A44EB9AFBA}"/>
    <hyperlink ref="A65:T69" location="ESTIMATE!A1" display="HOME" xr:uid="{7452F6A4-EF61-4948-8699-EE10E95D88FD}"/>
    <hyperlink ref="A112:T116" location="ESTIMATE!A1" display="HOME" xr:uid="{D3533AEE-8548-4EAD-995B-C335DBAF93B1}"/>
    <hyperlink ref="A163:T167" location="ESTIMATE!A1" display="HOME" xr:uid="{4CD6FF75-B6B9-4B5E-B9D0-DAC729EBF56D}"/>
    <hyperlink ref="A206:T210" location="ESTIMATE!A1" display="HOME" xr:uid="{6E447537-4BC1-4F4B-BA98-34AADC56276E}"/>
    <hyperlink ref="AQ3:AU7" location="ESTIMATE!A1" display="HOME" xr:uid="{27E81B21-6CFF-4980-848D-099CC6F40E60}"/>
    <hyperlink ref="AQ49:AU53" location="ESTIMATE!A1" display="HOME" xr:uid="{BDE7358E-A938-4646-AFE9-BAFBC85B524C}"/>
    <hyperlink ref="AQ93:AU97" location="ESTIMATE!A1" display="HOME" xr:uid="{CB9F173E-34A2-42CC-B2F0-23EEDE88B737}"/>
    <hyperlink ref="AQ138:AU142" location="ESTIMATE!A1" display="HOME" xr:uid="{7D25139C-7FFE-421B-8392-CA7CA2280F71}"/>
    <hyperlink ref="AQ184:AU188" location="ESTIMATE!A1" display="HOME" xr:uid="{2975B72F-DE53-4C67-BC3A-0589AF77CA37}"/>
    <hyperlink ref="BP3:BT7" location="ESTIMATE!A1" display="HOME" xr:uid="{0A5D3F80-C21D-451A-9E52-704975026BEC}"/>
    <hyperlink ref="BP49:BT53" location="ESTIMATE!A1" display="HOME" xr:uid="{44857A68-15CB-4C86-A06F-A9677A25ED07}"/>
    <hyperlink ref="BP93:BT97" location="ESTIMATE!A1" display="HOME" xr:uid="{D3F671E2-F790-4CEA-B49F-A0DC6AA098E4}"/>
    <hyperlink ref="BP138:BT142" location="ESTIMATE!A1" display="HOME" xr:uid="{E7685BE6-804B-4E01-A486-A69D3FCAAA26}"/>
    <hyperlink ref="BP184:BT188" location="ESTIMATE!A1" display="HOME" xr:uid="{AD171E86-C41E-4053-A4C5-E2A30475DEF5}"/>
    <hyperlink ref="CP3:CT7" location="ESTIMATE!A1" display="HOME" xr:uid="{65276932-8A40-4178-BB83-337A09EAFE33}"/>
    <hyperlink ref="CP49:CT53" location="ESTIMATE!A1" display="HOME" xr:uid="{122E1765-FDA7-407F-9136-131AB78F74CF}"/>
    <hyperlink ref="CP93:CT97" location="ESTIMATE!A1" display="HOME" xr:uid="{9276A8CE-F242-422F-87DD-9B21F827D7D8}"/>
    <hyperlink ref="CP138:CT142" location="ESTIMATE!A1" display="HOME" xr:uid="{295A5C4D-5832-4422-ADE6-5E603EB4AC69}"/>
    <hyperlink ref="CP184:CT188" location="ESTIMATE!A1" display="HOME" xr:uid="{48A2A75B-0BA7-4A7C-B408-4208CC0F77DB}"/>
    <hyperlink ref="B290" location="Notes!BD1:CJ2" display="Notes!BD1:CJ2" xr:uid="{B918E47D-9DAB-43AE-8688-94EDC87C55DA}"/>
    <hyperlink ref="B289" location="Notes!AC1:BB42" display="Notes!AC1:BB42" xr:uid="{9C7EEE6B-F3BC-4B3F-B400-FC134AF310A0}"/>
    <hyperlink ref="H255:L259" location="ESTIMATE!A1" display="HOME" xr:uid="{27736740-2176-4A0A-8A4A-1EE8EFE432DE}"/>
  </hyperlink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8717-36E6-415A-838E-1F22AFD3041C}">
  <dimension ref="A1:Q89"/>
  <sheetViews>
    <sheetView tabSelected="1" topLeftCell="A3" zoomScale="90" zoomScaleNormal="90" workbookViewId="0">
      <selection activeCell="A3" sqref="A1:XFD1048576"/>
    </sheetView>
  </sheetViews>
  <sheetFormatPr defaultRowHeight="15" x14ac:dyDescent="0.25"/>
  <cols>
    <col min="1" max="1" width="31" bestFit="1" customWidth="1"/>
    <col min="2" max="2" width="15.28515625" bestFit="1" customWidth="1"/>
    <col min="3" max="3" width="8.5703125" style="254" bestFit="1" customWidth="1"/>
    <col min="4" max="4" width="10" style="254" bestFit="1" customWidth="1"/>
    <col min="5" max="5" width="10.42578125" bestFit="1" customWidth="1"/>
    <col min="7" max="7" width="38" customWidth="1"/>
    <col min="8" max="8" width="15.28515625" bestFit="1" customWidth="1"/>
    <col min="9" max="9" width="8.5703125" style="254" bestFit="1" customWidth="1"/>
    <col min="10" max="10" width="10" style="254" bestFit="1" customWidth="1"/>
    <col min="11" max="11" width="10.42578125" bestFit="1" customWidth="1"/>
    <col min="13" max="13" width="38" customWidth="1"/>
    <col min="14" max="14" width="15.28515625" bestFit="1" customWidth="1"/>
    <col min="15" max="15" width="8.5703125" style="254" bestFit="1" customWidth="1"/>
    <col min="16" max="16" width="10" style="254" bestFit="1" customWidth="1"/>
    <col min="17" max="17" width="10.42578125" bestFit="1" customWidth="1"/>
  </cols>
  <sheetData>
    <row r="1" spans="1:17" ht="24.95" customHeight="1" x14ac:dyDescent="0.4">
      <c r="A1" s="377" t="s">
        <v>845</v>
      </c>
      <c r="B1" s="377"/>
      <c r="C1" s="377"/>
      <c r="D1" s="377"/>
      <c r="E1" s="378"/>
      <c r="F1" s="16"/>
      <c r="G1" s="327" t="s">
        <v>846</v>
      </c>
      <c r="H1" s="377"/>
      <c r="I1" s="377"/>
      <c r="J1" s="377"/>
      <c r="K1" s="378"/>
      <c r="L1" s="16"/>
      <c r="M1" s="327" t="s">
        <v>847</v>
      </c>
      <c r="N1" s="377"/>
      <c r="O1" s="377"/>
      <c r="P1" s="377"/>
      <c r="Q1" s="378"/>
    </row>
    <row r="2" spans="1:17" ht="15.75" x14ac:dyDescent="0.25">
      <c r="A2" s="247" t="s">
        <v>848</v>
      </c>
      <c r="B2" s="215"/>
      <c r="C2" s="248"/>
      <c r="D2" s="57"/>
      <c r="E2" s="217"/>
      <c r="F2" s="1"/>
      <c r="G2" s="247" t="s">
        <v>848</v>
      </c>
      <c r="H2" s="215"/>
      <c r="I2" s="118"/>
      <c r="J2" s="57"/>
      <c r="K2" s="217"/>
      <c r="L2" s="1"/>
      <c r="M2" s="247" t="s">
        <v>848</v>
      </c>
      <c r="N2" s="215"/>
      <c r="O2" s="118"/>
      <c r="P2" s="57"/>
      <c r="Q2" s="217"/>
    </row>
    <row r="3" spans="1:17" x14ac:dyDescent="0.25">
      <c r="A3" s="229"/>
      <c r="B3" s="215"/>
      <c r="C3" s="248"/>
      <c r="D3" s="57"/>
      <c r="E3" s="217"/>
      <c r="F3" s="1"/>
      <c r="G3" s="229" t="s">
        <v>849</v>
      </c>
      <c r="H3" s="215"/>
      <c r="I3" s="118"/>
      <c r="J3" s="57"/>
      <c r="K3" s="217"/>
      <c r="L3" s="1"/>
      <c r="M3" s="229" t="s">
        <v>849</v>
      </c>
      <c r="N3" s="215"/>
      <c r="O3" s="118"/>
      <c r="P3" s="57"/>
      <c r="Q3" s="217"/>
    </row>
    <row r="4" spans="1:17" x14ac:dyDescent="0.25">
      <c r="A4" s="379" t="s">
        <v>850</v>
      </c>
      <c r="B4" s="380"/>
      <c r="C4" s="380"/>
      <c r="D4" s="380"/>
      <c r="E4" s="381"/>
      <c r="F4" s="1"/>
      <c r="G4" s="255">
        <v>0.1875</v>
      </c>
      <c r="H4" s="12" t="s">
        <v>119</v>
      </c>
      <c r="I4" s="249">
        <v>1.59</v>
      </c>
      <c r="J4" s="57">
        <v>45378</v>
      </c>
      <c r="K4" s="117" t="s">
        <v>851</v>
      </c>
      <c r="L4" s="1"/>
      <c r="M4" s="255">
        <v>0.1875</v>
      </c>
      <c r="N4" s="12" t="s">
        <v>120</v>
      </c>
      <c r="O4" s="249">
        <v>2.39</v>
      </c>
      <c r="P4" s="57">
        <v>45376</v>
      </c>
      <c r="Q4" s="117" t="s">
        <v>851</v>
      </c>
    </row>
    <row r="5" spans="1:17" x14ac:dyDescent="0.25">
      <c r="A5" s="54" t="s">
        <v>841</v>
      </c>
      <c r="B5" s="12" t="s">
        <v>410</v>
      </c>
      <c r="C5" s="249"/>
      <c r="D5" s="57"/>
      <c r="E5" s="117" t="s">
        <v>852</v>
      </c>
      <c r="F5" s="1"/>
      <c r="G5" s="255">
        <v>0.25</v>
      </c>
      <c r="H5" s="12" t="s">
        <v>119</v>
      </c>
      <c r="I5" s="249">
        <v>1.59</v>
      </c>
      <c r="J5" s="57">
        <v>45378</v>
      </c>
      <c r="K5" s="117" t="s">
        <v>851</v>
      </c>
      <c r="L5" s="1"/>
      <c r="M5" s="255">
        <v>0.25</v>
      </c>
      <c r="N5" s="12" t="s">
        <v>120</v>
      </c>
      <c r="O5" s="249">
        <v>2.37</v>
      </c>
      <c r="P5" s="57">
        <v>45376</v>
      </c>
      <c r="Q5" s="117" t="s">
        <v>851</v>
      </c>
    </row>
    <row r="6" spans="1:17" x14ac:dyDescent="0.25">
      <c r="A6" s="54" t="s">
        <v>313</v>
      </c>
      <c r="B6" s="12" t="s">
        <v>410</v>
      </c>
      <c r="C6" s="249"/>
      <c r="D6" s="57"/>
      <c r="E6" s="117" t="s">
        <v>852</v>
      </c>
      <c r="F6" s="1"/>
      <c r="G6" s="255">
        <v>0.3125</v>
      </c>
      <c r="H6" s="54" t="s">
        <v>119</v>
      </c>
      <c r="I6" s="249">
        <v>1.69</v>
      </c>
      <c r="J6" s="57">
        <v>45378</v>
      </c>
      <c r="K6" s="117" t="s">
        <v>851</v>
      </c>
      <c r="L6" s="1"/>
      <c r="M6" s="255">
        <v>0.3125</v>
      </c>
      <c r="N6" s="12" t="s">
        <v>120</v>
      </c>
      <c r="O6" s="249">
        <v>2.48</v>
      </c>
      <c r="P6" s="57">
        <v>45376</v>
      </c>
      <c r="Q6" s="117" t="s">
        <v>851</v>
      </c>
    </row>
    <row r="7" spans="1:17" x14ac:dyDescent="0.25">
      <c r="A7" s="54" t="s">
        <v>314</v>
      </c>
      <c r="B7" s="12" t="s">
        <v>410</v>
      </c>
      <c r="C7" s="249">
        <v>0.78</v>
      </c>
      <c r="D7" s="57">
        <v>45376</v>
      </c>
      <c r="E7" s="117" t="s">
        <v>852</v>
      </c>
      <c r="F7" s="1"/>
      <c r="G7" s="255">
        <v>0.375</v>
      </c>
      <c r="H7" s="12" t="s">
        <v>119</v>
      </c>
      <c r="I7" s="249">
        <v>1.74</v>
      </c>
      <c r="J7" s="57">
        <v>45378</v>
      </c>
      <c r="K7" s="117" t="s">
        <v>851</v>
      </c>
      <c r="L7" s="1"/>
      <c r="M7" s="255">
        <v>0.375</v>
      </c>
      <c r="N7" s="12" t="s">
        <v>120</v>
      </c>
      <c r="O7" s="249">
        <v>2.48</v>
      </c>
      <c r="P7" s="57">
        <v>45376</v>
      </c>
      <c r="Q7" s="117" t="s">
        <v>851</v>
      </c>
    </row>
    <row r="8" spans="1:17" x14ac:dyDescent="0.25">
      <c r="A8" s="54" t="s">
        <v>315</v>
      </c>
      <c r="B8" s="12" t="s">
        <v>410</v>
      </c>
      <c r="C8" s="249">
        <v>0.78</v>
      </c>
      <c r="D8" s="57">
        <v>45376</v>
      </c>
      <c r="E8" s="117" t="s">
        <v>852</v>
      </c>
      <c r="F8" s="1"/>
      <c r="G8" s="255">
        <v>0.5</v>
      </c>
      <c r="H8" s="12" t="s">
        <v>119</v>
      </c>
      <c r="I8" s="249">
        <v>1.99</v>
      </c>
      <c r="J8" s="57">
        <v>45378</v>
      </c>
      <c r="K8" s="117" t="s">
        <v>851</v>
      </c>
      <c r="L8" s="1"/>
      <c r="M8" s="255">
        <v>0.5</v>
      </c>
      <c r="N8" s="12" t="s">
        <v>120</v>
      </c>
      <c r="O8" s="249">
        <v>2.71</v>
      </c>
      <c r="P8" s="57">
        <v>45376</v>
      </c>
      <c r="Q8" s="117" t="s">
        <v>851</v>
      </c>
    </row>
    <row r="9" spans="1:17" x14ac:dyDescent="0.25">
      <c r="A9" s="54" t="s">
        <v>483</v>
      </c>
      <c r="B9" s="12" t="s">
        <v>410</v>
      </c>
      <c r="C9" s="249">
        <v>0.78</v>
      </c>
      <c r="D9" s="57">
        <v>45376</v>
      </c>
      <c r="E9" s="117" t="s">
        <v>852</v>
      </c>
      <c r="F9" s="1"/>
      <c r="G9" s="255">
        <v>0.625</v>
      </c>
      <c r="H9" s="12" t="s">
        <v>119</v>
      </c>
      <c r="I9" s="249">
        <v>2.09</v>
      </c>
      <c r="J9" s="57">
        <v>45378</v>
      </c>
      <c r="K9" s="117" t="s">
        <v>851</v>
      </c>
      <c r="L9" s="1"/>
      <c r="M9" s="255">
        <v>0.625</v>
      </c>
      <c r="N9" s="12" t="s">
        <v>120</v>
      </c>
      <c r="O9" s="249">
        <v>2.99</v>
      </c>
      <c r="P9" s="57">
        <v>45376</v>
      </c>
      <c r="Q9" s="75" t="s">
        <v>851</v>
      </c>
    </row>
    <row r="10" spans="1:17" x14ac:dyDescent="0.25">
      <c r="A10" s="54" t="s">
        <v>316</v>
      </c>
      <c r="B10" s="12" t="s">
        <v>410</v>
      </c>
      <c r="C10" s="249"/>
      <c r="D10" s="57"/>
      <c r="E10" s="117" t="s">
        <v>852</v>
      </c>
      <c r="F10" s="1"/>
      <c r="G10" s="256">
        <v>0.75</v>
      </c>
      <c r="H10" s="12" t="s">
        <v>119</v>
      </c>
      <c r="I10" s="249">
        <v>2.09</v>
      </c>
      <c r="J10" s="57">
        <v>45373</v>
      </c>
      <c r="K10" s="117" t="s">
        <v>851</v>
      </c>
      <c r="L10" s="1"/>
      <c r="M10" s="256">
        <v>0.75</v>
      </c>
      <c r="N10" s="12" t="s">
        <v>120</v>
      </c>
      <c r="O10" s="249"/>
      <c r="P10" s="57"/>
      <c r="Q10" s="75" t="s">
        <v>851</v>
      </c>
    </row>
    <row r="11" spans="1:17" x14ac:dyDescent="0.25">
      <c r="A11" s="54" t="s">
        <v>839</v>
      </c>
      <c r="B11" s="12" t="s">
        <v>410</v>
      </c>
      <c r="C11" s="249"/>
      <c r="D11" s="57"/>
      <c r="E11" s="117" t="s">
        <v>852</v>
      </c>
      <c r="F11" s="1"/>
      <c r="G11" s="257">
        <v>1</v>
      </c>
      <c r="H11" s="12" t="s">
        <v>119</v>
      </c>
      <c r="I11" s="249">
        <v>2.09</v>
      </c>
      <c r="J11" s="57">
        <v>45376</v>
      </c>
      <c r="K11" s="117" t="s">
        <v>851</v>
      </c>
      <c r="L11" s="1"/>
      <c r="M11" s="257">
        <v>1</v>
      </c>
      <c r="N11" s="12" t="s">
        <v>120</v>
      </c>
      <c r="O11" s="249">
        <v>2.85</v>
      </c>
      <c r="P11" s="57">
        <v>45376</v>
      </c>
      <c r="Q11" s="75" t="s">
        <v>851</v>
      </c>
    </row>
    <row r="12" spans="1:17" x14ac:dyDescent="0.25">
      <c r="A12" s="54" t="s">
        <v>92</v>
      </c>
      <c r="B12" s="12" t="s">
        <v>410</v>
      </c>
      <c r="C12" s="249"/>
      <c r="D12" s="57"/>
      <c r="E12" s="117" t="s">
        <v>852</v>
      </c>
      <c r="F12" s="1"/>
      <c r="G12" s="229" t="s">
        <v>853</v>
      </c>
      <c r="H12" s="215"/>
      <c r="I12" s="249"/>
      <c r="J12" s="57"/>
      <c r="K12" s="217"/>
      <c r="L12" s="1"/>
      <c r="M12" s="229" t="s">
        <v>853</v>
      </c>
      <c r="N12" s="215"/>
      <c r="O12" s="249"/>
      <c r="P12" s="57"/>
      <c r="Q12" s="217"/>
    </row>
    <row r="13" spans="1:17" x14ac:dyDescent="0.25">
      <c r="A13" s="58"/>
      <c r="B13" s="12"/>
      <c r="C13" s="248"/>
      <c r="D13" s="57"/>
      <c r="E13" s="14"/>
      <c r="F13" s="1"/>
      <c r="G13" s="54" t="s">
        <v>840</v>
      </c>
      <c r="H13" s="12" t="s">
        <v>119</v>
      </c>
      <c r="I13" s="249"/>
      <c r="J13" s="57"/>
      <c r="K13" s="14" t="s">
        <v>851</v>
      </c>
      <c r="L13" s="1"/>
      <c r="M13" s="54" t="s">
        <v>840</v>
      </c>
      <c r="N13" s="12" t="s">
        <v>120</v>
      </c>
      <c r="O13" s="249"/>
      <c r="P13" s="57"/>
      <c r="Q13" s="117" t="s">
        <v>851</v>
      </c>
    </row>
    <row r="14" spans="1:17" x14ac:dyDescent="0.25">
      <c r="A14" s="58"/>
      <c r="B14" s="12"/>
      <c r="C14" s="248"/>
      <c r="D14" s="57"/>
      <c r="E14" s="14"/>
      <c r="F14" s="1"/>
      <c r="G14" s="54" t="s">
        <v>841</v>
      </c>
      <c r="H14" s="12" t="s">
        <v>119</v>
      </c>
      <c r="I14" s="249">
        <v>1.89</v>
      </c>
      <c r="J14" s="57">
        <v>45376</v>
      </c>
      <c r="K14" s="14" t="s">
        <v>851</v>
      </c>
      <c r="L14" s="1"/>
      <c r="M14" s="54" t="s">
        <v>841</v>
      </c>
      <c r="N14" s="12" t="s">
        <v>120</v>
      </c>
      <c r="O14" s="249"/>
      <c r="P14" s="57"/>
      <c r="Q14" s="117" t="s">
        <v>851</v>
      </c>
    </row>
    <row r="15" spans="1:17" x14ac:dyDescent="0.25">
      <c r="A15" s="379" t="s">
        <v>854</v>
      </c>
      <c r="B15" s="380"/>
      <c r="C15" s="380"/>
      <c r="D15" s="380"/>
      <c r="E15" s="381"/>
      <c r="F15" s="1"/>
      <c r="G15" s="54" t="s">
        <v>313</v>
      </c>
      <c r="H15" s="12" t="s">
        <v>119</v>
      </c>
      <c r="I15" s="249"/>
      <c r="J15" s="57"/>
      <c r="K15" s="14"/>
      <c r="L15" s="1"/>
      <c r="M15" s="54" t="s">
        <v>313</v>
      </c>
      <c r="N15" s="12" t="s">
        <v>120</v>
      </c>
      <c r="O15" s="249"/>
      <c r="P15" s="57"/>
      <c r="Q15" s="117" t="s">
        <v>851</v>
      </c>
    </row>
    <row r="16" spans="1:17" x14ac:dyDescent="0.25">
      <c r="A16" s="54" t="s">
        <v>841</v>
      </c>
      <c r="B16" s="12" t="s">
        <v>410</v>
      </c>
      <c r="C16" s="249"/>
      <c r="D16" s="57"/>
      <c r="E16" s="117" t="s">
        <v>852</v>
      </c>
      <c r="F16" s="1"/>
      <c r="G16" s="54" t="s">
        <v>314</v>
      </c>
      <c r="H16" s="12" t="s">
        <v>119</v>
      </c>
      <c r="I16" s="249"/>
      <c r="J16" s="57"/>
      <c r="K16" s="14" t="s">
        <v>851</v>
      </c>
      <c r="L16" s="1"/>
      <c r="M16" s="54" t="s">
        <v>314</v>
      </c>
      <c r="N16" s="12" t="s">
        <v>120</v>
      </c>
      <c r="O16" s="249"/>
      <c r="P16" s="57"/>
      <c r="Q16" s="117" t="s">
        <v>851</v>
      </c>
    </row>
    <row r="17" spans="1:17" x14ac:dyDescent="0.25">
      <c r="A17" s="54" t="s">
        <v>313</v>
      </c>
      <c r="B17" s="12" t="s">
        <v>410</v>
      </c>
      <c r="C17" s="249"/>
      <c r="D17" s="57"/>
      <c r="E17" s="117" t="s">
        <v>852</v>
      </c>
      <c r="F17" s="1"/>
      <c r="G17" s="54" t="s">
        <v>315</v>
      </c>
      <c r="H17" s="12" t="s">
        <v>119</v>
      </c>
      <c r="I17" s="249"/>
      <c r="J17" s="57"/>
      <c r="K17" s="14" t="s">
        <v>851</v>
      </c>
      <c r="L17" s="1"/>
      <c r="M17" s="54" t="s">
        <v>315</v>
      </c>
      <c r="N17" s="12" t="s">
        <v>120</v>
      </c>
      <c r="O17" s="249"/>
      <c r="P17" s="57"/>
      <c r="Q17" s="117" t="s">
        <v>851</v>
      </c>
    </row>
    <row r="18" spans="1:17" ht="19.899999999999999" customHeight="1" x14ac:dyDescent="0.4">
      <c r="A18" s="54" t="s">
        <v>314</v>
      </c>
      <c r="B18" s="12" t="s">
        <v>410</v>
      </c>
      <c r="C18" s="249"/>
      <c r="D18" s="57"/>
      <c r="E18" s="117" t="s">
        <v>852</v>
      </c>
      <c r="F18" s="1"/>
      <c r="G18" s="377" t="s">
        <v>855</v>
      </c>
      <c r="H18" s="377"/>
      <c r="I18" s="377"/>
      <c r="J18" s="377"/>
      <c r="K18" s="378"/>
      <c r="L18" s="1"/>
      <c r="M18" s="53"/>
      <c r="N18" s="12"/>
      <c r="O18" s="248"/>
      <c r="P18" s="250"/>
      <c r="Q18" s="14"/>
    </row>
    <row r="19" spans="1:17" ht="24" x14ac:dyDescent="0.4">
      <c r="A19" s="54" t="s">
        <v>315</v>
      </c>
      <c r="B19" s="12" t="s">
        <v>410</v>
      </c>
      <c r="C19" s="249"/>
      <c r="D19" s="57"/>
      <c r="E19" s="117" t="s">
        <v>852</v>
      </c>
      <c r="F19" s="1"/>
      <c r="G19" s="53"/>
      <c r="H19" s="54"/>
      <c r="I19" s="248"/>
      <c r="J19" s="251"/>
      <c r="K19" s="252"/>
      <c r="L19" s="1"/>
      <c r="M19" s="377" t="s">
        <v>856</v>
      </c>
      <c r="N19" s="377"/>
      <c r="O19" s="377"/>
      <c r="P19" s="377"/>
      <c r="Q19" s="378"/>
    </row>
    <row r="20" spans="1:17" x14ac:dyDescent="0.25">
      <c r="A20" s="54" t="s">
        <v>483</v>
      </c>
      <c r="B20" s="12" t="s">
        <v>410</v>
      </c>
      <c r="C20" s="249"/>
      <c r="D20" s="57"/>
      <c r="E20" s="117" t="s">
        <v>852</v>
      </c>
      <c r="F20" s="1"/>
      <c r="G20" s="54"/>
      <c r="H20" s="12"/>
      <c r="I20" s="248"/>
      <c r="J20" s="57"/>
      <c r="K20" s="14"/>
      <c r="L20" s="1"/>
      <c r="M20" s="53"/>
      <c r="N20" s="54"/>
      <c r="O20" s="248"/>
      <c r="P20" s="57"/>
      <c r="Q20" s="252"/>
    </row>
    <row r="21" spans="1:17" x14ac:dyDescent="0.25">
      <c r="A21" s="54" t="s">
        <v>316</v>
      </c>
      <c r="B21" s="12" t="s">
        <v>410</v>
      </c>
      <c r="C21" s="249"/>
      <c r="D21" s="57"/>
      <c r="E21" s="117" t="s">
        <v>852</v>
      </c>
      <c r="F21" s="1"/>
      <c r="G21" s="54" t="s">
        <v>918</v>
      </c>
      <c r="H21" s="12" t="s">
        <v>857</v>
      </c>
      <c r="I21" s="248">
        <v>195</v>
      </c>
      <c r="J21" s="57"/>
      <c r="K21" s="14" t="s">
        <v>851</v>
      </c>
      <c r="L21" s="1"/>
      <c r="M21" s="54" t="s">
        <v>918</v>
      </c>
      <c r="N21" s="12" t="s">
        <v>858</v>
      </c>
      <c r="O21" s="248">
        <v>225</v>
      </c>
      <c r="P21" s="57"/>
      <c r="Q21" s="14" t="s">
        <v>851</v>
      </c>
    </row>
    <row r="22" spans="1:17" x14ac:dyDescent="0.25">
      <c r="A22" s="54" t="s">
        <v>839</v>
      </c>
      <c r="B22" s="12" t="s">
        <v>410</v>
      </c>
      <c r="C22" s="249"/>
      <c r="D22" s="57"/>
      <c r="E22" s="117" t="s">
        <v>852</v>
      </c>
      <c r="F22" s="1"/>
      <c r="G22" s="54" t="s">
        <v>921</v>
      </c>
      <c r="H22" s="12" t="s">
        <v>857</v>
      </c>
      <c r="I22" s="248">
        <v>205</v>
      </c>
      <c r="J22" s="57"/>
      <c r="K22" s="117" t="s">
        <v>851</v>
      </c>
      <c r="L22" s="1"/>
      <c r="M22" s="54" t="s">
        <v>921</v>
      </c>
      <c r="N22" s="12" t="s">
        <v>858</v>
      </c>
      <c r="O22" s="248">
        <v>230</v>
      </c>
      <c r="P22" s="57"/>
      <c r="Q22" s="14" t="s">
        <v>851</v>
      </c>
    </row>
    <row r="23" spans="1:17" x14ac:dyDescent="0.25">
      <c r="A23" s="54" t="s">
        <v>92</v>
      </c>
      <c r="B23" s="12" t="s">
        <v>410</v>
      </c>
      <c r="C23" s="249"/>
      <c r="D23" s="57"/>
      <c r="E23" s="117" t="s">
        <v>852</v>
      </c>
      <c r="F23" s="1"/>
      <c r="G23" s="54" t="s">
        <v>144</v>
      </c>
      <c r="H23" s="12" t="s">
        <v>857</v>
      </c>
      <c r="I23" s="248">
        <v>210</v>
      </c>
      <c r="J23" s="57"/>
      <c r="K23" s="14" t="s">
        <v>851</v>
      </c>
      <c r="L23" s="1"/>
      <c r="M23" s="54" t="s">
        <v>144</v>
      </c>
      <c r="N23" s="12" t="s">
        <v>858</v>
      </c>
      <c r="O23" s="248">
        <v>235</v>
      </c>
      <c r="P23" s="57"/>
      <c r="Q23" s="14" t="s">
        <v>851</v>
      </c>
    </row>
    <row r="24" spans="1:17" x14ac:dyDescent="0.25">
      <c r="A24" s="53"/>
      <c r="B24" s="12"/>
      <c r="C24" s="248"/>
      <c r="D24" s="57"/>
      <c r="E24" s="14"/>
      <c r="F24" s="1"/>
      <c r="G24" s="54" t="s">
        <v>919</v>
      </c>
      <c r="H24" s="12" t="s">
        <v>857</v>
      </c>
      <c r="I24" s="248">
        <v>384</v>
      </c>
      <c r="J24" s="57">
        <v>45376</v>
      </c>
      <c r="K24" s="14" t="s">
        <v>851</v>
      </c>
      <c r="L24" s="1"/>
      <c r="M24" s="54" t="s">
        <v>919</v>
      </c>
      <c r="N24" s="12" t="s">
        <v>858</v>
      </c>
      <c r="O24" s="248">
        <v>240</v>
      </c>
      <c r="P24" s="57"/>
      <c r="Q24" s="14" t="s">
        <v>851</v>
      </c>
    </row>
    <row r="25" spans="1:17" x14ac:dyDescent="0.25">
      <c r="A25" s="53"/>
      <c r="B25" s="12"/>
      <c r="C25" s="248"/>
      <c r="D25" s="57"/>
      <c r="E25" s="14"/>
      <c r="F25" s="1"/>
      <c r="G25" s="54" t="s">
        <v>922</v>
      </c>
      <c r="H25" s="12" t="s">
        <v>857</v>
      </c>
      <c r="I25" s="248">
        <v>325</v>
      </c>
      <c r="J25" s="57"/>
      <c r="K25" s="14" t="s">
        <v>851</v>
      </c>
      <c r="L25" s="1"/>
      <c r="M25" s="54" t="s">
        <v>922</v>
      </c>
      <c r="N25" s="12" t="s">
        <v>858</v>
      </c>
      <c r="O25" s="248">
        <v>260</v>
      </c>
      <c r="P25" s="57"/>
      <c r="Q25" s="14" t="s">
        <v>851</v>
      </c>
    </row>
    <row r="26" spans="1:17" x14ac:dyDescent="0.25">
      <c r="A26" s="53"/>
      <c r="B26" s="12"/>
      <c r="C26" s="248"/>
      <c r="D26" s="57"/>
      <c r="E26" s="14"/>
      <c r="F26" s="1"/>
      <c r="G26" s="54" t="s">
        <v>920</v>
      </c>
      <c r="H26" s="253" t="s">
        <v>857</v>
      </c>
      <c r="I26" s="248">
        <v>350</v>
      </c>
      <c r="J26" s="57"/>
      <c r="K26" s="14" t="s">
        <v>851</v>
      </c>
      <c r="L26" s="1"/>
      <c r="M26" s="54" t="s">
        <v>920</v>
      </c>
      <c r="N26" s="12" t="s">
        <v>859</v>
      </c>
      <c r="O26" s="248">
        <v>280</v>
      </c>
      <c r="P26" s="57"/>
      <c r="Q26" s="14" t="s">
        <v>851</v>
      </c>
    </row>
    <row r="27" spans="1:17" x14ac:dyDescent="0.25">
      <c r="A27" s="53"/>
      <c r="B27" s="12"/>
      <c r="C27" s="248"/>
      <c r="D27" s="250"/>
      <c r="E27" s="14"/>
      <c r="F27" s="1"/>
      <c r="G27" s="54" t="s">
        <v>861</v>
      </c>
      <c r="H27" s="12" t="s">
        <v>857</v>
      </c>
      <c r="I27" s="248"/>
      <c r="J27" s="57"/>
      <c r="K27" s="117" t="s">
        <v>851</v>
      </c>
      <c r="L27" s="1"/>
      <c r="M27" s="54" t="s">
        <v>860</v>
      </c>
      <c r="N27" s="12"/>
      <c r="O27" s="248"/>
      <c r="P27" s="57"/>
      <c r="Q27" s="117"/>
    </row>
    <row r="28" spans="1:17" ht="24" x14ac:dyDescent="0.4">
      <c r="A28" s="377" t="s">
        <v>118</v>
      </c>
      <c r="B28" s="377"/>
      <c r="C28" s="377"/>
      <c r="D28" s="377"/>
      <c r="E28" s="378"/>
      <c r="F28" s="1"/>
      <c r="G28" s="54" t="s">
        <v>862</v>
      </c>
      <c r="H28" s="12" t="s">
        <v>857</v>
      </c>
      <c r="I28" s="248"/>
      <c r="J28" s="57"/>
      <c r="K28" s="117" t="s">
        <v>851</v>
      </c>
      <c r="L28" s="1"/>
      <c r="M28" s="54"/>
      <c r="N28" s="12"/>
      <c r="O28" s="248"/>
      <c r="P28" s="57"/>
      <c r="Q28" s="117"/>
    </row>
    <row r="29" spans="1:17" ht="15.75" x14ac:dyDescent="0.25">
      <c r="A29" s="247" t="s">
        <v>848</v>
      </c>
      <c r="B29" s="215"/>
      <c r="C29" s="248"/>
      <c r="D29" s="251"/>
      <c r="E29" s="252"/>
      <c r="F29" s="1"/>
      <c r="G29" s="54" t="s">
        <v>863</v>
      </c>
      <c r="H29" s="12" t="s">
        <v>857</v>
      </c>
      <c r="I29" s="248"/>
      <c r="J29" s="57"/>
      <c r="K29" s="117" t="s">
        <v>851</v>
      </c>
      <c r="L29" s="1"/>
      <c r="M29" s="54"/>
      <c r="N29" s="12"/>
      <c r="O29" s="248"/>
      <c r="P29" s="57"/>
      <c r="Q29" s="117"/>
    </row>
    <row r="30" spans="1:17" x14ac:dyDescent="0.25">
      <c r="A30" s="229" t="s">
        <v>849</v>
      </c>
      <c r="B30" s="215"/>
      <c r="C30" s="248"/>
      <c r="D30" s="57"/>
      <c r="E30" s="14"/>
      <c r="F30" s="1"/>
      <c r="G30" s="54" t="s">
        <v>866</v>
      </c>
      <c r="H30" s="12" t="s">
        <v>857</v>
      </c>
      <c r="I30" s="248"/>
      <c r="J30" s="57"/>
      <c r="K30" s="117" t="s">
        <v>851</v>
      </c>
      <c r="L30" s="1"/>
      <c r="M30" s="54" t="s">
        <v>864</v>
      </c>
      <c r="N30" s="12" t="s">
        <v>865</v>
      </c>
      <c r="O30" s="248"/>
      <c r="P30" s="57"/>
      <c r="Q30" s="117" t="s">
        <v>851</v>
      </c>
    </row>
    <row r="31" spans="1:17" x14ac:dyDescent="0.25">
      <c r="A31" s="255">
        <v>0.1875</v>
      </c>
      <c r="B31" s="12" t="s">
        <v>118</v>
      </c>
      <c r="C31" s="249">
        <v>0.74</v>
      </c>
      <c r="D31" s="57"/>
      <c r="E31" s="117" t="s">
        <v>852</v>
      </c>
      <c r="F31" s="1"/>
      <c r="G31" s="54" t="s">
        <v>867</v>
      </c>
      <c r="H31" s="12" t="s">
        <v>857</v>
      </c>
      <c r="I31" s="248"/>
      <c r="J31" s="57"/>
      <c r="K31" s="117" t="s">
        <v>851</v>
      </c>
      <c r="L31" s="1"/>
      <c r="M31" s="54"/>
      <c r="N31" s="12"/>
      <c r="O31" s="248"/>
      <c r="P31" s="57"/>
      <c r="Q31" s="117"/>
    </row>
    <row r="32" spans="1:17" x14ac:dyDescent="0.25">
      <c r="A32" s="255">
        <v>0.25</v>
      </c>
      <c r="B32" s="12" t="s">
        <v>118</v>
      </c>
      <c r="C32" s="249">
        <v>0.82</v>
      </c>
      <c r="D32" s="57"/>
      <c r="E32" s="117" t="s">
        <v>852</v>
      </c>
      <c r="F32" s="1"/>
      <c r="G32" s="54" t="s">
        <v>869</v>
      </c>
      <c r="H32" s="12" t="s">
        <v>857</v>
      </c>
      <c r="I32" s="248"/>
      <c r="J32" s="57"/>
      <c r="K32" s="14" t="s">
        <v>851</v>
      </c>
      <c r="L32" s="1"/>
      <c r="M32" s="54" t="s">
        <v>868</v>
      </c>
      <c r="N32" s="12"/>
      <c r="O32" s="248"/>
      <c r="P32" s="57"/>
      <c r="Q32" s="117" t="s">
        <v>851</v>
      </c>
    </row>
    <row r="33" spans="1:17" x14ac:dyDescent="0.25">
      <c r="A33" s="255">
        <v>0.3125</v>
      </c>
      <c r="B33" s="12" t="s">
        <v>118</v>
      </c>
      <c r="C33" s="249">
        <v>0.83</v>
      </c>
      <c r="D33" s="57"/>
      <c r="E33" s="117" t="s">
        <v>852</v>
      </c>
      <c r="F33" s="1"/>
      <c r="G33" s="54" t="s">
        <v>871</v>
      </c>
      <c r="H33" s="12" t="s">
        <v>857</v>
      </c>
      <c r="I33" s="248"/>
      <c r="J33" s="57"/>
      <c r="K33" s="14" t="s">
        <v>851</v>
      </c>
      <c r="L33" s="1"/>
      <c r="M33" s="54" t="s">
        <v>870</v>
      </c>
      <c r="N33" s="12"/>
      <c r="O33" s="248"/>
      <c r="P33" s="57"/>
      <c r="Q33" s="117" t="s">
        <v>851</v>
      </c>
    </row>
    <row r="34" spans="1:17" x14ac:dyDescent="0.25">
      <c r="A34" s="255">
        <v>0.375</v>
      </c>
      <c r="B34" s="12" t="s">
        <v>118</v>
      </c>
      <c r="C34" s="249">
        <v>0.92</v>
      </c>
      <c r="D34" s="57"/>
      <c r="E34" s="117" t="s">
        <v>852</v>
      </c>
      <c r="F34" s="1"/>
      <c r="G34" s="54"/>
      <c r="H34" s="12"/>
      <c r="I34" s="248"/>
      <c r="J34" s="57"/>
      <c r="K34" s="117"/>
      <c r="L34" s="1"/>
      <c r="M34" s="54" t="s">
        <v>872</v>
      </c>
      <c r="N34" s="12"/>
      <c r="O34" s="248"/>
      <c r="P34" s="57"/>
      <c r="Q34" s="117" t="s">
        <v>851</v>
      </c>
    </row>
    <row r="35" spans="1:17" x14ac:dyDescent="0.25">
      <c r="A35" s="255">
        <v>0.5</v>
      </c>
      <c r="B35" s="12" t="s">
        <v>118</v>
      </c>
      <c r="C35" s="249">
        <v>0.99</v>
      </c>
      <c r="D35" s="57"/>
      <c r="E35" s="117" t="s">
        <v>852</v>
      </c>
      <c r="F35" s="1"/>
      <c r="G35" s="54"/>
      <c r="H35" s="12"/>
      <c r="I35" s="248"/>
      <c r="J35" s="57"/>
      <c r="K35" s="117"/>
      <c r="L35" s="1"/>
      <c r="M35" s="54" t="s">
        <v>873</v>
      </c>
      <c r="N35" s="12"/>
      <c r="O35" s="248"/>
      <c r="P35" s="57"/>
      <c r="Q35" s="117" t="s">
        <v>851</v>
      </c>
    </row>
    <row r="36" spans="1:17" ht="19.899999999999999" customHeight="1" x14ac:dyDescent="0.4">
      <c r="A36" s="255">
        <v>0.625</v>
      </c>
      <c r="B36" s="54" t="s">
        <v>118</v>
      </c>
      <c r="C36" s="249">
        <v>0.97</v>
      </c>
      <c r="D36" s="57"/>
      <c r="E36" s="117" t="s">
        <v>852</v>
      </c>
      <c r="F36" s="1"/>
      <c r="G36" s="377" t="s">
        <v>874</v>
      </c>
      <c r="H36" s="377"/>
      <c r="I36" s="377"/>
      <c r="J36" s="377"/>
      <c r="K36" s="378"/>
      <c r="L36" s="1"/>
      <c r="M36" s="54"/>
      <c r="N36" s="215"/>
      <c r="O36" s="248"/>
      <c r="P36" s="57"/>
      <c r="Q36" s="217"/>
    </row>
    <row r="37" spans="1:17" ht="15.75" x14ac:dyDescent="0.25">
      <c r="A37" s="256">
        <v>0.75</v>
      </c>
      <c r="B37" s="12" t="s">
        <v>118</v>
      </c>
      <c r="C37" s="249">
        <v>0.97</v>
      </c>
      <c r="D37" s="57"/>
      <c r="E37" s="117" t="s">
        <v>852</v>
      </c>
      <c r="F37" s="1"/>
      <c r="G37" s="247"/>
      <c r="H37" s="215"/>
      <c r="I37" s="248"/>
      <c r="J37" s="57"/>
      <c r="K37" s="217"/>
      <c r="L37" s="1"/>
      <c r="M37" s="383"/>
      <c r="N37" s="383"/>
      <c r="O37" s="383"/>
      <c r="P37" s="383"/>
      <c r="Q37" s="384"/>
    </row>
    <row r="38" spans="1:17" ht="15.75" x14ac:dyDescent="0.25">
      <c r="A38" s="257">
        <v>0.875</v>
      </c>
      <c r="B38" s="12" t="s">
        <v>118</v>
      </c>
      <c r="C38" s="249">
        <v>0.97</v>
      </c>
      <c r="D38" s="57"/>
      <c r="E38" s="117" t="s">
        <v>852</v>
      </c>
      <c r="F38" s="1"/>
      <c r="G38" s="54"/>
      <c r="H38" s="12"/>
      <c r="I38" s="248"/>
      <c r="J38" s="57"/>
      <c r="K38" s="14"/>
      <c r="L38" s="1"/>
      <c r="M38" s="247"/>
      <c r="N38" s="215"/>
      <c r="O38" s="118"/>
      <c r="P38" s="57"/>
      <c r="Q38" s="217"/>
    </row>
    <row r="39" spans="1:17" ht="15.75" x14ac:dyDescent="0.25">
      <c r="A39" s="255">
        <v>1</v>
      </c>
      <c r="B39" s="12" t="s">
        <v>118</v>
      </c>
      <c r="C39" s="249"/>
      <c r="D39" s="57"/>
      <c r="E39" s="117" t="s">
        <v>852</v>
      </c>
      <c r="F39" s="1"/>
      <c r="G39" s="54" t="s">
        <v>875</v>
      </c>
      <c r="H39" s="12" t="s">
        <v>876</v>
      </c>
      <c r="I39" s="248"/>
      <c r="J39" s="57"/>
      <c r="K39" s="14" t="s">
        <v>851</v>
      </c>
      <c r="L39" s="1"/>
      <c r="M39" s="247"/>
      <c r="N39" s="215"/>
      <c r="O39" s="118"/>
      <c r="P39" s="57"/>
      <c r="Q39" s="217"/>
    </row>
    <row r="40" spans="1:17" ht="15.75" x14ac:dyDescent="0.25">
      <c r="A40" s="54"/>
      <c r="B40" s="12"/>
      <c r="C40" s="248"/>
      <c r="D40" s="57"/>
      <c r="E40" s="117"/>
      <c r="F40" s="1"/>
      <c r="G40" s="54" t="s">
        <v>877</v>
      </c>
      <c r="H40" s="12" t="s">
        <v>876</v>
      </c>
      <c r="I40" s="248"/>
      <c r="J40" s="57"/>
      <c r="K40" s="14" t="s">
        <v>851</v>
      </c>
      <c r="L40" s="1"/>
      <c r="M40" s="247"/>
      <c r="N40" s="215"/>
      <c r="O40" s="118"/>
      <c r="P40" s="57"/>
      <c r="Q40" s="217"/>
    </row>
    <row r="41" spans="1:17" ht="15.75" x14ac:dyDescent="0.25">
      <c r="A41" s="54" t="s">
        <v>878</v>
      </c>
      <c r="B41" s="12" t="s">
        <v>118</v>
      </c>
      <c r="C41" s="249"/>
      <c r="D41" s="57"/>
      <c r="E41" s="117" t="s">
        <v>852</v>
      </c>
      <c r="F41" s="1"/>
      <c r="G41" s="54" t="s">
        <v>879</v>
      </c>
      <c r="H41" s="12" t="s">
        <v>876</v>
      </c>
      <c r="I41" s="248"/>
      <c r="J41" s="57"/>
      <c r="K41" s="117" t="s">
        <v>851</v>
      </c>
      <c r="L41" s="1"/>
      <c r="M41" s="247"/>
      <c r="N41" s="215"/>
      <c r="O41" s="118"/>
      <c r="P41" s="57"/>
      <c r="Q41" s="217"/>
    </row>
    <row r="42" spans="1:17" ht="15.75" x14ac:dyDescent="0.25">
      <c r="A42" s="54" t="s">
        <v>880</v>
      </c>
      <c r="B42" s="12" t="s">
        <v>118</v>
      </c>
      <c r="C42" s="249"/>
      <c r="D42" s="57"/>
      <c r="E42" s="117" t="s">
        <v>852</v>
      </c>
      <c r="F42" s="1"/>
      <c r="G42" s="54" t="s">
        <v>881</v>
      </c>
      <c r="H42" s="12" t="s">
        <v>876</v>
      </c>
      <c r="I42" s="248"/>
      <c r="J42" s="57"/>
      <c r="K42" s="14" t="s">
        <v>851</v>
      </c>
      <c r="L42" s="1"/>
      <c r="M42" s="247"/>
      <c r="N42" s="215"/>
      <c r="O42" s="118"/>
      <c r="P42" s="57"/>
      <c r="Q42" s="217"/>
    </row>
    <row r="43" spans="1:17" ht="15.75" x14ac:dyDescent="0.25">
      <c r="A43" s="54" t="s">
        <v>882</v>
      </c>
      <c r="B43" s="12" t="s">
        <v>118</v>
      </c>
      <c r="C43" s="249"/>
      <c r="D43" s="57"/>
      <c r="E43" s="117" t="s">
        <v>852</v>
      </c>
      <c r="F43" s="1"/>
      <c r="G43" s="54"/>
      <c r="H43" s="12"/>
      <c r="I43" s="248"/>
      <c r="J43" s="57"/>
      <c r="K43" s="14"/>
      <c r="L43" s="1"/>
      <c r="M43" s="247"/>
      <c r="N43" s="215"/>
      <c r="O43" s="118"/>
      <c r="P43" s="57"/>
      <c r="Q43" s="217"/>
    </row>
    <row r="44" spans="1:17" ht="15.75" x14ac:dyDescent="0.25">
      <c r="A44" s="54" t="s">
        <v>883</v>
      </c>
      <c r="B44" s="12" t="s">
        <v>118</v>
      </c>
      <c r="C44" s="249"/>
      <c r="D44" s="57"/>
      <c r="E44" s="117" t="s">
        <v>852</v>
      </c>
      <c r="F44" s="1"/>
      <c r="G44" s="54" t="s">
        <v>884</v>
      </c>
      <c r="H44" s="12" t="s">
        <v>876</v>
      </c>
      <c r="I44" s="248"/>
      <c r="J44" s="57"/>
      <c r="K44" s="14" t="s">
        <v>851</v>
      </c>
      <c r="L44" s="1"/>
      <c r="M44" s="247"/>
      <c r="N44" s="215"/>
      <c r="O44" s="118"/>
      <c r="P44" s="57"/>
      <c r="Q44" s="217"/>
    </row>
    <row r="45" spans="1:17" ht="15.75" x14ac:dyDescent="0.25">
      <c r="A45" s="54" t="s">
        <v>924</v>
      </c>
      <c r="B45" s="12" t="s">
        <v>118</v>
      </c>
      <c r="C45" s="249"/>
      <c r="D45" s="57"/>
      <c r="E45" s="117"/>
      <c r="F45" s="1"/>
      <c r="G45" s="54"/>
      <c r="H45" s="12"/>
      <c r="I45" s="248"/>
      <c r="J45" s="57"/>
      <c r="K45" s="117"/>
      <c r="L45" s="1"/>
      <c r="M45" s="247"/>
      <c r="N45" s="215"/>
      <c r="O45" s="118"/>
      <c r="P45" s="57"/>
      <c r="Q45" s="217"/>
    </row>
    <row r="46" spans="1:17" ht="15.75" x14ac:dyDescent="0.25">
      <c r="A46" s="54" t="s">
        <v>925</v>
      </c>
      <c r="B46" s="12" t="s">
        <v>118</v>
      </c>
      <c r="C46" s="249"/>
      <c r="D46" s="57"/>
      <c r="E46" s="117"/>
      <c r="F46" s="1"/>
      <c r="G46" s="54"/>
      <c r="H46" s="12"/>
      <c r="I46" s="248"/>
      <c r="J46" s="57"/>
      <c r="K46" s="117"/>
      <c r="L46" s="1"/>
      <c r="M46" s="247"/>
      <c r="N46" s="215"/>
      <c r="O46" s="118"/>
      <c r="P46" s="57"/>
      <c r="Q46" s="217"/>
    </row>
    <row r="47" spans="1:17" ht="15.75" x14ac:dyDescent="0.25">
      <c r="A47" s="54" t="s">
        <v>926</v>
      </c>
      <c r="B47" s="12" t="s">
        <v>118</v>
      </c>
      <c r="C47" s="249"/>
      <c r="D47" s="57"/>
      <c r="E47" s="117"/>
      <c r="F47" s="1"/>
      <c r="G47" s="54" t="s">
        <v>887</v>
      </c>
      <c r="H47" s="12" t="s">
        <v>888</v>
      </c>
      <c r="I47" s="248"/>
      <c r="J47" s="57"/>
      <c r="K47" s="14" t="s">
        <v>851</v>
      </c>
      <c r="L47" s="1"/>
      <c r="M47" s="247"/>
      <c r="N47" s="215"/>
      <c r="O47" s="118"/>
      <c r="P47" s="57"/>
      <c r="Q47" s="217"/>
    </row>
    <row r="48" spans="1:17" ht="15.75" x14ac:dyDescent="0.25">
      <c r="A48" s="54" t="s">
        <v>923</v>
      </c>
      <c r="B48" s="12" t="s">
        <v>118</v>
      </c>
      <c r="C48" s="249"/>
      <c r="D48" s="57"/>
      <c r="E48" s="117"/>
      <c r="F48" s="1"/>
      <c r="G48" s="54" t="s">
        <v>889</v>
      </c>
      <c r="H48" s="12" t="s">
        <v>888</v>
      </c>
      <c r="I48" s="248"/>
      <c r="J48" s="57"/>
      <c r="K48" s="14" t="s">
        <v>851</v>
      </c>
      <c r="L48" s="1"/>
      <c r="M48" s="247"/>
      <c r="N48" s="215"/>
      <c r="O48" s="118"/>
      <c r="P48" s="57"/>
      <c r="Q48" s="217"/>
    </row>
    <row r="49" spans="1:17" ht="15.75" x14ac:dyDescent="0.25">
      <c r="A49" s="54" t="s">
        <v>927</v>
      </c>
      <c r="B49" s="12" t="s">
        <v>118</v>
      </c>
      <c r="C49" s="249"/>
      <c r="D49" s="57"/>
      <c r="E49" s="117"/>
      <c r="F49" s="1"/>
      <c r="G49" s="54"/>
      <c r="H49" s="12"/>
      <c r="I49" s="248"/>
      <c r="J49" s="57"/>
      <c r="K49" s="14"/>
      <c r="L49" s="1"/>
      <c r="M49" s="247"/>
      <c r="N49" s="215"/>
      <c r="O49" s="118"/>
      <c r="P49" s="57"/>
      <c r="Q49" s="217"/>
    </row>
    <row r="50" spans="1:17" ht="15.75" x14ac:dyDescent="0.25">
      <c r="A50" s="54" t="s">
        <v>928</v>
      </c>
      <c r="B50" s="12" t="s">
        <v>118</v>
      </c>
      <c r="C50" s="249"/>
      <c r="D50" s="57"/>
      <c r="E50" s="117"/>
      <c r="F50" s="1"/>
      <c r="G50" s="54" t="s">
        <v>890</v>
      </c>
      <c r="H50" s="12" t="s">
        <v>891</v>
      </c>
      <c r="I50" s="248"/>
      <c r="J50" s="57"/>
      <c r="K50" s="117" t="s">
        <v>851</v>
      </c>
      <c r="L50" s="1"/>
      <c r="M50" s="247"/>
      <c r="N50" s="215"/>
      <c r="O50" s="118"/>
      <c r="P50" s="57"/>
      <c r="Q50" s="217"/>
    </row>
    <row r="51" spans="1:17" ht="15.75" x14ac:dyDescent="0.25">
      <c r="A51" s="54"/>
      <c r="B51" s="12"/>
      <c r="C51" s="249"/>
      <c r="D51" s="57"/>
      <c r="E51" s="117"/>
      <c r="F51" s="1"/>
      <c r="G51" s="54" t="s">
        <v>864</v>
      </c>
      <c r="H51" s="12" t="s">
        <v>891</v>
      </c>
      <c r="I51" s="248">
        <v>53</v>
      </c>
      <c r="J51" s="57">
        <v>45376</v>
      </c>
      <c r="K51" s="117" t="s">
        <v>851</v>
      </c>
      <c r="L51" s="1"/>
      <c r="M51" s="247"/>
      <c r="N51" s="215"/>
      <c r="O51" s="118"/>
      <c r="P51" s="57"/>
      <c r="Q51" s="217"/>
    </row>
    <row r="52" spans="1:17" ht="15.75" x14ac:dyDescent="0.25">
      <c r="A52" s="229"/>
      <c r="B52" s="215"/>
      <c r="C52" s="248"/>
      <c r="D52" s="57"/>
      <c r="E52" s="217"/>
      <c r="F52" s="1"/>
      <c r="G52" s="247" t="s">
        <v>892</v>
      </c>
      <c r="H52" s="215"/>
      <c r="I52" s="118"/>
      <c r="J52" s="57"/>
      <c r="K52" s="217" t="s">
        <v>851</v>
      </c>
      <c r="L52" s="1"/>
      <c r="M52" s="247"/>
      <c r="N52" s="215"/>
      <c r="O52" s="118"/>
      <c r="P52" s="57"/>
      <c r="Q52" s="217"/>
    </row>
    <row r="53" spans="1:17" ht="24" x14ac:dyDescent="0.4">
      <c r="A53" s="377" t="s">
        <v>885</v>
      </c>
      <c r="B53" s="377"/>
      <c r="C53" s="377"/>
      <c r="D53" s="377"/>
      <c r="E53" s="378"/>
      <c r="F53" s="1"/>
      <c r="G53" s="247"/>
      <c r="H53" s="215"/>
      <c r="I53" s="118"/>
      <c r="J53" s="57"/>
      <c r="K53" s="217"/>
      <c r="L53" s="1"/>
      <c r="M53" s="247"/>
      <c r="N53" s="215"/>
      <c r="O53" s="118"/>
      <c r="P53" s="57"/>
      <c r="Q53" s="217"/>
    </row>
    <row r="54" spans="1:17" ht="15.75" x14ac:dyDescent="0.25">
      <c r="A54" s="54" t="s">
        <v>918</v>
      </c>
      <c r="B54" s="12" t="s">
        <v>886</v>
      </c>
      <c r="C54" s="248">
        <v>80</v>
      </c>
      <c r="D54" s="57"/>
      <c r="E54" s="117" t="s">
        <v>852</v>
      </c>
      <c r="F54" s="1"/>
      <c r="G54" s="247"/>
      <c r="H54" s="215"/>
      <c r="I54" s="118"/>
      <c r="J54" s="57"/>
      <c r="K54" s="217"/>
      <c r="L54" s="1"/>
      <c r="M54" s="247"/>
      <c r="N54" s="215"/>
      <c r="O54" s="118"/>
      <c r="P54" s="57"/>
      <c r="Q54" s="217"/>
    </row>
    <row r="55" spans="1:17" ht="15.75" x14ac:dyDescent="0.25">
      <c r="A55" s="54" t="s">
        <v>921</v>
      </c>
      <c r="B55" s="12" t="s">
        <v>886</v>
      </c>
      <c r="C55" s="248">
        <v>85</v>
      </c>
      <c r="D55" s="57"/>
      <c r="E55" s="117" t="s">
        <v>852</v>
      </c>
      <c r="F55" s="1"/>
      <c r="G55" s="247"/>
      <c r="H55" s="215"/>
      <c r="I55" s="118"/>
      <c r="J55" s="57"/>
      <c r="K55" s="217"/>
      <c r="L55" s="1"/>
      <c r="M55" s="247"/>
      <c r="N55" s="215"/>
      <c r="O55" s="118"/>
      <c r="P55" s="57"/>
      <c r="Q55" s="217"/>
    </row>
    <row r="56" spans="1:17" ht="15.75" x14ac:dyDescent="0.25">
      <c r="A56" s="54" t="s">
        <v>144</v>
      </c>
      <c r="B56" s="12" t="s">
        <v>886</v>
      </c>
      <c r="C56" s="248">
        <v>90</v>
      </c>
      <c r="D56" s="57"/>
      <c r="E56" s="117" t="s">
        <v>852</v>
      </c>
      <c r="F56" s="1"/>
      <c r="G56" s="247"/>
      <c r="H56" s="215"/>
      <c r="I56" s="118"/>
      <c r="J56" s="57"/>
      <c r="K56" s="217"/>
      <c r="L56" s="1"/>
      <c r="M56" s="247"/>
      <c r="N56" s="215"/>
      <c r="O56" s="118"/>
      <c r="P56" s="57"/>
      <c r="Q56" s="217"/>
    </row>
    <row r="57" spans="1:17" ht="15.75" x14ac:dyDescent="0.25">
      <c r="A57" s="54" t="s">
        <v>919</v>
      </c>
      <c r="B57" s="12" t="s">
        <v>886</v>
      </c>
      <c r="C57" s="248">
        <v>95</v>
      </c>
      <c r="D57" s="57"/>
      <c r="E57" s="117" t="s">
        <v>852</v>
      </c>
      <c r="F57" s="1"/>
      <c r="G57" s="229"/>
      <c r="H57" s="215"/>
      <c r="I57" s="118"/>
      <c r="J57" s="57"/>
      <c r="K57" s="217"/>
      <c r="L57" s="1"/>
      <c r="M57" s="247"/>
      <c r="N57" s="215"/>
      <c r="O57" s="118"/>
      <c r="P57" s="57"/>
      <c r="Q57" s="217"/>
    </row>
    <row r="58" spans="1:17" x14ac:dyDescent="0.25">
      <c r="A58" s="54" t="s">
        <v>922</v>
      </c>
      <c r="B58" s="12" t="s">
        <v>886</v>
      </c>
      <c r="C58" s="248">
        <v>100</v>
      </c>
      <c r="D58" s="57"/>
      <c r="E58" s="117" t="s">
        <v>852</v>
      </c>
      <c r="F58" s="1"/>
      <c r="G58" s="229"/>
      <c r="H58" s="215"/>
      <c r="I58" s="118"/>
      <c r="J58" s="57"/>
      <c r="K58" s="217"/>
      <c r="L58" s="1"/>
      <c r="M58" s="229"/>
      <c r="N58" s="215"/>
      <c r="O58" s="118"/>
      <c r="P58" s="57"/>
      <c r="Q58" s="217"/>
    </row>
    <row r="59" spans="1:17" x14ac:dyDescent="0.25">
      <c r="A59" s="54" t="s">
        <v>920</v>
      </c>
      <c r="B59" s="12" t="s">
        <v>886</v>
      </c>
      <c r="C59" s="248">
        <v>105</v>
      </c>
      <c r="D59" s="57"/>
      <c r="E59" s="117" t="s">
        <v>852</v>
      </c>
      <c r="F59" s="1"/>
      <c r="G59" s="229"/>
      <c r="H59" s="215"/>
      <c r="I59" s="60"/>
      <c r="J59" s="57"/>
      <c r="K59" s="217"/>
      <c r="L59" s="1"/>
      <c r="M59" s="229"/>
      <c r="N59" s="215"/>
      <c r="O59" s="118"/>
      <c r="P59" s="57"/>
      <c r="Q59" s="217"/>
    </row>
    <row r="60" spans="1:17" x14ac:dyDescent="0.25">
      <c r="A60" s="53" t="s">
        <v>893</v>
      </c>
      <c r="B60" s="12" t="s">
        <v>886</v>
      </c>
      <c r="C60" s="248"/>
      <c r="D60" s="57"/>
      <c r="E60" s="117" t="s">
        <v>852</v>
      </c>
      <c r="F60" s="1"/>
      <c r="G60" s="229"/>
      <c r="H60" s="215"/>
      <c r="I60" s="100"/>
      <c r="J60" s="57"/>
      <c r="K60" s="217"/>
      <c r="L60" s="1"/>
      <c r="M60" s="229"/>
      <c r="N60" s="215"/>
      <c r="O60" s="60"/>
      <c r="P60" s="57"/>
      <c r="Q60" s="217"/>
    </row>
    <row r="61" spans="1:17" x14ac:dyDescent="0.25">
      <c r="A61" s="53" t="s">
        <v>894</v>
      </c>
      <c r="B61" s="12" t="s">
        <v>886</v>
      </c>
      <c r="C61" s="248"/>
      <c r="D61" s="57"/>
      <c r="E61" s="117" t="s">
        <v>852</v>
      </c>
      <c r="F61" s="1"/>
      <c r="G61" s="229"/>
      <c r="H61" s="215"/>
      <c r="I61" s="100"/>
      <c r="J61" s="57"/>
      <c r="K61" s="217"/>
      <c r="L61" s="1"/>
      <c r="M61" s="229"/>
      <c r="N61" s="215"/>
      <c r="O61" s="100"/>
      <c r="P61" s="57"/>
      <c r="Q61" s="217"/>
    </row>
    <row r="62" spans="1:17" x14ac:dyDescent="0.25">
      <c r="A62" s="53" t="s">
        <v>895</v>
      </c>
      <c r="B62" s="12" t="s">
        <v>886</v>
      </c>
      <c r="C62" s="248"/>
      <c r="D62" s="57"/>
      <c r="E62" s="117" t="s">
        <v>852</v>
      </c>
      <c r="F62" s="1"/>
      <c r="G62" s="229"/>
      <c r="H62" s="215"/>
      <c r="I62" s="100"/>
      <c r="J62" s="57"/>
      <c r="K62" s="217"/>
      <c r="L62" s="1"/>
      <c r="M62" s="229"/>
      <c r="N62" s="215"/>
      <c r="O62" s="100"/>
      <c r="P62" s="57"/>
      <c r="Q62" s="217"/>
    </row>
    <row r="63" spans="1:17" x14ac:dyDescent="0.25">
      <c r="A63" s="53" t="s">
        <v>896</v>
      </c>
      <c r="B63" s="12" t="s">
        <v>886</v>
      </c>
      <c r="C63" s="248"/>
      <c r="D63" s="57"/>
      <c r="E63" s="117" t="s">
        <v>852</v>
      </c>
      <c r="F63" s="1"/>
      <c r="G63" s="229"/>
      <c r="H63" s="215"/>
      <c r="I63" s="118"/>
      <c r="J63" s="57"/>
      <c r="K63" s="217"/>
      <c r="L63" s="1"/>
      <c r="M63" s="229"/>
      <c r="N63" s="215"/>
      <c r="O63" s="100"/>
      <c r="P63" s="57"/>
      <c r="Q63" s="217"/>
    </row>
    <row r="64" spans="1:17" x14ac:dyDescent="0.25">
      <c r="A64" s="53" t="s">
        <v>897</v>
      </c>
      <c r="B64" s="12" t="s">
        <v>886</v>
      </c>
      <c r="C64" s="248"/>
      <c r="D64" s="57"/>
      <c r="E64" s="117" t="s">
        <v>852</v>
      </c>
      <c r="F64" s="1"/>
      <c r="G64" s="229"/>
      <c r="H64" s="229"/>
      <c r="I64" s="118"/>
      <c r="J64" s="57"/>
      <c r="K64" s="217"/>
      <c r="L64" s="1"/>
      <c r="M64" s="229"/>
      <c r="N64" s="215"/>
      <c r="O64" s="118"/>
      <c r="P64" s="57"/>
      <c r="Q64" s="217"/>
    </row>
    <row r="65" spans="1:17" x14ac:dyDescent="0.25">
      <c r="A65" s="53" t="s">
        <v>898</v>
      </c>
      <c r="B65" s="12" t="s">
        <v>886</v>
      </c>
      <c r="C65" s="248"/>
      <c r="D65" s="57"/>
      <c r="E65" s="117" t="s">
        <v>852</v>
      </c>
      <c r="F65" s="1"/>
      <c r="G65" s="229"/>
      <c r="H65" s="229"/>
      <c r="I65" s="118"/>
      <c r="J65" s="57"/>
      <c r="K65" s="217"/>
      <c r="L65" s="1"/>
      <c r="M65" s="229"/>
      <c r="N65" s="229"/>
      <c r="O65" s="118"/>
      <c r="P65" s="57"/>
      <c r="Q65" s="217"/>
    </row>
    <row r="66" spans="1:17" x14ac:dyDescent="0.25">
      <c r="A66" s="53" t="s">
        <v>899</v>
      </c>
      <c r="B66" s="12" t="s">
        <v>886</v>
      </c>
      <c r="C66" s="248"/>
      <c r="D66" s="57"/>
      <c r="E66" s="117" t="s">
        <v>852</v>
      </c>
      <c r="F66" s="1"/>
      <c r="G66" s="229"/>
      <c r="H66" s="229"/>
      <c r="I66" s="118"/>
      <c r="J66" s="57"/>
      <c r="K66" s="217"/>
      <c r="L66" s="1"/>
      <c r="M66" s="229"/>
      <c r="N66" s="229"/>
      <c r="O66" s="118"/>
      <c r="P66" s="57"/>
      <c r="Q66" s="217"/>
    </row>
    <row r="67" spans="1:17" x14ac:dyDescent="0.25">
      <c r="A67" s="53" t="s">
        <v>900</v>
      </c>
      <c r="B67" s="12" t="s">
        <v>886</v>
      </c>
      <c r="C67" s="248"/>
      <c r="D67" s="57"/>
      <c r="E67" s="117" t="s">
        <v>852</v>
      </c>
      <c r="F67" s="1"/>
      <c r="G67" s="229"/>
      <c r="H67" s="229"/>
      <c r="I67" s="118"/>
      <c r="J67" s="57"/>
      <c r="K67" s="217"/>
      <c r="L67" s="1"/>
      <c r="M67" s="229"/>
      <c r="N67" s="229"/>
      <c r="O67" s="118"/>
      <c r="P67" s="57"/>
      <c r="Q67" s="217"/>
    </row>
    <row r="68" spans="1:17" x14ac:dyDescent="0.25">
      <c r="A68" s="53"/>
      <c r="B68" s="12"/>
      <c r="C68" s="248"/>
      <c r="D68" s="57"/>
      <c r="E68" s="117"/>
      <c r="F68" s="1"/>
      <c r="G68" s="229"/>
      <c r="H68" s="229"/>
      <c r="I68" s="118"/>
      <c r="J68" s="57"/>
      <c r="K68" s="217"/>
      <c r="L68" s="1"/>
      <c r="M68" s="229"/>
      <c r="N68" s="229"/>
      <c r="O68" s="118"/>
      <c r="P68" s="57"/>
      <c r="Q68" s="217"/>
    </row>
    <row r="69" spans="1:17" x14ac:dyDescent="0.25">
      <c r="A69" s="53"/>
      <c r="B69" s="12"/>
      <c r="C69" s="248"/>
      <c r="D69" s="57"/>
      <c r="E69" s="117"/>
      <c r="F69" s="1"/>
      <c r="G69" s="229"/>
      <c r="H69" s="229"/>
      <c r="I69" s="118"/>
      <c r="J69" s="57"/>
      <c r="K69" s="217"/>
      <c r="L69" s="1"/>
      <c r="M69" s="229"/>
      <c r="N69" s="229"/>
      <c r="O69" s="118"/>
      <c r="P69" s="57"/>
      <c r="Q69" s="217"/>
    </row>
    <row r="70" spans="1:17" x14ac:dyDescent="0.25">
      <c r="A70" s="53" t="s">
        <v>901</v>
      </c>
      <c r="B70" s="12" t="s">
        <v>118</v>
      </c>
      <c r="C70" s="248"/>
      <c r="D70" s="57"/>
      <c r="E70" s="117" t="s">
        <v>852</v>
      </c>
      <c r="F70" s="1"/>
      <c r="G70" s="229"/>
      <c r="H70" s="229"/>
      <c r="I70" s="118"/>
      <c r="J70" s="57"/>
      <c r="K70" s="217"/>
      <c r="L70" s="1"/>
      <c r="M70" s="229"/>
      <c r="N70" s="229"/>
      <c r="O70" s="118"/>
      <c r="P70" s="57"/>
      <c r="Q70" s="217"/>
    </row>
    <row r="71" spans="1:17" x14ac:dyDescent="0.25">
      <c r="A71" s="53" t="s">
        <v>902</v>
      </c>
      <c r="B71" s="12" t="s">
        <v>118</v>
      </c>
      <c r="C71" s="248"/>
      <c r="D71" s="57"/>
      <c r="E71" s="117" t="s">
        <v>852</v>
      </c>
      <c r="F71" s="1"/>
      <c r="G71" s="229"/>
      <c r="H71" s="229"/>
      <c r="I71" s="118"/>
      <c r="J71" s="57"/>
      <c r="K71" s="217"/>
      <c r="L71" s="1"/>
      <c r="M71" s="229"/>
      <c r="N71" s="229"/>
      <c r="O71" s="118"/>
      <c r="P71" s="57"/>
      <c r="Q71" s="217"/>
    </row>
    <row r="72" spans="1:17" ht="25.15" customHeight="1" x14ac:dyDescent="0.25">
      <c r="A72" s="53" t="s">
        <v>903</v>
      </c>
      <c r="B72" s="12" t="s">
        <v>904</v>
      </c>
      <c r="C72" s="248"/>
      <c r="D72" s="57"/>
      <c r="E72" s="117" t="s">
        <v>852</v>
      </c>
      <c r="F72" s="16"/>
      <c r="G72" s="382"/>
      <c r="H72" s="328"/>
      <c r="I72" s="328"/>
      <c r="J72" s="328"/>
      <c r="K72" s="329"/>
      <c r="L72" s="16"/>
      <c r="M72" s="229"/>
      <c r="N72" s="229"/>
      <c r="O72" s="118"/>
      <c r="P72" s="57"/>
      <c r="Q72" s="217"/>
    </row>
    <row r="73" spans="1:17" x14ac:dyDescent="0.25">
      <c r="A73" s="53" t="s">
        <v>905</v>
      </c>
      <c r="B73" s="12" t="s">
        <v>118</v>
      </c>
      <c r="C73" s="248"/>
      <c r="D73" s="57"/>
      <c r="E73" s="117" t="s">
        <v>852</v>
      </c>
      <c r="M73" s="382"/>
      <c r="N73" s="328"/>
      <c r="O73" s="328"/>
      <c r="P73" s="328"/>
      <c r="Q73" s="329"/>
    </row>
    <row r="74" spans="1:17" x14ac:dyDescent="0.25">
      <c r="A74" s="53" t="s">
        <v>906</v>
      </c>
      <c r="B74" s="12" t="s">
        <v>118</v>
      </c>
      <c r="C74" s="248"/>
      <c r="D74" s="57"/>
      <c r="E74" s="117" t="s">
        <v>852</v>
      </c>
    </row>
    <row r="75" spans="1:17" x14ac:dyDescent="0.25">
      <c r="A75" s="53" t="s">
        <v>907</v>
      </c>
      <c r="B75" s="12" t="s">
        <v>118</v>
      </c>
      <c r="C75" s="248"/>
      <c r="D75" s="57"/>
      <c r="E75" s="117" t="s">
        <v>852</v>
      </c>
    </row>
    <row r="76" spans="1:17" x14ac:dyDescent="0.25">
      <c r="A76" s="53" t="s">
        <v>908</v>
      </c>
      <c r="B76" s="64" t="s">
        <v>118</v>
      </c>
      <c r="C76" s="248"/>
      <c r="D76" s="57"/>
      <c r="E76" s="75" t="s">
        <v>852</v>
      </c>
    </row>
    <row r="77" spans="1:17" x14ac:dyDescent="0.25">
      <c r="A77" s="53" t="s">
        <v>909</v>
      </c>
      <c r="B77" s="12" t="s">
        <v>118</v>
      </c>
      <c r="C77" s="248"/>
      <c r="D77" s="57"/>
      <c r="E77" s="117" t="s">
        <v>852</v>
      </c>
    </row>
    <row r="78" spans="1:17" x14ac:dyDescent="0.25">
      <c r="A78" s="53" t="s">
        <v>910</v>
      </c>
      <c r="B78" s="64" t="s">
        <v>118</v>
      </c>
      <c r="C78" s="248"/>
      <c r="D78" s="57"/>
      <c r="E78" s="75" t="s">
        <v>852</v>
      </c>
    </row>
    <row r="79" spans="1:17" x14ac:dyDescent="0.25">
      <c r="A79" s="53" t="s">
        <v>911</v>
      </c>
      <c r="B79" s="64" t="s">
        <v>118</v>
      </c>
      <c r="C79" s="248"/>
      <c r="D79" s="57"/>
      <c r="E79" s="75" t="s">
        <v>852</v>
      </c>
    </row>
    <row r="80" spans="1:17" x14ac:dyDescent="0.25">
      <c r="A80" s="53"/>
      <c r="B80" s="12"/>
      <c r="C80" s="248"/>
      <c r="D80" s="57"/>
      <c r="E80" s="117"/>
    </row>
    <row r="81" spans="1:5" x14ac:dyDescent="0.25">
      <c r="A81" s="177" t="s">
        <v>912</v>
      </c>
      <c r="B81" s="64" t="s">
        <v>913</v>
      </c>
      <c r="C81" s="248"/>
      <c r="D81" s="57"/>
      <c r="E81" s="75" t="s">
        <v>852</v>
      </c>
    </row>
    <row r="82" spans="1:5" x14ac:dyDescent="0.25">
      <c r="A82" s="177"/>
      <c r="B82" s="64"/>
      <c r="C82" s="248"/>
      <c r="D82" s="57"/>
      <c r="E82" s="75"/>
    </row>
    <row r="83" spans="1:5" x14ac:dyDescent="0.25">
      <c r="A83" s="177" t="s">
        <v>914</v>
      </c>
      <c r="B83" s="64" t="s">
        <v>118</v>
      </c>
      <c r="C83" s="248"/>
      <c r="D83" s="57"/>
      <c r="E83" s="75" t="s">
        <v>852</v>
      </c>
    </row>
    <row r="84" spans="1:5" x14ac:dyDescent="0.25">
      <c r="A84" s="177" t="s">
        <v>915</v>
      </c>
      <c r="B84" s="64" t="s">
        <v>118</v>
      </c>
      <c r="C84" s="248"/>
      <c r="D84" s="57"/>
      <c r="E84" s="75" t="s">
        <v>852</v>
      </c>
    </row>
    <row r="85" spans="1:5" x14ac:dyDescent="0.25">
      <c r="A85" s="177" t="s">
        <v>887</v>
      </c>
      <c r="B85" s="64" t="s">
        <v>118</v>
      </c>
      <c r="C85" s="100"/>
      <c r="D85" s="57"/>
      <c r="E85" s="75" t="s">
        <v>852</v>
      </c>
    </row>
    <row r="86" spans="1:5" x14ac:dyDescent="0.25">
      <c r="A86" s="177"/>
      <c r="B86" s="64"/>
      <c r="C86" s="100"/>
      <c r="D86" s="57"/>
      <c r="E86" s="75"/>
    </row>
    <row r="87" spans="1:5" x14ac:dyDescent="0.25">
      <c r="A87" s="177" t="s">
        <v>916</v>
      </c>
      <c r="B87" s="64" t="s">
        <v>118</v>
      </c>
      <c r="C87" s="100"/>
      <c r="D87" s="57"/>
      <c r="E87" s="75" t="s">
        <v>852</v>
      </c>
    </row>
    <row r="88" spans="1:5" x14ac:dyDescent="0.25">
      <c r="A88" s="177" t="s">
        <v>917</v>
      </c>
      <c r="B88" s="64" t="s">
        <v>118</v>
      </c>
      <c r="C88" s="100"/>
      <c r="D88" s="57"/>
      <c r="E88" s="75" t="s">
        <v>852</v>
      </c>
    </row>
    <row r="89" spans="1:5" x14ac:dyDescent="0.25">
      <c r="A89" s="382"/>
      <c r="B89" s="328"/>
      <c r="C89" s="328"/>
      <c r="D89" s="328"/>
      <c r="E89" s="329"/>
    </row>
  </sheetData>
  <mergeCells count="14">
    <mergeCell ref="M73:Q73"/>
    <mergeCell ref="A89:E89"/>
    <mergeCell ref="M19:Q19"/>
    <mergeCell ref="A28:E28"/>
    <mergeCell ref="G36:K36"/>
    <mergeCell ref="M37:Q37"/>
    <mergeCell ref="A53:E53"/>
    <mergeCell ref="G72:K72"/>
    <mergeCell ref="G18:K18"/>
    <mergeCell ref="A1:E1"/>
    <mergeCell ref="G1:K1"/>
    <mergeCell ref="M1:Q1"/>
    <mergeCell ref="A4:E4"/>
    <mergeCell ref="A15:E15"/>
  </mergeCells>
  <phoneticPr fontId="32" type="noConversion"/>
  <conditionalFormatting sqref="C2:C3 O4:O18 C5:C14 C16:C27 C29:C52">
    <cfRule type="expression" dxfId="6" priority="8">
      <formula>D2&lt;TODAY()-30</formula>
    </cfRule>
  </conditionalFormatting>
  <conditionalFormatting sqref="D30:D51">
    <cfRule type="expression" dxfId="5" priority="1">
      <formula>D30&lt;TODAY()-30</formula>
    </cfRule>
  </conditionalFormatting>
  <conditionalFormatting sqref="I4:I17 I19:I35 O20:O36 C54:C84">
    <cfRule type="expression" dxfId="4" priority="7">
      <formula>D4&lt;TODAY()-30</formula>
    </cfRule>
  </conditionalFormatting>
  <conditionalFormatting sqref="I37:I51">
    <cfRule type="expression" dxfId="3" priority="3">
      <formula>J37&lt;TODAY()-30</formula>
    </cfRule>
  </conditionalFormatting>
  <conditionalFormatting sqref="J3:J17 P20:P33 J20:J35 H26 D54:D84">
    <cfRule type="expression" dxfId="2" priority="5">
      <formula>D3&lt;TODAY()-30</formula>
    </cfRule>
  </conditionalFormatting>
  <conditionalFormatting sqref="J37:J51">
    <cfRule type="expression" dxfId="1" priority="2">
      <formula>J37&lt;TODAY()-30</formula>
    </cfRule>
  </conditionalFormatting>
  <conditionalFormatting sqref="P4:P17 D5:D14 D16:D26">
    <cfRule type="expression" dxfId="0" priority="6">
      <formula>D4&lt;TODAY()-30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Fletcher</dc:creator>
  <cp:lastModifiedBy>Chris Fletcher</cp:lastModifiedBy>
  <dcterms:created xsi:type="dcterms:W3CDTF">2024-04-01T13:42:27Z</dcterms:created>
  <dcterms:modified xsi:type="dcterms:W3CDTF">2024-04-09T17:45:06Z</dcterms:modified>
</cp:coreProperties>
</file>