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6"/>
  <workbookPr/>
  <mc:AlternateContent xmlns:mc="http://schemas.openxmlformats.org/markup-compatibility/2006">
    <mc:Choice Requires="x15">
      <x15ac:absPath xmlns:x15ac="http://schemas.microsoft.com/office/spreadsheetml/2010/11/ac" url="P:\Artificial Intelligence\"/>
    </mc:Choice>
  </mc:AlternateContent>
  <xr:revisionPtr revIDLastSave="0" documentId="8_{D24B74FD-C43E-4C14-9164-A775F7939C2D}" xr6:coauthVersionLast="47" xr6:coauthVersionMax="47" xr10:uidLastSave="{00000000-0000-0000-0000-000000000000}"/>
  <bookViews>
    <workbookView xWindow="-120" yWindow="-120" windowWidth="29040" windowHeight="15840" xr2:uid="{124E88C6-CDF1-4BF9-B2E3-60DAEC921C60}"/>
  </bookViews>
  <sheets>
    <sheet name="Bottom list items" sheetId="3" r:id="rId1"/>
    <sheet name="Handling" sheetId="8" r:id="rId2"/>
    <sheet name="Testing" sheetId="7" r:id="rId3"/>
    <sheet name="Cleaning" sheetId="6" r:id="rId4"/>
  </sheets>
  <externalReferences>
    <externalReference r:id="rId5"/>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7" l="1"/>
  <c r="H4" i="7"/>
  <c r="G4" i="7"/>
  <c r="F4" i="7"/>
  <c r="P7" i="7"/>
  <c r="N7" i="7"/>
  <c r="L7" i="7" a="1"/>
  <c r="L7" i="7" s="1"/>
  <c r="P6" i="7"/>
  <c r="N6" i="7"/>
  <c r="L6" i="7" a="1"/>
  <c r="L6" i="7" s="1"/>
  <c r="Q6" i="7" s="1"/>
  <c r="P5" i="7"/>
  <c r="N5" i="7"/>
  <c r="L5" i="7" a="1"/>
  <c r="L5" i="7" s="1"/>
  <c r="R7" i="8"/>
  <c r="R6" i="8"/>
  <c r="R5" i="8"/>
  <c r="B4" i="8"/>
  <c r="C4" i="8" s="1"/>
  <c r="Q7" i="8"/>
  <c r="O7" i="8"/>
  <c r="M7" i="8"/>
  <c r="K7" i="8"/>
  <c r="J7" i="8"/>
  <c r="H7" i="8"/>
  <c r="G7" i="8"/>
  <c r="Q6" i="8"/>
  <c r="O6" i="8"/>
  <c r="M6" i="8"/>
  <c r="K6" i="8"/>
  <c r="J6" i="8"/>
  <c r="H6" i="8"/>
  <c r="G6" i="8"/>
  <c r="Q5" i="8"/>
  <c r="O5" i="8"/>
  <c r="M5" i="8"/>
  <c r="K5" i="8"/>
  <c r="J5" i="8"/>
  <c r="H5" i="8"/>
  <c r="G5" i="8"/>
  <c r="E5" i="6"/>
  <c r="G5" i="6"/>
  <c r="I5" i="6"/>
  <c r="C5" i="6" a="1"/>
  <c r="C5" i="6" s="1"/>
  <c r="Q5" i="7" l="1"/>
  <c r="Q7" i="7"/>
  <c r="E4" i="8"/>
  <c r="D4" i="8" s="1"/>
  <c r="J5"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<sst xmlns="http://schemas.openxmlformats.org/spreadsheetml/2006/main" count="141" uniqueCount="100">
  <si>
    <t>Items that are not in calculations but need to be a yes or no that we have them.  From the yes no there may be additional questions that need to be answered.  And lines will need to be added to the estimate based on the selections</t>
  </si>
  <si>
    <t>Item</t>
  </si>
  <si>
    <t>additional questions needed</t>
  </si>
  <si>
    <t>questions</t>
  </si>
  <si>
    <t>rules</t>
  </si>
  <si>
    <t>DESCRIPTION</t>
  </si>
  <si>
    <t>MTRL $</t>
  </si>
  <si>
    <t>LABOR</t>
  </si>
  <si>
    <t>Tig Welding</t>
  </si>
  <si>
    <t>yes</t>
  </si>
  <si>
    <t>Nothing will be in the calculations.  This will be a yes or no question.</t>
  </si>
  <si>
    <t>TIG Welding of Nozzles</t>
  </si>
  <si>
    <t>will always be zero</t>
  </si>
  <si>
    <t>equals 50% of the required manhours for all of the nozzles</t>
  </si>
  <si>
    <t>Cleaning</t>
  </si>
  <si>
    <t>Dimple Jacket?   y/n
Internal Coil?   y/n
Half Pipe?   y/n</t>
  </si>
  <si>
    <t>not on Carbon Stell vessels</t>
  </si>
  <si>
    <t>always $0</t>
  </si>
  <si>
    <t>Please see tab below</t>
  </si>
  <si>
    <t>Mill Scale Cleaning</t>
  </si>
  <si>
    <t>no</t>
  </si>
  <si>
    <t>Only on Carbon Steel vessels</t>
  </si>
  <si>
    <t>4 hours per shell course</t>
  </si>
  <si>
    <t>Handling</t>
  </si>
  <si>
    <t>Painted? y/n
Does it have ladder or handrail?
Top Platform?
Rest Platform?
All of these questions will be answered by previous questions.</t>
  </si>
  <si>
    <t>See tab below</t>
  </si>
  <si>
    <t>testing</t>
  </si>
  <si>
    <t>Which type of test? (Hydro or Pneumatic)
does it have conventional or dimple jacket?
Does it have Half-pipe jacket or internal coils?</t>
  </si>
  <si>
    <t>Testing</t>
  </si>
  <si>
    <t>Always $0</t>
  </si>
  <si>
    <t>Galvanizing</t>
  </si>
  <si>
    <t>If any of the below is applicable than $1000 is a base fee plus below
GCST ladder? 
$200 per 10'
GCST Handrail
$250 per 10'
Top platform
$1,500
rest platform
$800 per</t>
  </si>
  <si>
    <t>If total price is $3,000 or less   (6)
If total price is over $3,000 (12)</t>
  </si>
  <si>
    <t>Painting</t>
  </si>
  <si>
    <t>all carbon steel tanks will have painting</t>
  </si>
  <si>
    <t>vendor quote</t>
  </si>
  <si>
    <t>always be 0</t>
  </si>
  <si>
    <t>Polishing/grinding</t>
  </si>
  <si>
    <t xml:space="preserve">Is there polishing or grinding?
If yes…
Welds ground smooth or Welds ground smooth &amp; Flush
</t>
  </si>
  <si>
    <t>will be the number of man-hours x 5</t>
  </si>
  <si>
    <t xml:space="preserve">Labor Hours- Polishing  Tab </t>
  </si>
  <si>
    <t>ASME Stamp</t>
  </si>
  <si>
    <t xml:space="preserve">Stamped? (Yes or No) drop down
How many coils/Jackets? (1,2,3,4,5)
Drop Down
</t>
  </si>
  <si>
    <t>Consider the Stamped as 1 then add the coil/jackets # to get your total.</t>
  </si>
  <si>
    <t>if total is…
1     750
2    1100
3    1450
4    1800
5    2150</t>
  </si>
  <si>
    <t>if total is…
1          4
2          6
3          8
4          10
5          12</t>
  </si>
  <si>
    <t>X-ray</t>
  </si>
  <si>
    <t>X-Ray? (yes or no)
drop down
Spot or Full
Drop down</t>
  </si>
  <si>
    <t xml:space="preserve">The calculations will tell you if X-ray is required and which type.
Joint Effiency (JE) is equal to 
.85             Spot
1.0                 Full
Customer may request to have x-ray even if code doesn't require it. That will have to be manual input
</t>
  </si>
  <si>
    <t>Spot=1500
Full=2150</t>
  </si>
  <si>
    <t>spot=4
full=8</t>
  </si>
  <si>
    <t>Vacuum Box</t>
  </si>
  <si>
    <t>Vacuum Box YorN</t>
  </si>
  <si>
    <t>Not in calculations</t>
  </si>
  <si>
    <t>Tank is 96" in diamter and under =1450
Over 96"=2100</t>
  </si>
  <si>
    <t>96" and below=4
over 96"=8</t>
  </si>
  <si>
    <t>Dye Pen</t>
  </si>
  <si>
    <t>Dye-Pen YorN</t>
  </si>
  <si>
    <t>FEA</t>
  </si>
  <si>
    <t>FEA YorN</t>
  </si>
  <si>
    <t>Vendor Quote</t>
  </si>
  <si>
    <t>always 0</t>
  </si>
  <si>
    <t>PMI</t>
  </si>
  <si>
    <t>PMI YorN</t>
  </si>
  <si>
    <t>Tank is 96" in diamter and under =1200
Over 96"=1600</t>
  </si>
  <si>
    <t>96" and below=2
over 96"=4</t>
  </si>
  <si>
    <t>PE Stamp</t>
  </si>
  <si>
    <t>Yes</t>
  </si>
  <si>
    <t>PE Stamp YorN</t>
  </si>
  <si>
    <t>DIAMETER</t>
  </si>
  <si>
    <t>SMALL</t>
  </si>
  <si>
    <t>MEDIUM</t>
  </si>
  <si>
    <t>LARGE</t>
  </si>
  <si>
    <t>HANDLING</t>
  </si>
  <si>
    <t>DETAIL</t>
  </si>
  <si>
    <t>TEST</t>
  </si>
  <si>
    <t>PAINT</t>
  </si>
  <si>
    <t>PAINT HOURS</t>
  </si>
  <si>
    <t>LOAD</t>
  </si>
  <si>
    <t>SHIP LOOSE</t>
  </si>
  <si>
    <t>SHIP LOOSE HOURS</t>
  </si>
  <si>
    <t>TOP PLATFORM</t>
  </si>
  <si>
    <t>REST PLATFORM</t>
  </si>
  <si>
    <t>TOTAL HANDLING</t>
  </si>
  <si>
    <t>Enter diameter in b4, answer y/n questions.</t>
  </si>
  <si>
    <t>TESTING</t>
  </si>
  <si>
    <t>WHICH TEST</t>
  </si>
  <si>
    <t>CONVENTIONAL OR DIMPLE JACKET</t>
  </si>
  <si>
    <t>CONVENTIONAL OR DIMPLE JACKET HOURS</t>
  </si>
  <si>
    <t>HALF-PIPE JACKET OR INTERNAL COIL</t>
  </si>
  <si>
    <t>HALF-PIPE JACKET OR INTERNAL COIL HOURS</t>
  </si>
  <si>
    <t>TOTAL TESTING</t>
  </si>
  <si>
    <t xml:space="preserve">MEDIUM </t>
  </si>
  <si>
    <t>SURFACE AREA</t>
  </si>
  <si>
    <t>MAN-HOURS</t>
  </si>
  <si>
    <t>INTERNAL COIL?</t>
  </si>
  <si>
    <t>DIMPLE JACKET</t>
  </si>
  <si>
    <t>HALF PIPE</t>
  </si>
  <si>
    <t>TOTAL CLEANING</t>
  </si>
  <si>
    <t>Surface area is in the calculations.  Enter that number in B5, answer the (3) yes no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</si>
</sst>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1"/>
      <name val="Aptos Narrow"/>
      <family val="2"/>
      <scheme val="minor"/>
    </font>
    <font>
      <b/>
      <sz val="12"/>
      <color theme="1"/>
      <name val="Aptos Narrow"/>
      <family val="2"/>
      <scheme val="minor"/>
    </font>
    <font>
      <sz val="11"/>
      <name val="Aptos Narrow"/>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2" fillId="0" borderId="5" xfId="0" applyFont="1" applyBorder="1" applyAlignment="1">
      <alignment horizontal="left"/>
    </xf>
    <xf numFmtId="0" fontId="2" fillId="0" borderId="6" xfId="0" applyFont="1" applyBorder="1" applyAlignment="1">
      <alignment horizontal="left"/>
    </xf>
    <xf numFmtId="0" fontId="3" fillId="0" borderId="6" xfId="0" applyFont="1" applyBorder="1" applyAlignment="1">
      <alignment horizontal="center"/>
    </xf>
    <xf numFmtId="0" fontId="1" fillId="0" borderId="7" xfId="0" applyFont="1" applyBorder="1" applyAlignment="1">
      <alignment horizontal="right"/>
    </xf>
    <xf numFmtId="0" fontId="0" fillId="0" borderId="5" xfId="0" applyBorder="1"/>
    <xf numFmtId="0" fontId="0" fillId="0" borderId="5" xfId="0" applyBorder="1" applyAlignment="1">
      <alignment wrapText="1"/>
    </xf>
    <xf numFmtId="0" fontId="0" fillId="0" borderId="8" xfId="0" applyBorder="1"/>
    <xf numFmtId="0" fontId="0" fillId="0" borderId="9" xfId="0" applyBorder="1"/>
    <xf numFmtId="0" fontId="0" fillId="0" borderId="9" xfId="0" applyBorder="1" applyAlignment="1">
      <alignment wrapText="1"/>
    </xf>
    <xf numFmtId="0" fontId="2" fillId="0" borderId="9" xfId="0" applyFont="1" applyBorder="1" applyAlignment="1">
      <alignment horizontal="left"/>
    </xf>
    <xf numFmtId="0" fontId="0" fillId="0" borderId="2" xfId="0" applyBorder="1"/>
    <xf numFmtId="0" fontId="0" fillId="0" borderId="10" xfId="0" applyBorder="1"/>
    <xf numFmtId="0" fontId="0" fillId="0" borderId="11" xfId="0" applyBorder="1"/>
    <xf numFmtId="0" fontId="2" fillId="0" borderId="11" xfId="0" applyFont="1" applyBorder="1" applyAlignment="1">
      <alignment horizontal="left"/>
    </xf>
    <xf numFmtId="0" fontId="0" fillId="0" borderId="4" xfId="0" applyBorder="1"/>
    <xf numFmtId="0" fontId="2" fillId="0" borderId="9" xfId="0" quotePrefix="1" applyFont="1" applyBorder="1" applyAlignment="1">
      <alignment horizontal="left"/>
    </xf>
    <xf numFmtId="1" fontId="1" fillId="0" borderId="9" xfId="0" applyNumberFormat="1" applyFont="1" applyBorder="1" applyAlignment="1">
      <alignment horizontal="right" vertical="center" wrapText="1"/>
    </xf>
    <xf numFmtId="0" fontId="0" fillId="0" borderId="12" xfId="0" applyBorder="1"/>
    <xf numFmtId="0" fontId="0" fillId="0" borderId="3" xfId="0" applyBorder="1"/>
    <xf numFmtId="1" fontId="2" fillId="0" borderId="11" xfId="0" applyNumberFormat="1" applyFont="1" applyBorder="1" applyAlignment="1">
      <alignment horizontal="right"/>
    </xf>
    <xf numFmtId="1" fontId="2" fillId="0" borderId="1" xfId="0" applyNumberFormat="1" applyFont="1" applyBorder="1" applyAlignment="1">
      <alignment horizontal="right"/>
    </xf>
    <xf numFmtId="0" fontId="2" fillId="0" borderId="5" xfId="0" applyFont="1" applyBorder="1" applyAlignment="1">
      <alignment horizontal="left" vertical="center"/>
    </xf>
    <xf numFmtId="0" fontId="2" fillId="0" borderId="5" xfId="0" applyFont="1" applyBorder="1" applyAlignment="1">
      <alignment horizontal="right"/>
    </xf>
    <xf numFmtId="0" fontId="2" fillId="0" borderId="5" xfId="0" applyFont="1" applyBorder="1" applyAlignment="1">
      <alignment horizontal="left" wrapText="1"/>
    </xf>
    <xf numFmtId="0" fontId="1" fillId="0" borderId="2" xfId="0" applyFont="1" applyBorder="1" applyAlignment="1">
      <alignment horizontal="right"/>
    </xf>
    <xf numFmtId="0" fontId="1" fillId="0" borderId="3" xfId="0" applyFont="1" applyBorder="1" applyAlignment="1">
      <alignment horizontal="right" wrapText="1"/>
    </xf>
    <xf numFmtId="1" fontId="1" fillId="0" borderId="11" xfId="0" applyNumberFormat="1" applyFont="1" applyBorder="1" applyAlignment="1">
      <alignment horizontal="right" vertical="center"/>
    </xf>
    <xf numFmtId="0" fontId="1" fillId="0" borderId="4" xfId="0" applyFont="1" applyBorder="1" applyAlignment="1">
      <alignment horizontal="right"/>
    </xf>
    <xf numFmtId="0" fontId="0" fillId="0" borderId="13" xfId="0" applyBorder="1"/>
    <xf numFmtId="0" fontId="0" fillId="0" borderId="14" xfId="0" applyBorder="1"/>
    <xf numFmtId="0" fontId="0" fillId="0" borderId="14" xfId="0" applyBorder="1" applyAlignment="1">
      <alignment wrapText="1"/>
    </xf>
    <xf numFmtId="0" fontId="2" fillId="0" borderId="14" xfId="0" applyFont="1" applyBorder="1" applyAlignment="1">
      <alignment horizontal="left" wrapText="1"/>
    </xf>
    <xf numFmtId="0" fontId="0" fillId="0" borderId="15" xfId="0" applyBorder="1" applyAlignment="1">
      <alignment wrapText="1"/>
    </xf>
    <xf numFmtId="0" fontId="4" fillId="0" borderId="15" xfId="0" applyFont="1" applyBorder="1" applyAlignment="1">
      <alignment wrapText="1"/>
    </xf>
    <xf numFmtId="0" fontId="0" fillId="0" borderId="2" xfId="0" applyBorder="1" applyAlignment="1">
      <alignment wrapText="1"/>
    </xf>
    <xf numFmtId="0" fontId="2" fillId="0" borderId="11" xfId="0" applyFont="1" applyBorder="1" applyAlignment="1">
      <alignment horizontal="left" wrapText="1"/>
    </xf>
    <xf numFmtId="0" fontId="0" fillId="0" borderId="3" xfId="0" applyBorder="1" applyAlignment="1">
      <alignment wrapText="1"/>
    </xf>
    <xf numFmtId="0" fontId="0" fillId="0" borderId="8" xfId="0" applyBorder="1" applyAlignment="1">
      <alignment horizontal="center"/>
    </xf>
    <xf numFmtId="0" fontId="0" fillId="0" borderId="9" xfId="0" applyBorder="1" applyAlignment="1">
      <alignment horizontal="center"/>
    </xf>
    <xf numFmtId="0" fontId="0" fillId="0" borderId="12" xfId="0" applyBorder="1" applyAlignment="1">
      <alignment wrapText="1"/>
    </xf>
    <xf numFmtId="0" fontId="0" fillId="2" borderId="3" xfId="0" applyFill="1" applyBorder="1" applyAlignment="1">
      <alignment wrapText="1"/>
    </xf>
    <xf numFmtId="1" fontId="0" fillId="0" borderId="10" xfId="0" applyNumberFormat="1" applyBorder="1"/>
    <xf numFmtId="1" fontId="0" fillId="0" borderId="11" xfId="0" applyNumberFormat="1" applyBorder="1"/>
    <xf numFmtId="1" fontId="0" fillId="2" borderId="4" xfId="0" applyNumberFormat="1" applyFill="1" applyBorder="1"/>
    <xf numFmtId="0" fontId="1" fillId="0" borderId="5" xfId="0" applyFont="1" applyBorder="1" applyAlignment="1">
      <alignment wrapText="1"/>
    </xf>
    <xf numFmtId="0" fontId="0" fillId="2" borderId="3" xfId="0" applyFill="1" applyBorder="1"/>
    <xf numFmtId="0" fontId="0" fillId="2" borderId="4" xfId="0" applyFill="1" applyBorder="1"/>
    <xf numFmtId="0" fontId="4" fillId="0" borderId="14" xfId="0" applyFont="1" applyBorder="1" applyAlignment="1">
      <alignment wrapText="1"/>
    </xf>
    <xf numFmtId="1" fontId="2" fillId="0" borderId="9" xfId="0" applyNumberFormat="1" applyFont="1" applyBorder="1" applyAlignment="1">
      <alignment horizontal="right" wrapText="1"/>
    </xf>
    <xf numFmtId="0" fontId="0" fillId="0" borderId="9" xfId="0" applyBorder="1" applyAlignment="1">
      <alignment horizontal="center"/>
    </xf>
    <xf numFmtId="0" fontId="0" fillId="0" borderId="0" xfId="0"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P:\Chris\Estimate%20Sheet%20V%202.0%20-%20Chris.xlsx" TargetMode="External"/><Relationship Id="rId1" Type="http://schemas.openxmlformats.org/officeDocument/2006/relationships/externalLinkPath" Target="/Chris/Estimate%20Sheet%20V%202.0%20-%20Chr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ESTIMATE"/>
      <sheetName val="MASTER"/>
      <sheetName val="FINISHING"/>
      <sheetName val="Tank Types"/>
      <sheetName val="CST"/>
      <sheetName val="304LSS"/>
      <sheetName val="316L SS"/>
      <sheetName val="ADD-ONS"/>
      <sheetName val="Plate Price"/>
      <sheetName val="Notes"/>
      <sheetName val="Change Order"/>
      <sheetName val="Sheet Calculator"/>
      <sheetName val="Plate Weight"/>
      <sheetName val="Tank Pricing"/>
      <sheetName val="2205 Duplex SS"/>
      <sheetName val="C27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9EC67-0BB2-4D21-8D66-D53F74D7FFE2}">
  <sheetPr>
    <pageSetUpPr fitToPage="1"/>
  </sheetPr>
  <dimension ref="A1:J17"/>
  <sheetViews>
    <sheetView tabSelected="1" topLeftCell="A12" zoomScale="90" zoomScaleNormal="90" workbookViewId="0">
      <selection activeCell="A21" sqref="A21"/>
    </sheetView>
  </sheetViews>
  <sheetFormatPr defaultRowHeight="15"/>
  <cols>
    <col min="1" max="1" width="41.7109375" customWidth="1"/>
    <col min="3" max="3" width="24.85546875" bestFit="1" customWidth="1"/>
    <col min="4" max="4" width="26.7109375" bestFit="1" customWidth="1"/>
    <col min="5" max="5" width="20.42578125" bestFit="1" customWidth="1"/>
    <col min="6" max="6" width="44" customWidth="1"/>
    <col min="7" max="7" width="24.42578125" bestFit="1" customWidth="1"/>
    <col min="8" max="8" width="56.7109375" bestFit="1" customWidth="1"/>
    <col min="9" max="9" width="12.85546875" customWidth="1"/>
    <col min="10" max="10" width="40.5703125" bestFit="1" customWidth="1"/>
  </cols>
  <sheetData>
    <row r="1" spans="1:10" ht="90">
      <c r="A1" s="1" t="s">
        <v>0</v>
      </c>
    </row>
    <row r="2" spans="1:10" ht="16.5" thickBot="1">
      <c r="C2" t="s">
        <v>1</v>
      </c>
      <c r="D2" t="s">
        <v>2</v>
      </c>
      <c r="E2" t="s">
        <v>3</v>
      </c>
      <c r="F2" t="s">
        <v>4</v>
      </c>
      <c r="H2" s="3" t="s">
        <v>5</v>
      </c>
      <c r="I2" s="4" t="s">
        <v>6</v>
      </c>
      <c r="J2" s="5" t="s">
        <v>7</v>
      </c>
    </row>
    <row r="3" spans="1:10" ht="30.75" thickBot="1">
      <c r="C3" s="8" t="s">
        <v>8</v>
      </c>
      <c r="D3" s="9" t="s">
        <v>9</v>
      </c>
      <c r="E3" s="10"/>
      <c r="F3" s="10" t="s">
        <v>10</v>
      </c>
      <c r="G3" s="9"/>
      <c r="H3" s="11" t="s">
        <v>11</v>
      </c>
      <c r="I3" s="10" t="s">
        <v>12</v>
      </c>
      <c r="J3" s="36" t="s">
        <v>13</v>
      </c>
    </row>
    <row r="4" spans="1:10" ht="45.75" thickBot="1">
      <c r="C4" s="8" t="s">
        <v>14</v>
      </c>
      <c r="D4" s="9" t="s">
        <v>9</v>
      </c>
      <c r="E4" s="10" t="s">
        <v>15</v>
      </c>
      <c r="F4" s="10" t="s">
        <v>16</v>
      </c>
      <c r="G4" s="9"/>
      <c r="H4" s="17" t="s">
        <v>14</v>
      </c>
      <c r="I4" s="18" t="s">
        <v>17</v>
      </c>
      <c r="J4" s="12" t="s">
        <v>18</v>
      </c>
    </row>
    <row r="5" spans="1:10" ht="15.75" thickBot="1">
      <c r="C5" s="19" t="s">
        <v>19</v>
      </c>
      <c r="D5" s="6" t="s">
        <v>20</v>
      </c>
      <c r="E5" s="10"/>
      <c r="F5" s="6" t="s">
        <v>21</v>
      </c>
      <c r="G5" s="6"/>
      <c r="H5" s="46" t="s">
        <v>19</v>
      </c>
      <c r="I5" s="46" t="s">
        <v>17</v>
      </c>
      <c r="J5" s="38" t="s">
        <v>22</v>
      </c>
    </row>
    <row r="6" spans="1:10" ht="120.75" thickBot="1">
      <c r="C6" s="8" t="s">
        <v>23</v>
      </c>
      <c r="D6" s="9" t="s">
        <v>9</v>
      </c>
      <c r="E6" s="10" t="s">
        <v>24</v>
      </c>
      <c r="F6" s="10"/>
      <c r="G6" s="9"/>
      <c r="H6" s="23" t="s">
        <v>23</v>
      </c>
      <c r="I6" s="22" t="s">
        <v>17</v>
      </c>
      <c r="J6" s="24" t="s">
        <v>25</v>
      </c>
    </row>
    <row r="7" spans="1:10" ht="120">
      <c r="C7" s="8" t="s">
        <v>26</v>
      </c>
      <c r="D7" s="9" t="s">
        <v>9</v>
      </c>
      <c r="E7" s="10" t="s">
        <v>27</v>
      </c>
      <c r="F7" s="10"/>
      <c r="G7" s="9"/>
      <c r="H7" s="11" t="s">
        <v>28</v>
      </c>
      <c r="I7" s="18" t="s">
        <v>29</v>
      </c>
      <c r="J7" s="26" t="s">
        <v>25</v>
      </c>
    </row>
    <row r="8" spans="1:10" ht="225">
      <c r="C8" s="19" t="s">
        <v>30</v>
      </c>
      <c r="D8" s="6" t="s">
        <v>20</v>
      </c>
      <c r="E8" s="6"/>
      <c r="F8" s="7"/>
      <c r="G8" s="6"/>
      <c r="H8" s="25" t="s">
        <v>30</v>
      </c>
      <c r="I8" s="7" t="s">
        <v>31</v>
      </c>
      <c r="J8" s="27" t="s">
        <v>32</v>
      </c>
    </row>
    <row r="9" spans="1:10" ht="15.75" thickBot="1">
      <c r="C9" s="13" t="s">
        <v>33</v>
      </c>
      <c r="D9" s="14" t="s">
        <v>20</v>
      </c>
      <c r="E9" s="14"/>
      <c r="F9" s="14" t="s">
        <v>34</v>
      </c>
      <c r="G9" s="14"/>
      <c r="H9" s="15" t="s">
        <v>33</v>
      </c>
      <c r="I9" s="28" t="s">
        <v>35</v>
      </c>
      <c r="J9" s="29" t="s">
        <v>36</v>
      </c>
    </row>
    <row r="10" spans="1:10" ht="120.75" thickBot="1">
      <c r="C10" s="30" t="s">
        <v>37</v>
      </c>
      <c r="D10" s="31" t="s">
        <v>9</v>
      </c>
      <c r="E10" s="32" t="s">
        <v>38</v>
      </c>
      <c r="F10" s="32"/>
      <c r="G10" s="31"/>
      <c r="H10" s="33"/>
      <c r="I10" s="31" t="s">
        <v>39</v>
      </c>
      <c r="J10" s="34" t="s">
        <v>40</v>
      </c>
    </row>
    <row r="11" spans="1:10" ht="120.75" thickBot="1">
      <c r="C11" s="30" t="s">
        <v>41</v>
      </c>
      <c r="D11" s="31" t="s">
        <v>9</v>
      </c>
      <c r="E11" s="32" t="s">
        <v>42</v>
      </c>
      <c r="F11" s="32" t="s">
        <v>43</v>
      </c>
      <c r="G11" s="31"/>
      <c r="H11" s="33"/>
      <c r="I11" s="49" t="s">
        <v>44</v>
      </c>
      <c r="J11" s="35" t="s">
        <v>45</v>
      </c>
    </row>
    <row r="12" spans="1:10" ht="135.75" thickBot="1">
      <c r="C12" s="30" t="s">
        <v>46</v>
      </c>
      <c r="D12" s="31" t="s">
        <v>9</v>
      </c>
      <c r="E12" s="32" t="s">
        <v>47</v>
      </c>
      <c r="F12" s="32" t="s">
        <v>48</v>
      </c>
      <c r="G12" s="31"/>
      <c r="H12" s="33"/>
      <c r="I12" s="49" t="s">
        <v>49</v>
      </c>
      <c r="J12" s="34" t="s">
        <v>50</v>
      </c>
    </row>
    <row r="13" spans="1:10" ht="75.75" thickBot="1">
      <c r="C13" s="8" t="s">
        <v>51</v>
      </c>
      <c r="D13" s="9" t="s">
        <v>9</v>
      </c>
      <c r="E13" s="10" t="s">
        <v>52</v>
      </c>
      <c r="F13" s="10" t="s">
        <v>53</v>
      </c>
      <c r="G13" s="9"/>
      <c r="H13" s="11"/>
      <c r="I13" s="50" t="s">
        <v>54</v>
      </c>
      <c r="J13" s="36" t="s">
        <v>55</v>
      </c>
    </row>
    <row r="14" spans="1:10" ht="75">
      <c r="C14" s="19" t="s">
        <v>56</v>
      </c>
      <c r="D14" s="6" t="s">
        <v>9</v>
      </c>
      <c r="E14" s="6" t="s">
        <v>57</v>
      </c>
      <c r="F14" s="6" t="s">
        <v>53</v>
      </c>
      <c r="G14" s="6"/>
      <c r="H14" s="25"/>
      <c r="I14" s="50" t="s">
        <v>54</v>
      </c>
      <c r="J14" s="36" t="s">
        <v>55</v>
      </c>
    </row>
    <row r="15" spans="1:10" ht="15.75" thickBot="1">
      <c r="C15" s="19" t="s">
        <v>58</v>
      </c>
      <c r="D15" s="6" t="s">
        <v>9</v>
      </c>
      <c r="E15" s="6" t="s">
        <v>59</v>
      </c>
      <c r="F15" s="6" t="s">
        <v>53</v>
      </c>
      <c r="G15" s="6"/>
      <c r="H15" s="6"/>
      <c r="I15" s="6" t="s">
        <v>60</v>
      </c>
      <c r="J15" s="20" t="s">
        <v>61</v>
      </c>
    </row>
    <row r="16" spans="1:10" ht="75">
      <c r="C16" s="19" t="s">
        <v>62</v>
      </c>
      <c r="D16" s="6" t="s">
        <v>9</v>
      </c>
      <c r="E16" s="7" t="s">
        <v>63</v>
      </c>
      <c r="F16" s="7" t="s">
        <v>53</v>
      </c>
      <c r="G16" s="6"/>
      <c r="H16" s="2"/>
      <c r="I16" s="50" t="s">
        <v>64</v>
      </c>
      <c r="J16" s="36" t="s">
        <v>65</v>
      </c>
    </row>
    <row r="17" spans="3:10" ht="15.75" thickBot="1">
      <c r="C17" s="13" t="s">
        <v>66</v>
      </c>
      <c r="D17" s="14" t="s">
        <v>67</v>
      </c>
      <c r="E17" s="14" t="s">
        <v>68</v>
      </c>
      <c r="F17" s="14" t="s">
        <v>53</v>
      </c>
      <c r="G17" s="14"/>
      <c r="H17" s="37"/>
      <c r="I17" s="21">
        <v>6000</v>
      </c>
      <c r="J17" s="16" t="s">
        <v>61</v>
      </c>
    </row>
  </sheetData>
  <pageMargins left="0.7" right="0.7" top="0.75" bottom="0.75" header="0.3" footer="0.3"/>
  <pageSetup paperSize="3" scale="3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FC56D-7363-4DE9-BD49-FD4DF77682D7}">
  <dimension ref="B2:R26"/>
  <sheetViews>
    <sheetView workbookViewId="0">
      <selection activeCell="J5" sqref="J5"/>
    </sheetView>
  </sheetViews>
  <sheetFormatPr defaultRowHeight="15"/>
  <cols>
    <col min="4" max="4" width="12.140625" bestFit="1" customWidth="1"/>
    <col min="14" max="14" width="11.7109375" customWidth="1"/>
  </cols>
  <sheetData>
    <row r="2" spans="2:18" ht="15.75" thickBot="1"/>
    <row r="3" spans="2:18">
      <c r="B3" s="39" t="s">
        <v>69</v>
      </c>
      <c r="C3" s="9" t="s">
        <v>70</v>
      </c>
      <c r="D3" s="9" t="s">
        <v>71</v>
      </c>
      <c r="E3" s="9" t="s">
        <v>72</v>
      </c>
      <c r="F3" s="51" t="s">
        <v>73</v>
      </c>
      <c r="G3" s="51"/>
      <c r="H3" s="51"/>
      <c r="I3" s="51"/>
      <c r="J3" s="51"/>
      <c r="K3" s="51"/>
      <c r="L3" s="51"/>
      <c r="M3" s="51"/>
      <c r="N3" s="51"/>
      <c r="O3" s="51"/>
      <c r="P3" s="51"/>
      <c r="Q3" s="40"/>
      <c r="R3" s="12"/>
    </row>
    <row r="4" spans="2:18" ht="45">
      <c r="B4" s="19">
        <f>[1]ESTIMATE!J3</f>
        <v>0</v>
      </c>
      <c r="C4" s="6" t="str">
        <f>IF(B4&lt;73,"YES","NO")</f>
        <v>YES</v>
      </c>
      <c r="D4" s="6" t="str">
        <f>IF(OR(C4="YES",E4="YES"),"NO","YES")</f>
        <v>NO</v>
      </c>
      <c r="E4" s="6" t="str">
        <f>IF(B4&gt;131,"YES","NO")</f>
        <v>NO</v>
      </c>
      <c r="F4" s="6"/>
      <c r="G4" s="6" t="s">
        <v>74</v>
      </c>
      <c r="H4" s="6" t="s">
        <v>75</v>
      </c>
      <c r="I4" s="7" t="s">
        <v>76</v>
      </c>
      <c r="J4" s="7" t="s">
        <v>77</v>
      </c>
      <c r="K4" s="7" t="s">
        <v>78</v>
      </c>
      <c r="L4" s="7" t="s">
        <v>79</v>
      </c>
      <c r="M4" s="7" t="s">
        <v>80</v>
      </c>
      <c r="N4" s="7" t="s">
        <v>81</v>
      </c>
      <c r="O4" s="7"/>
      <c r="P4" s="7" t="s">
        <v>82</v>
      </c>
      <c r="Q4" s="7"/>
      <c r="R4" s="42" t="s">
        <v>83</v>
      </c>
    </row>
    <row r="5" spans="2:18">
      <c r="B5" s="19"/>
      <c r="C5" s="6"/>
      <c r="D5" s="6"/>
      <c r="E5" s="6"/>
      <c r="F5" s="6" t="s">
        <v>70</v>
      </c>
      <c r="G5" s="6">
        <f>IF($B$3="YES",2,0)</f>
        <v>0</v>
      </c>
      <c r="H5" s="6">
        <f>IF($B$3="YES",2,0)</f>
        <v>0</v>
      </c>
      <c r="I5" s="6"/>
      <c r="J5" s="6">
        <f>IF(I5="YES",2,0)</f>
        <v>0</v>
      </c>
      <c r="K5" s="6">
        <f>IF($B$3="YES",3,0)</f>
        <v>0</v>
      </c>
      <c r="L5" s="6"/>
      <c r="M5" s="6">
        <f>IF(L5="YES",1,0)</f>
        <v>0</v>
      </c>
      <c r="N5" s="6"/>
      <c r="O5" s="6">
        <f>IF(N5="YES",4,0)</f>
        <v>0</v>
      </c>
      <c r="P5" s="6"/>
      <c r="Q5" s="6">
        <f>IF(P5="YES",2,0)</f>
        <v>0</v>
      </c>
      <c r="R5" s="47">
        <f>SUM(Q5+O5+M5+K5+J5+H5+G5)</f>
        <v>0</v>
      </c>
    </row>
    <row r="6" spans="2:18">
      <c r="B6" s="19"/>
      <c r="C6" s="6"/>
      <c r="D6" s="6"/>
      <c r="E6" s="6"/>
      <c r="F6" s="6" t="s">
        <v>71</v>
      </c>
      <c r="G6" s="6">
        <f>IF($C$3="YES",2,0)</f>
        <v>0</v>
      </c>
      <c r="H6" s="6">
        <f>IF(D$3="YES",2,0)</f>
        <v>0</v>
      </c>
      <c r="I6" s="6"/>
      <c r="J6" s="6">
        <f t="shared" ref="J6" si="0">IF(I6="YES",2,0)</f>
        <v>0</v>
      </c>
      <c r="K6" s="6">
        <f>IF($C$3="YES",4,0)</f>
        <v>0</v>
      </c>
      <c r="L6" s="6"/>
      <c r="M6" s="6">
        <f>IF(L6="YES",1,0)</f>
        <v>0</v>
      </c>
      <c r="N6" s="6"/>
      <c r="O6" s="6">
        <f>IF(N6="YES",4,0)</f>
        <v>0</v>
      </c>
      <c r="P6" s="6"/>
      <c r="Q6" s="6">
        <f t="shared" ref="Q6" si="1">IF(P6="YES",2,0)</f>
        <v>0</v>
      </c>
      <c r="R6" s="47">
        <f>SUM(Q6+O6+M6+K6+J6+H6+G6)</f>
        <v>0</v>
      </c>
    </row>
    <row r="7" spans="2:18" ht="15.75" thickBot="1">
      <c r="B7" s="13"/>
      <c r="C7" s="14"/>
      <c r="D7" s="14"/>
      <c r="E7" s="14"/>
      <c r="F7" s="14" t="s">
        <v>72</v>
      </c>
      <c r="G7" s="14">
        <f>IF($D$3="YES",2,0)</f>
        <v>0</v>
      </c>
      <c r="H7" s="14">
        <f>IF($D$3="YES",2,0)</f>
        <v>0</v>
      </c>
      <c r="I7" s="14"/>
      <c r="J7" s="14">
        <f>IF(I7="YES",4,0)</f>
        <v>0</v>
      </c>
      <c r="K7" s="14">
        <f>IF($D$3="YES",6,0)</f>
        <v>0</v>
      </c>
      <c r="L7" s="14"/>
      <c r="M7" s="14">
        <f>IF(L7="YES",2,0)</f>
        <v>0</v>
      </c>
      <c r="N7" s="14"/>
      <c r="O7" s="14">
        <f>IF(N7="YES",4,0)</f>
        <v>0</v>
      </c>
      <c r="P7" s="14"/>
      <c r="Q7" s="14">
        <f>IF(P7="YES",2,0)</f>
        <v>0</v>
      </c>
      <c r="R7" s="48">
        <f>SUM(Q7+O7+M7+K7+J7+H7+G7)</f>
        <v>0</v>
      </c>
    </row>
    <row r="18" spans="9:13">
      <c r="I18" s="52" t="s">
        <v>84</v>
      </c>
      <c r="J18" s="52"/>
      <c r="K18" s="52"/>
      <c r="L18" s="52"/>
      <c r="M18" s="52"/>
    </row>
    <row r="19" spans="9:13">
      <c r="I19" s="52"/>
      <c r="J19" s="52"/>
      <c r="K19" s="52"/>
      <c r="L19" s="52"/>
      <c r="M19" s="52"/>
    </row>
    <row r="20" spans="9:13">
      <c r="I20" s="52"/>
      <c r="J20" s="52"/>
      <c r="K20" s="52"/>
      <c r="L20" s="52"/>
      <c r="M20" s="52"/>
    </row>
    <row r="21" spans="9:13">
      <c r="I21" s="52"/>
      <c r="J21" s="52"/>
      <c r="K21" s="52"/>
      <c r="L21" s="52"/>
      <c r="M21" s="52"/>
    </row>
    <row r="22" spans="9:13">
      <c r="I22" s="52"/>
      <c r="J22" s="52"/>
      <c r="K22" s="52"/>
      <c r="L22" s="52"/>
      <c r="M22" s="52"/>
    </row>
    <row r="23" spans="9:13">
      <c r="I23" s="52"/>
      <c r="J23" s="52"/>
      <c r="K23" s="52"/>
      <c r="L23" s="52"/>
      <c r="M23" s="52"/>
    </row>
    <row r="24" spans="9:13">
      <c r="I24" s="52"/>
      <c r="J24" s="52"/>
      <c r="K24" s="52"/>
      <c r="L24" s="52"/>
      <c r="M24" s="52"/>
    </row>
    <row r="25" spans="9:13">
      <c r="I25" s="52"/>
      <c r="J25" s="52"/>
      <c r="K25" s="52"/>
      <c r="L25" s="52"/>
      <c r="M25" s="52"/>
    </row>
    <row r="26" spans="9:13">
      <c r="I26" s="52"/>
      <c r="J26" s="52"/>
      <c r="K26" s="52"/>
      <c r="L26" s="52"/>
      <c r="M26" s="52"/>
    </row>
  </sheetData>
  <mergeCells count="2">
    <mergeCell ref="F3:P3"/>
    <mergeCell ref="I18:M26"/>
  </mergeCells>
  <dataValidations count="1">
    <dataValidation type="list" allowBlank="1" showInputMessage="1" showErrorMessage="1" sqref="I5:I7 L5:L7 N5:N7 P5:P7" xr:uid="{4EF6425B-9EE4-483D-8E97-D44AC1FAF54B}">
      <formula1>$I$15:$I$17</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3AC2-6F99-461D-A9DF-4D28C49ED197}">
  <dimension ref="F2:Q7"/>
  <sheetViews>
    <sheetView workbookViewId="0">
      <selection activeCell="I16" sqref="I16"/>
    </sheetView>
  </sheetViews>
  <sheetFormatPr defaultRowHeight="15"/>
  <sheetData>
    <row r="2" spans="6:17" ht="15.75" thickBot="1"/>
    <row r="3" spans="6:17">
      <c r="F3" s="39" t="s">
        <v>69</v>
      </c>
      <c r="G3" s="9" t="s">
        <v>70</v>
      </c>
      <c r="H3" s="9" t="s">
        <v>71</v>
      </c>
      <c r="I3" s="9" t="s">
        <v>72</v>
      </c>
      <c r="J3" s="53" t="s">
        <v>85</v>
      </c>
      <c r="K3" s="51"/>
      <c r="L3" s="51"/>
      <c r="M3" s="51"/>
      <c r="N3" s="51"/>
      <c r="O3" s="51"/>
      <c r="P3" s="51"/>
      <c r="Q3" s="54"/>
    </row>
    <row r="4" spans="6:17" ht="105">
      <c r="F4" s="19">
        <f>[1]ESTIMATE!N3</f>
        <v>0</v>
      </c>
      <c r="G4" s="6" t="str">
        <f>IF(F4&lt;73,"YES","NO")</f>
        <v>YES</v>
      </c>
      <c r="H4" s="6" t="str">
        <f>IF(OR(G4="YES",I4="YES"),"NO","YES")</f>
        <v>NO</v>
      </c>
      <c r="I4" s="6" t="str">
        <f>IF(F4&gt;131,"YES","NO")</f>
        <v>NO</v>
      </c>
      <c r="J4" s="41"/>
      <c r="K4" s="7" t="s">
        <v>86</v>
      </c>
      <c r="L4" s="7" t="s">
        <v>85</v>
      </c>
      <c r="M4" s="7" t="s">
        <v>87</v>
      </c>
      <c r="N4" s="7" t="s">
        <v>88</v>
      </c>
      <c r="O4" s="7" t="s">
        <v>89</v>
      </c>
      <c r="P4" s="7" t="s">
        <v>90</v>
      </c>
      <c r="Q4" s="42" t="s">
        <v>91</v>
      </c>
    </row>
    <row r="5" spans="6:17">
      <c r="F5" s="19"/>
      <c r="G5" s="6"/>
      <c r="H5" s="6"/>
      <c r="I5" s="6"/>
      <c r="J5" s="19" t="s">
        <v>70</v>
      </c>
      <c r="K5" s="6"/>
      <c r="L5" s="6" t="str" cm="1">
        <f t="array" ref="L5">IFERROR(_xlfn.IFS(K5="HYDRO",8,K5="PNUEMATIC",5),"")</f>
        <v/>
      </c>
      <c r="M5" s="6"/>
      <c r="N5" s="6">
        <f>IF(M5="YES",4,0)</f>
        <v>0</v>
      </c>
      <c r="O5" s="6"/>
      <c r="P5" s="6">
        <f>IF(O5="YES",8,0)</f>
        <v>0</v>
      </c>
      <c r="Q5" s="47" t="str">
        <f>IFERROR(SUM(P5+N5+L5),"")</f>
        <v/>
      </c>
    </row>
    <row r="6" spans="6:17">
      <c r="F6" s="19"/>
      <c r="G6" s="6"/>
      <c r="H6" s="6"/>
      <c r="I6" s="6"/>
      <c r="J6" s="19" t="s">
        <v>92</v>
      </c>
      <c r="K6" s="6"/>
      <c r="L6" s="6" t="str" cm="1">
        <f t="array" ref="L6">IFERROR(_xlfn.IFS(K6="HYDRO",14,K6="PNUEMATIC",9),"")</f>
        <v/>
      </c>
      <c r="M6" s="6"/>
      <c r="N6" s="6">
        <f t="shared" ref="N6:N7" si="0">IF(M6="YES",4,0)</f>
        <v>0</v>
      </c>
      <c r="O6" s="6"/>
      <c r="P6" s="6">
        <f t="shared" ref="P6:P7" si="1">IF(O6="YES",8,0)</f>
        <v>0</v>
      </c>
      <c r="Q6" s="47" t="str">
        <f t="shared" ref="Q6:Q7" si="2">IFERROR(SUM(P6+N6+L6),"")</f>
        <v/>
      </c>
    </row>
    <row r="7" spans="6:17" ht="15.75" thickBot="1">
      <c r="F7" s="13"/>
      <c r="G7" s="14"/>
      <c r="H7" s="14"/>
      <c r="I7" s="14"/>
      <c r="J7" s="13" t="s">
        <v>72</v>
      </c>
      <c r="K7" s="14"/>
      <c r="L7" s="14" t="str" cm="1">
        <f t="array" ref="L7">IFERROR(_xlfn.IFS(K7="HYDRO",20,K7="PNUEMATIC",13),"")</f>
        <v/>
      </c>
      <c r="M7" s="14"/>
      <c r="N7" s="14">
        <f t="shared" si="0"/>
        <v>0</v>
      </c>
      <c r="O7" s="14"/>
      <c r="P7" s="14">
        <f t="shared" si="1"/>
        <v>0</v>
      </c>
      <c r="Q7" s="48" t="str">
        <f t="shared" si="2"/>
        <v/>
      </c>
    </row>
  </sheetData>
  <mergeCells count="1">
    <mergeCell ref="J3:Q3"/>
  </mergeCells>
  <dataValidations count="2">
    <dataValidation type="list" allowBlank="1" showInputMessage="1" showErrorMessage="1" sqref="K5:K7" xr:uid="{38AA9BFA-F78F-4C25-A947-A39AC2A5EA73}">
      <formula1>$I$19:$I$21</formula1>
    </dataValidation>
    <dataValidation type="list" allowBlank="1" showInputMessage="1" showErrorMessage="1" sqref="M5:M7 O5:O7" xr:uid="{6AFB16C2-E99B-4ADF-B127-B67FDE86B3C8}">
      <formula1>$I$15:$I$17</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7BC74-3DF0-41A9-8CD7-4411E29CCCFA}">
  <dimension ref="B2:J18"/>
  <sheetViews>
    <sheetView workbookViewId="0">
      <selection activeCell="D1" sqref="D1:J1048576"/>
    </sheetView>
  </sheetViews>
  <sheetFormatPr defaultRowHeight="15"/>
  <cols>
    <col min="3" max="3" width="0" hidden="1" customWidth="1"/>
    <col min="5" max="5" width="0" hidden="1" customWidth="1"/>
    <col min="7" max="7" width="0" hidden="1" customWidth="1"/>
    <col min="9" max="9" width="0" hidden="1" customWidth="1"/>
  </cols>
  <sheetData>
    <row r="2" spans="2:10" ht="15.75" thickBot="1"/>
    <row r="3" spans="2:10">
      <c r="B3" s="53" t="s">
        <v>14</v>
      </c>
      <c r="C3" s="51"/>
      <c r="D3" s="51"/>
      <c r="E3" s="51"/>
      <c r="F3" s="51"/>
      <c r="G3" s="51"/>
      <c r="H3" s="51"/>
      <c r="I3" s="51"/>
      <c r="J3" s="54"/>
    </row>
    <row r="4" spans="2:10" ht="45">
      <c r="B4" s="41" t="s">
        <v>93</v>
      </c>
      <c r="C4" s="7" t="s">
        <v>94</v>
      </c>
      <c r="D4" s="7" t="s">
        <v>95</v>
      </c>
      <c r="E4" s="7"/>
      <c r="F4" s="7" t="s">
        <v>96</v>
      </c>
      <c r="G4" s="7"/>
      <c r="H4" s="7" t="s">
        <v>97</v>
      </c>
      <c r="I4" s="7"/>
      <c r="J4" s="42" t="s">
        <v>98</v>
      </c>
    </row>
    <row r="5" spans="2:10" ht="15.75" thickBot="1">
      <c r="B5" s="43">
        <v>750</v>
      </c>
      <c r="C5" s="44" cm="1">
        <f t="array" ref="C5">_xlfn.IFS(B5="", "",B5&lt;100, 8,AND(B5&gt;100,B5&lt;200.1),12,B5&gt;200, 0.465 * (B5^0.649))</f>
        <v>34.148191860918566</v>
      </c>
      <c r="D5" s="14" t="s">
        <v>20</v>
      </c>
      <c r="E5" s="44">
        <f>IF(D5="YES",C5*0.2,0)</f>
        <v>0</v>
      </c>
      <c r="F5" s="14" t="s">
        <v>20</v>
      </c>
      <c r="G5" s="44">
        <f>IF(F5="YES",C5*0.1,0)</f>
        <v>0</v>
      </c>
      <c r="H5" s="14" t="s">
        <v>20</v>
      </c>
      <c r="I5" s="44">
        <f>IF(H5="YES",C5*0.1,0)</f>
        <v>0</v>
      </c>
      <c r="J5" s="45">
        <f>IFERROR(SUM(I5+G5+E5+C5),"")</f>
        <v>34.148191860918566</v>
      </c>
    </row>
    <row r="14" spans="2:10">
      <c r="B14" s="55" t="s">
        <v>99</v>
      </c>
      <c r="C14" s="55"/>
      <c r="D14" s="55"/>
      <c r="E14" s="55"/>
      <c r="F14" s="55"/>
      <c r="G14" s="55"/>
    </row>
    <row r="15" spans="2:10">
      <c r="B15" s="55"/>
      <c r="C15" s="55"/>
      <c r="D15" s="55"/>
      <c r="E15" s="55"/>
      <c r="F15" s="55"/>
      <c r="G15" s="55"/>
    </row>
    <row r="16" spans="2:10">
      <c r="B16" s="55"/>
      <c r="C16" s="55"/>
      <c r="D16" s="55"/>
      <c r="E16" s="55"/>
      <c r="F16" s="55"/>
      <c r="G16" s="55"/>
    </row>
    <row r="17" spans="2:7">
      <c r="B17" s="55"/>
      <c r="C17" s="55"/>
      <c r="D17" s="55"/>
      <c r="E17" s="55"/>
      <c r="F17" s="55"/>
      <c r="G17" s="55"/>
    </row>
    <row r="18" spans="2:7">
      <c r="B18" s="55"/>
      <c r="C18" s="55"/>
      <c r="D18" s="55"/>
      <c r="E18" s="55"/>
      <c r="F18" s="55"/>
      <c r="G18" s="55"/>
    </row>
  </sheetData>
  <mergeCells count="2">
    <mergeCell ref="B3:J3"/>
    <mergeCell ref="B14:G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Fletcher</dc:creator>
  <cp:keywords/>
  <dc:description/>
  <cp:lastModifiedBy/>
  <cp:revision/>
  <dcterms:created xsi:type="dcterms:W3CDTF">2025-05-01T11:33:17Z</dcterms:created>
  <dcterms:modified xsi:type="dcterms:W3CDTF">2025-06-22T17:35:36Z</dcterms:modified>
  <cp:category/>
  <cp:contentStatus/>
</cp:coreProperties>
</file>