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updateLinks="always" codeName="ThisWorkbook" defaultThemeVersion="124226"/>
  <mc:AlternateContent xmlns:mc="http://schemas.openxmlformats.org/markup-compatibility/2006">
    <mc:Choice Requires="x15">
      <x15ac:absPath xmlns:x15ac="http://schemas.microsoft.com/office/spreadsheetml/2010/11/ac" url="C:\Users\Kelly\Dropbox (CRPD)\CRPD Team Folder\Research 2020\Health care mergers\Data\HAR\"/>
    </mc:Choice>
  </mc:AlternateContent>
  <xr:revisionPtr revIDLastSave="0" documentId="13_ncr:1_{AA8C99BF-FE67-4224-B558-8F748F124212}" xr6:coauthVersionLast="45" xr6:coauthVersionMax="45" xr10:uidLastSave="{00000000-0000-0000-0000-000000000000}"/>
  <bookViews>
    <workbookView xWindow="-110" yWindow="-110" windowWidth="25820" windowHeight="14020" tabRatio="793" activeTab="1" xr2:uid="{00000000-000D-0000-FFFF-FFFF00000000}"/>
  </bookViews>
  <sheets>
    <sheet name="Tip Sheet" sheetId="5" r:id="rId1"/>
    <sheet name="2017 HAR" sheetId="1" r:id="rId2"/>
    <sheet name="Service Line Data" sheetId="2" r:id="rId3"/>
    <sheet name="Capital Expend Project Specific" sheetId="13" r:id="rId4"/>
    <sheet name="Offsite Locations" sheetId="12" r:id="rId5"/>
    <sheet name="Audit Checks" sheetId="6" r:id="rId6"/>
    <sheet name="Verify_Data_MA_Surcharge" sheetId="11" r:id="rId7"/>
    <sheet name="Prior Cap Exp Report" sheetId="16" r:id="rId8"/>
    <sheet name="Reclassifications" sheetId="7" r:id="rId9"/>
    <sheet name="Definitions" sheetId="8" r:id="rId10"/>
    <sheet name="HCCIS_ID" sheetId="9" r:id="rId11"/>
    <sheet name="CAP Data" sheetId="17" state="hidden" r:id="rId12"/>
    <sheet name="CapExpData" sheetId="15" state="hidden" r:id="rId13"/>
    <sheet name="Audit_Tab_Data" sheetId="10" state="hidden" r:id="rId14"/>
  </sheets>
  <externalReferences>
    <externalReference r:id="rId15"/>
    <externalReference r:id="rId16"/>
  </externalReferences>
  <definedNames>
    <definedName name="_xlnm._FilterDatabase" localSheetId="11" hidden="1">'CAP Data'!$A$2:$Q$269</definedName>
    <definedName name="_xlnm._FilterDatabase" localSheetId="10" hidden="1">HCCIS_ID!$A$2:$D$2</definedName>
    <definedName name="adj_contractual">'Audit Checks'!$A$3</definedName>
    <definedName name="audit_check">'Audit Checks'!$A$1</definedName>
    <definedName name="Cap_Expend_Name">'2017 HAR'!$E$60</definedName>
    <definedName name="Code_0200">'2017 HAR'!$L$85</definedName>
    <definedName name="Code_0201">'2017 HAR'!$L$70</definedName>
    <definedName name="Code_0202">'2017 HAR'!$L$73</definedName>
    <definedName name="Code_0203">'2017 HAR'!$L$74</definedName>
    <definedName name="Code_0204">'2017 HAR'!$L$71</definedName>
    <definedName name="Code_0207">'2017 HAR'!$L$72</definedName>
    <definedName name="Code_0208">'2017 HAR'!$L$76</definedName>
    <definedName name="Code_0210">'2017 HAR'!$L$77</definedName>
    <definedName name="Code_0215">'2017 HAR'!$L$78</definedName>
    <definedName name="Code_0216">'2017 HAR'!$L$79</definedName>
    <definedName name="Code_0219">'2017 HAR'!$L$81</definedName>
    <definedName name="Code_0220">'2017 HAR'!$L$80</definedName>
    <definedName name="Code_0240">'2017 HAR'!$L$82</definedName>
    <definedName name="Code_0250">'2017 HAR'!$L$83</definedName>
    <definedName name="Code_0260">'2017 HAR'!$L$84</definedName>
    <definedName name="Code_0300">'2017 HAR'!$L$90</definedName>
    <definedName name="Code_0320">'2017 HAR'!$L$87</definedName>
    <definedName name="Code_0330">'2017 HAR'!$L$88</definedName>
    <definedName name="Code_0333">'2017 HAR'!$L$89</definedName>
    <definedName name="Code_0340">'2017 HAR'!$L$91</definedName>
    <definedName name="Code_0600">'2017 HAR'!$L$255</definedName>
    <definedName name="Code_0601">'2017 HAR'!$L$244</definedName>
    <definedName name="Code_0602">'2017 HAR'!$L$245</definedName>
    <definedName name="Code_0604">'2017 HAR'!$L$246</definedName>
    <definedName name="Code_0608">'2017 HAR'!$L$247</definedName>
    <definedName name="Code_0615">'2017 HAR'!$L$248</definedName>
    <definedName name="Code_0616">'2017 HAR'!$L$249</definedName>
    <definedName name="Code_0618">'2017 HAR'!$L$250</definedName>
    <definedName name="Code_0619">'2017 HAR'!$L$254</definedName>
    <definedName name="Code_0622">'2017 HAR'!$L$252</definedName>
    <definedName name="Code_0623">'2017 HAR'!$L$253</definedName>
    <definedName name="Code_0625">'2017 HAR'!$L$251</definedName>
    <definedName name="Code_0630">'2017 HAR'!$L$274</definedName>
    <definedName name="Code_0632">'2017 HAR'!$L$266</definedName>
    <definedName name="Code_0634">'2017 HAR'!$L$267</definedName>
    <definedName name="Code_0635">'2017 HAR'!$L$268</definedName>
    <definedName name="Code_0636">'2017 HAR'!$L$269</definedName>
    <definedName name="Code_0637">'2017 HAR'!$L$278</definedName>
    <definedName name="Code_0639">'2017 HAR'!$L$270</definedName>
    <definedName name="Code_0641">'2017 HAR'!$L$273</definedName>
    <definedName name="Code_0647">'2017 HAR'!$L$271</definedName>
    <definedName name="Code_0648">'2017 HAR'!$L$272</definedName>
    <definedName name="Code_0650">'2017 HAR'!$L$282</definedName>
    <definedName name="Code_0655">'2017 HAR'!$L$283</definedName>
    <definedName name="Code_0700">'2017 HAR'!$L$113</definedName>
    <definedName name="Code_0711">'2017 HAR'!$L$139</definedName>
    <definedName name="Code_0715">'2017 HAR'!$L$141</definedName>
    <definedName name="Code_0717">'2017 HAR'!$L$140</definedName>
    <definedName name="Code_0730">'2017 HAR'!$L$144</definedName>
    <definedName name="Code_0738">'2017 HAR'!$L$98</definedName>
    <definedName name="Code_0739">'2017 HAR'!$L$99</definedName>
    <definedName name="Code_0740">'2017 HAR'!$L$153</definedName>
    <definedName name="Code_0741">'2017 HAR'!$J$207</definedName>
    <definedName name="Code_0742">'2017 HAR'!$J$210</definedName>
    <definedName name="Code_0743">'2017 HAR'!$J$238</definedName>
    <definedName name="Code_0744">'2017 HAR'!$J$237</definedName>
    <definedName name="Code_0750">'2017 HAR'!$L$101</definedName>
    <definedName name="Code_0751">'2017 HAR'!$L$233</definedName>
    <definedName name="Code_0752">'2017 HAR'!$L$240</definedName>
    <definedName name="Code_0754">'2017 HAR'!$L$241</definedName>
    <definedName name="Code_0760">'2017 HAR'!$L$234</definedName>
    <definedName name="Code_0762">'2017 HAR'!$L$222</definedName>
    <definedName name="Code_0770">'2017 HAR'!$L$109</definedName>
    <definedName name="Code_0772">'2017 HAR'!$L$107</definedName>
    <definedName name="Code_0773">'2017 HAR'!$L$108</definedName>
    <definedName name="Code_0775">'2017 HAR'!$L$103</definedName>
    <definedName name="Code_0776">'2017 HAR'!$J$104</definedName>
    <definedName name="Code_0777">'2017 HAR'!$J$105</definedName>
    <definedName name="Code_0778">'2017 HAR'!$L$106</definedName>
    <definedName name="Code_0780">'2017 HAR'!$L$111</definedName>
    <definedName name="Code_0790">'2017 HAR'!$L$112</definedName>
    <definedName name="Code_0800">'2017 HAR'!$L$131</definedName>
    <definedName name="Code_0801">'2017 HAR'!$L$115</definedName>
    <definedName name="Code_0806">'2017 HAR'!$L$116</definedName>
    <definedName name="Code_0811">'2017 HAR'!$L$118</definedName>
    <definedName name="Code_0813">'2017 HAR'!$L$119</definedName>
    <definedName name="Code_0815">'2017 HAR'!$L$120</definedName>
    <definedName name="Code_0819">'2017 HAR'!$L$117</definedName>
    <definedName name="Code_0820">'2017 HAR'!$L$121</definedName>
    <definedName name="Code_0821">'2017 HAR'!$L$123</definedName>
    <definedName name="Code_0823">'2017 HAR'!$L$124</definedName>
    <definedName name="Code_0825">'2017 HAR'!$L$125</definedName>
    <definedName name="Code_0830">'2017 HAR'!$L$126</definedName>
    <definedName name="Code_0831">'2017 HAR'!$L$128</definedName>
    <definedName name="Code_0834">'2017 HAR'!$L$129</definedName>
    <definedName name="Code_0837">'2017 HAR'!$L$130</definedName>
    <definedName name="Code_0840">'2017 HAR'!$L$132</definedName>
    <definedName name="Code_0841">'2017 HAR'!$J$185</definedName>
    <definedName name="Code_0842">'2017 HAR'!$J$188</definedName>
    <definedName name="Code_0843">'2017 HAR'!$J$201</definedName>
    <definedName name="Code_0847">'2017 HAR'!$L$199</definedName>
    <definedName name="Code_0850">'2017 HAR'!$L$200</definedName>
    <definedName name="Code_0851">'2017 HAR'!$L$156</definedName>
    <definedName name="Code_0852">'2017 HAR'!$L$198</definedName>
    <definedName name="Code_0853">'2017 HAR'!$L$159</definedName>
    <definedName name="Code_0854">'2017 HAR'!$J$202</definedName>
    <definedName name="Code_0860">'2017 HAR'!$L$163</definedName>
    <definedName name="Code_0871">'2017 HAR'!$L$166</definedName>
    <definedName name="Code_0872">'2017 HAR'!$L$167</definedName>
    <definedName name="Code_0873">'2017 HAR'!$L$168</definedName>
    <definedName name="Code_0876">'2017 HAR'!$L$169</definedName>
    <definedName name="Code_0880">'2017 HAR'!$L$170</definedName>
    <definedName name="Code_2021">'2017 HAR'!$F$378</definedName>
    <definedName name="Code_2022">'2017 HAR'!$F$379</definedName>
    <definedName name="Code_2023">'2017 HAR'!$F$382</definedName>
    <definedName name="Code_2024">'2017 HAR'!$F$384</definedName>
    <definedName name="Code_2026">'2017 HAR'!$F$381</definedName>
    <definedName name="Code_2027">'2017 HAR'!$F$383</definedName>
    <definedName name="Code_2028">'2017 HAR'!$F$385</definedName>
    <definedName name="Code_2030">'2017 HAR'!$F$393</definedName>
    <definedName name="Code_2031">'2017 HAR'!$I$378</definedName>
    <definedName name="Code_2032">'2017 HAR'!$I$379</definedName>
    <definedName name="Code_2033">'2017 HAR'!$I$382</definedName>
    <definedName name="Code_2034">'2017 HAR'!$I$384</definedName>
    <definedName name="Code_2036">'2017 HAR'!$I$381</definedName>
    <definedName name="Code_2037">'2017 HAR'!$I$383</definedName>
    <definedName name="Code_2038">'2017 HAR'!$I$385</definedName>
    <definedName name="Code_2040">'2017 HAR'!$I$393</definedName>
    <definedName name="Code_2050">'2017 HAR'!$I$433</definedName>
    <definedName name="Code_2060">'2017 HAR'!$F$413</definedName>
    <definedName name="Code_2070">'2017 HAR'!$I$413</definedName>
    <definedName name="Code_2071">'2017 HAR'!$L$378</definedName>
    <definedName name="Code_2072">'2017 HAR'!$L$379</definedName>
    <definedName name="Code_2073">'2017 HAR'!$L$382</definedName>
    <definedName name="Code_2074">'2017 HAR'!$L$384</definedName>
    <definedName name="Code_2076">'2017 HAR'!$L$381</definedName>
    <definedName name="Code_2077">'2017 HAR'!$L$383</definedName>
    <definedName name="Code_2078">'2017 HAR'!$L$385</definedName>
    <definedName name="Code_2080">'2017 HAR'!$L$393</definedName>
    <definedName name="Code_2104">'2017 HAR'!$F$390</definedName>
    <definedName name="Code_2114">'2017 HAR'!$I$390</definedName>
    <definedName name="Code_2121">'2017 HAR'!$F$380</definedName>
    <definedName name="Code_2122">'2017 HAR'!$F$386</definedName>
    <definedName name="Code_2123">'2017 HAR'!$F$387</definedName>
    <definedName name="Code_2125">'2017 HAR'!$F$389</definedName>
    <definedName name="Code_2128">'2017 HAR'!$F$392</definedName>
    <definedName name="Code_2131">'2017 HAR'!$I$380</definedName>
    <definedName name="Code_2132">'2017 HAR'!$I$386</definedName>
    <definedName name="Code_2133">'2017 HAR'!$I$387</definedName>
    <definedName name="Code_2135">'2017 HAR'!$I$389</definedName>
    <definedName name="Code_2138">'2017 HAR'!$I$392</definedName>
    <definedName name="Code_2148">'2017 HAR'!$I$430</definedName>
    <definedName name="Code_2158">'2017 HAR'!$F$410</definedName>
    <definedName name="Code_2168">'2017 HAR'!$I$410</definedName>
    <definedName name="Code_2171">'2017 HAR'!$L$380</definedName>
    <definedName name="Code_2172">'2017 HAR'!$L$386</definedName>
    <definedName name="Code_2173">'2017 HAR'!$L$387</definedName>
    <definedName name="Code_2175">'2017 HAR'!$L$389</definedName>
    <definedName name="Code_2176">'2017 HAR'!$L$391</definedName>
    <definedName name="Code_2177">'2017 HAR'!#REF!</definedName>
    <definedName name="Code_2178">'2017 HAR'!$F$388</definedName>
    <definedName name="Code_2188">'2017 HAR'!$I$388</definedName>
    <definedName name="Code_2194">'2017 HAR'!$L$390</definedName>
    <definedName name="Code_2198">'2017 HAR'!$L$388</definedName>
    <definedName name="Code_4020">'2017 HAR'!$L$522</definedName>
    <definedName name="Code_4022">'2017 HAR'!$J$523</definedName>
    <definedName name="Code_4025">'2017 HAR'!$J$511</definedName>
    <definedName name="Code_4026">'2017 HAR'!$L$521</definedName>
    <definedName name="Code_4030">'2017 HAR'!$L$478</definedName>
    <definedName name="Code_4033">'2017 HAR'!$L$536</definedName>
    <definedName name="Code_4034">'2017 HAR'!$L$538</definedName>
    <definedName name="Code_4035">'2017 HAR'!$L$537</definedName>
    <definedName name="Code_4037">'2017 HAR'!$L$553</definedName>
    <definedName name="Code_4041">'2017 HAR'!$L$479</definedName>
    <definedName name="Code_4320">'2017 HAR'!$L$464</definedName>
    <definedName name="Code_4322">'2017 HAR'!$L$540</definedName>
    <definedName name="Code_4323">'2017 HAR'!$L$541</definedName>
    <definedName name="Code_4324">'2017 HAR'!$L$543</definedName>
    <definedName name="Code_4326">'2017 HAR'!$L$542</definedName>
    <definedName name="Code_4327">'2017 HAR'!$L$562</definedName>
    <definedName name="Code_4329">'2017 HAR'!$L$545</definedName>
    <definedName name="Code_4331">'2017 HAR'!$L$465</definedName>
    <definedName name="Code_4333">'2017 HAR'!$L$546</definedName>
    <definedName name="Code_4335">'2017 HAR'!$L$547</definedName>
    <definedName name="Code_4336">'2017 HAR'!$L$548</definedName>
    <definedName name="Code_4337">'2017 HAR'!$L$549</definedName>
    <definedName name="Code_4339">'2017 HAR'!$L$550</definedName>
    <definedName name="Code_4340">'2017 HAR'!$L$501</definedName>
    <definedName name="Code_4341">'2017 HAR'!$J$490</definedName>
    <definedName name="Code_4342">'2017 HAR'!$J$502</definedName>
    <definedName name="Code_4344">'2017 HAR'!$L$500</definedName>
    <definedName name="Code_4352">'2017 HAR'!$L$557</definedName>
    <definedName name="Code_4353">'2017 HAR'!$L$558</definedName>
    <definedName name="Code_4355">'2017 HAR'!$L$559</definedName>
    <definedName name="Code_4356">'2017 HAR'!$L$560</definedName>
    <definedName name="Code_4357">'2017 HAR'!$L$561</definedName>
    <definedName name="Code_4363">'2017 HAR'!$L$564</definedName>
    <definedName name="Code_4364">'2017 HAR'!$L$565</definedName>
    <definedName name="Code_4365">'2017 HAR'!$L$566</definedName>
    <definedName name="Code_4366">'2017 HAR'!$L$567</definedName>
    <definedName name="Code_4367">'2017 HAR'!$L$568</definedName>
    <definedName name="Code_4369">'2017 HAR'!$L$569</definedName>
    <definedName name="Code_4370">'2017 HAR'!$L$489</definedName>
    <definedName name="Code_4373">'2017 HAR'!$L$492</definedName>
    <definedName name="Code_4376">'2017 HAR'!$L$495</definedName>
    <definedName name="Code_4379">'2017 HAR'!$L$498</definedName>
    <definedName name="Code_4380">'2017 HAR'!$L$510</definedName>
    <definedName name="Code_4383">'2017 HAR'!$L$513</definedName>
    <definedName name="Code_4386">'2017 HAR'!$L$516</definedName>
    <definedName name="Code_4389">'2017 HAR'!$L$519</definedName>
    <definedName name="Code_4501">'2017 HAR'!$L$457</definedName>
    <definedName name="Code_4502">'2017 HAR'!$L$456</definedName>
    <definedName name="Code_4503">'2017 HAR'!$L$454</definedName>
    <definedName name="Code_4504">'2017 HAR'!$L$572</definedName>
    <definedName name="Code_4505">'2017 HAR'!$L$455</definedName>
    <definedName name="Code_4520">'2017 HAR'!$L$534</definedName>
    <definedName name="Code_4530">'2017 HAR'!$L$436</definedName>
    <definedName name="Code_4531">'2017 HAR'!$L$573</definedName>
    <definedName name="Code_4550">'2017 HAR'!$L$533</definedName>
    <definedName name="Code_5501">'2017 HAR'!$L$319</definedName>
    <definedName name="Code_5502">'2017 HAR'!$J$320</definedName>
    <definedName name="Code_5503">'2017 HAR'!$L$322</definedName>
    <definedName name="Code_5504">'2017 HAR'!$J$323</definedName>
    <definedName name="Code_5506">'2017 HAR'!$J$321</definedName>
    <definedName name="Code_5507">'2017 HAR'!$J$324</definedName>
    <definedName name="Code_5512">'2017 HAR'!$J$326</definedName>
    <definedName name="Code_7050">'2017 HAR'!$I$303</definedName>
    <definedName name="Code_7051">'2017 HAR'!$L$303</definedName>
    <definedName name="Code_7052">'2017 HAR'!$I$304</definedName>
    <definedName name="Code_7053">'2017 HAR'!$L$304</definedName>
    <definedName name="Code_7054">'2017 HAR'!$I$305</definedName>
    <definedName name="Code_7055">'2017 HAR'!$L$305</definedName>
    <definedName name="Code_7056">'2017 HAR'!$I$306</definedName>
    <definedName name="Code_7057">'2017 HAR'!$L$306</definedName>
    <definedName name="Code_7061">'2017 HAR'!$L$336</definedName>
    <definedName name="Code_7062">'2017 HAR'!$J$337</definedName>
    <definedName name="Code_7063">'2017 HAR'!$J$338</definedName>
    <definedName name="Code_7064">'2017 HAR'!$L$339</definedName>
    <definedName name="Code_7065">'2017 HAR'!$J$340</definedName>
    <definedName name="Code_7066">'2017 HAR'!$J$341</definedName>
    <definedName name="Code_7068">'2017 HAR'!$L$351</definedName>
    <definedName name="Code_7069">'2017 HAR'!$J$352</definedName>
    <definedName name="Code_7070">'2017 HAR'!$J$353</definedName>
    <definedName name="Code_7071">'2017 HAR'!$L$354</definedName>
    <definedName name="Code_7072">'2017 HAR'!$J$355</definedName>
    <definedName name="Code_7073">'2017 HAR'!$J$356</definedName>
    <definedName name="Code_7075">'2017 HAR'!$L$365</definedName>
    <definedName name="Code_7076">'2017 HAR'!$J$366</definedName>
    <definedName name="Code_7077">'2017 HAR'!$J$367</definedName>
    <definedName name="Code_7078">'2017 HAR'!$L$368</definedName>
    <definedName name="Code_7079">'2017 HAR'!$J$369</definedName>
    <definedName name="Code_7080">'2017 HAR'!$J$370</definedName>
    <definedName name="Code_7082">'2017 HAR'!$G$600</definedName>
    <definedName name="Code_7085">'2017 HAR'!$L$358</definedName>
    <definedName name="Code_7086">'2017 HAR'!$L$373</definedName>
    <definedName name="Code_7087">'2017 HAR'!$L$327</definedName>
    <definedName name="Code_7088">'2017 HAR'!$L$344</definedName>
    <definedName name="Code_7089">'2017 HAR'!$L$145</definedName>
    <definedName name="Code_7090">'2017 HAR'!$L$146</definedName>
    <definedName name="Code_7091">'2017 HAR'!$J$150</definedName>
    <definedName name="Code_7092">'2017 HAR'!$J$151</definedName>
    <definedName name="Code_7094">'2017 HAR'!$J$148</definedName>
    <definedName name="Code_7095">'2017 HAR'!$J$149</definedName>
    <definedName name="Code_7096">'2017 HAR'!$J$152</definedName>
    <definedName name="Code_7097">'2017 HAR'!$L$147</definedName>
    <definedName name="Code_7098">'2017 HAR'!$H$208</definedName>
    <definedName name="Code_7099">'2017 HAR'!$H$209</definedName>
    <definedName name="Code_7100">'2017 HAR'!$H$211</definedName>
    <definedName name="Code_7101">'2017 HAR'!$H$212</definedName>
    <definedName name="Code_7102">'2017 HAR'!$J$228</definedName>
    <definedName name="Code_7103">'2017 HAR'!$J$229</definedName>
    <definedName name="Code_7104">'2017 HAR'!$H$186</definedName>
    <definedName name="Code_7105">'2017 HAR'!$H$187</definedName>
    <definedName name="Code_7106">'2017 HAR'!$H$189</definedName>
    <definedName name="Code_7107">'2017 HAR'!$H$190</definedName>
    <definedName name="Code_7108">'2017 HAR'!$J$157</definedName>
    <definedName name="Code_7109">'2017 HAR'!$J$158</definedName>
    <definedName name="Code_7110">'2017 HAR'!$J$160</definedName>
    <definedName name="Code_7111">'2017 HAR'!$J$161</definedName>
    <definedName name="Code_7113">'2017 HAR'!$L$75</definedName>
    <definedName name="Code_7117">'2017 HAR'!$J$317</definedName>
    <definedName name="Code_7118">'2017 HAR'!$J$318</definedName>
    <definedName name="Code_7119">'2017 HAR'!$J$334</definedName>
    <definedName name="Code_7120">'2017 HAR'!$J$335</definedName>
    <definedName name="Code_7121">'2017 HAR'!$J$325</definedName>
    <definedName name="Code_7122">'2017 HAR'!$J$342</definedName>
    <definedName name="Code_7123">'2017 HAR'!$J$343</definedName>
    <definedName name="Code_7124">'2017 HAR'!$J$371</definedName>
    <definedName name="Code_7125">'2017 HAR'!$J$235</definedName>
    <definedName name="Code_7126">'2017 HAR'!$J$236</definedName>
    <definedName name="Code_7127">'2017 HAR'!$L$177</definedName>
    <definedName name="Code_7128">'2017 HAR'!$L$180</definedName>
    <definedName name="Code_7130">'2017 HAR'!$J$357</definedName>
    <definedName name="Code_7131">'2017 HAR'!$J$372</definedName>
    <definedName name="Code_7133">'2017 HAR'!$L$138</definedName>
    <definedName name="Code_7134">'2017 HAR'!$L$142</definedName>
    <definedName name="Code_7135">'2017 HAR'!$L$143</definedName>
    <definedName name="Code_7136">'2017 HAR'!$J$214</definedName>
    <definedName name="Code_7138">'2017 HAR'!$J$217</definedName>
    <definedName name="Code_7139">'2017 HAR'!$J$215</definedName>
    <definedName name="Code_7141">'2017 HAR'!$J$218</definedName>
    <definedName name="Code_7142">'2017 HAR'!$J$192</definedName>
    <definedName name="Code_7144">'2017 HAR'!$J$195</definedName>
    <definedName name="Code_7145">'2017 HAR'!$J$193</definedName>
    <definedName name="Code_7147">'2017 HAR'!$J$196</definedName>
    <definedName name="Code_7148">'2017 HAR'!$L$410</definedName>
    <definedName name="Code_7150" localSheetId="13">'[1]2006 HAR'!#REF!</definedName>
    <definedName name="Code_7155">'2017 HAR'!$L$483</definedName>
    <definedName name="Code_7156">'2017 HAR'!$L$480</definedName>
    <definedName name="Code_7157">'2017 HAR'!$L$481</definedName>
    <definedName name="Code_7158">'2017 HAR'!$L$482</definedName>
    <definedName name="Code_7159">'2017 HAR'!$J$514</definedName>
    <definedName name="Code_7161">'2017 HAR'!$J$517</definedName>
    <definedName name="Code_7162">'2017 HAR'!$J$512</definedName>
    <definedName name="Code_7163">'2017 HAR'!$J$524</definedName>
    <definedName name="Code_7164">'2017 HAR'!$J$515</definedName>
    <definedName name="Code_7166">'2017 HAR'!$J$518</definedName>
    <definedName name="Code_7167">'2017 HAR'!$L$520</definedName>
    <definedName name="Code_7168">'2017 HAR'!$F$430</definedName>
    <definedName name="Code_7170" localSheetId="13">'[1]2006 HAR'!#REF!</definedName>
    <definedName name="Code_7176">'2017 HAR'!$L$470</definedName>
    <definedName name="Code_7177">'2017 HAR'!$L$466</definedName>
    <definedName name="Code_7178">'2017 HAR'!$L$467</definedName>
    <definedName name="Code_7179">'2017 HAR'!$L$468</definedName>
    <definedName name="Code_7180">'2017 HAR'!$L$469</definedName>
    <definedName name="Code_7181">'2017 HAR'!$J$493</definedName>
    <definedName name="Code_7183">'2017 HAR'!$J$496</definedName>
    <definedName name="Code_7184">'2017 HAR'!$J$491</definedName>
    <definedName name="Code_7185">'2017 HAR'!$J$503</definedName>
    <definedName name="Code_7186">'2017 HAR'!$J$494</definedName>
    <definedName name="Code_7188">'2017 HAR'!$J$497</definedName>
    <definedName name="Code_7189">'2017 HAR'!$L$499</definedName>
    <definedName name="Code_7225">'2017 HAR'!$L$174</definedName>
    <definedName name="Code_7232" localSheetId="13">'[1]2006 HAR'!$E$265</definedName>
    <definedName name="Code_7234">'2017 HAR'!$J$175</definedName>
    <definedName name="Code_7235">'2017 HAR'!$J$176</definedName>
    <definedName name="Code_7242">'2017 HAR'!$J$178</definedName>
    <definedName name="Code_7243">'2017 HAR'!$J$179</definedName>
    <definedName name="Code_7244">'2017 HAR'!$L$484</definedName>
    <definedName name="Code_7245">'Service Line Data'!$L$68</definedName>
    <definedName name="Code_7248">'Service Line Data'!$L$69</definedName>
    <definedName name="Code_7250">'2017 HAR'!$L$184</definedName>
    <definedName name="Code_7251">'Service Line Data'!$L$71</definedName>
    <definedName name="Code_7253">'2017 HAR'!$L$191</definedName>
    <definedName name="Code_7256">'2017 HAR'!$L$194</definedName>
    <definedName name="Code_7259">'2017 HAR'!$L$197</definedName>
    <definedName name="Code_7260">'2017 HAR'!$L$206</definedName>
    <definedName name="Code_7261">'Service Line Data'!$L$42</definedName>
    <definedName name="Code_7263">'2017 HAR'!$L$213</definedName>
    <definedName name="Code_7264">'Service Line Data'!$L$43</definedName>
    <definedName name="Code_7266">'2017 HAR'!$L$216</definedName>
    <definedName name="Code_7267">'Service Line Data'!$L$45</definedName>
    <definedName name="Code_7269">'2017 HAR'!$L$219</definedName>
    <definedName name="Code_7310">'2017 HAR'!$I$288</definedName>
    <definedName name="Code_7410">'2017 HAR'!$L$220</definedName>
    <definedName name="Code_7426">'2017 HAR'!$L$413</definedName>
    <definedName name="Code_7441">'2017 HAR'!$F$433</definedName>
    <definedName name="Code_7497">'2017 HAR'!$G$604</definedName>
    <definedName name="Code_7498">'2017 HAR'!$G$605</definedName>
    <definedName name="Code_7499">'2017 HAR'!$G$606</definedName>
    <definedName name="Code_7567">'2017 HAR'!$L$259</definedName>
    <definedName name="Code_7568">'2017 HAR'!$J$260</definedName>
    <definedName name="Code_7569">'2017 HAR'!$J$261</definedName>
    <definedName name="Code_7570">'2017 HAR'!$J$221</definedName>
    <definedName name="Code_7571">'2017 HAR'!$J$223</definedName>
    <definedName name="Code_7572">'2017 HAR'!$J$224</definedName>
    <definedName name="Code_7573">'2017 HAR'!$H$225</definedName>
    <definedName name="Code_7574">'2017 HAR'!$H$226</definedName>
    <definedName name="Code_7575">'2017 HAR'!$J$227</definedName>
    <definedName name="Code_7576">'2017 HAR'!$L$307</definedName>
    <definedName name="Code_7577">'2017 HAR'!$I$289</definedName>
    <definedName name="Code_7578">'2017 HAR'!$I$291</definedName>
    <definedName name="Code_7579">'2017 HAR'!$I$292</definedName>
    <definedName name="Code_7580">'2017 HAR'!$I$293</definedName>
    <definedName name="Code_7581">'2017 HAR'!$I$294</definedName>
    <definedName name="Code_7582">'2017 HAR'!$I$295</definedName>
    <definedName name="Code_7583">'2017 HAR'!$I$296</definedName>
    <definedName name="Code_7584">'2017 HAR'!$I$297</definedName>
    <definedName name="Code_7585">'2017 HAR'!$I$298</definedName>
    <definedName name="Code_7586">'2017 HAR'!$L$291</definedName>
    <definedName name="Code_7587">'2017 HAR'!$L$292</definedName>
    <definedName name="Code_7588">'2017 HAR'!$L$293</definedName>
    <definedName name="Code_7589">'2017 HAR'!$L$294</definedName>
    <definedName name="Code_7590">'2017 HAR'!$L$295</definedName>
    <definedName name="Code_7591">'2017 HAR'!$L$296</definedName>
    <definedName name="Code_7592">'2017 HAR'!$L$297</definedName>
    <definedName name="Code_7593">'2017 HAR'!$L$298</definedName>
    <definedName name="Code_7594">'2017 HAR'!$L$756</definedName>
    <definedName name="Code_7595">'2017 HAR'!$L$757</definedName>
    <definedName name="Code_7596">'2017 HAR'!$L$758</definedName>
    <definedName name="Code_7689">'Service Line Data'!$G$6</definedName>
    <definedName name="Code_7690">'Service Line Data'!$G$51</definedName>
    <definedName name="Code_7691">'Service Line Data'!$G$25</definedName>
    <definedName name="Code_8062">'2017 HAR'!$L$97</definedName>
    <definedName name="Code_8063">'2017 HAR'!$L$100</definedName>
    <definedName name="Code_8100">'2017 HAR'!$L$230</definedName>
    <definedName name="Code_8101">'2017 HAR'!$J$231</definedName>
    <definedName name="Code_8102">'2017 HAR'!$J$232</definedName>
    <definedName name="Code_9999">'2017 HAR'!$L$79</definedName>
    <definedName name="def_0630">Definitions!$A$15</definedName>
    <definedName name="def_0637">Definitions!$A$25</definedName>
    <definedName name="def_0650">Definitions!$A$27</definedName>
    <definedName name="def_0655" localSheetId="9">Definitions!$A$29</definedName>
    <definedName name="def_0655">Definitions!$A$29</definedName>
    <definedName name="def_0751">Definitions!$A$34</definedName>
    <definedName name="def_0762">Definitions!$A$11</definedName>
    <definedName name="def_0847">Definitions!$A$35</definedName>
    <definedName name="def_4026">Definitions!$A$36</definedName>
    <definedName name="def_4344">Definitions!$A$37</definedName>
    <definedName name="def_7082">Definitions!$A$4</definedName>
    <definedName name="def_7310">Definitions!$A$47</definedName>
    <definedName name="def_7410">Definitions!$A$31</definedName>
    <definedName name="def_7567">Definitions!$A$41</definedName>
    <definedName name="def_7570">Definitions!$A$43</definedName>
    <definedName name="def_7573_7574">Definitions!$A$12</definedName>
    <definedName name="def_7575">Definitions!$A$45</definedName>
    <definedName name="def_7576">Definitions!$A$65</definedName>
    <definedName name="def_7577">Definitions!$A$49</definedName>
    <definedName name="def_7578">Definitions!$A$51</definedName>
    <definedName name="def_7579">Definitions!$A$53</definedName>
    <definedName name="def_7580" localSheetId="9">Definitions!$A$55</definedName>
    <definedName name="def_7580">Definitions!$A$55</definedName>
    <definedName name="def_7581">Definitions!$A$57</definedName>
    <definedName name="def_7582" localSheetId="9">Definitions!$A$59</definedName>
    <definedName name="def_7582">Definitions!$A$59</definedName>
    <definedName name="def_7583">Definitions!$A$61</definedName>
    <definedName name="def_7584">Definitions!$A$63</definedName>
    <definedName name="def_7594">Definitions!$A$67</definedName>
    <definedName name="def_8100">Definitions!$A$6</definedName>
    <definedName name="Def_Date_Spend_Commit">Definitions!$A$69</definedName>
    <definedName name="def_exceptions">Definitions!A1</definedName>
    <definedName name="def_medical_equip">Definitions!$A$71</definedName>
    <definedName name="def_NPI">Definitions!$A$39</definedName>
    <definedName name="DRGs">'Service Line Data'!$B$76</definedName>
    <definedName name="Explanation_of_Adjustments">'2017 HAR'!$A$794</definedName>
    <definedName name="HCCIS_ID">HCCIS_ID!$A$2:$AR$142</definedName>
    <definedName name="HCCIS_ID_list">HCCIS_ID!$A$2</definedName>
    <definedName name="Hospital_Data" localSheetId="13">Audit_Tab_Data!$A$3:$AL$150</definedName>
    <definedName name="Hospital_Data">Audit_Tab_Data!$A$3:$AL$150</definedName>
    <definedName name="ID_list" localSheetId="10">HCCIS_ID!$A$2:$BA$143</definedName>
    <definedName name="ID_list">HCCIS_ID!$A$2:$BZ$157</definedName>
    <definedName name="NPI">'2017 HAR'!$D$6</definedName>
    <definedName name="Page_01" localSheetId="13">'[1]2006 HAR'!#REF!</definedName>
    <definedName name="_xlnm.Print_Area" localSheetId="1">'2017 HAR'!$A$1:$R$818</definedName>
    <definedName name="_xlnm.Print_Area" localSheetId="12">CapExpData!$B$1:$J$42</definedName>
    <definedName name="_xlnm.Print_Area" localSheetId="3">'Capital Expend Project Specific'!$A$1:$R$433</definedName>
    <definedName name="_xlnm.Print_Area" localSheetId="4">'Offsite Locations'!$A$1:$N$39</definedName>
    <definedName name="_xlnm.Print_Area" localSheetId="7">'Prior Cap Exp Report'!$A$1:$M$132</definedName>
    <definedName name="_xlnm.Print_Area" localSheetId="2">'Service Line Data'!$A$1:$T$85</definedName>
    <definedName name="_xlnm.Print_Area" localSheetId="0">'Tip Sheet'!$A$1:$K$36</definedName>
    <definedName name="_xlnm.Print_Area" localSheetId="6">Verify_Data_MA_Surcharge!$A$1:$M$19</definedName>
    <definedName name="_xlnm.Print_Titles" localSheetId="8">Reclassifications!$A:$C</definedName>
    <definedName name="ValidCapacity">CapExpData!$B$15:$B$16</definedName>
    <definedName name="ValidEvidence">CapExpData!$B$31:$B$32</definedName>
    <definedName name="ValidImpact">CapExpData!$B$27:$B$28</definedName>
    <definedName name="ValidPriorCap">CapExpData!$B$19:$B$22</definedName>
    <definedName name="ValidProjType">CapExpData!$E$5:$E$9</definedName>
    <definedName name="ValidRemote">CapExpData!$B$11:$B$12</definedName>
    <definedName name="ValidSubtype1">CapExpData!$G$5:$G$10</definedName>
    <definedName name="ValidSubtype2">CapExpData!$G$16:$G$41</definedName>
    <definedName name="ValidSubtype3">CapExpData!$I$5:$I$31</definedName>
    <definedName name="ValidYN">CapExpData!$B$5:$B$6</definedName>
    <definedName name="VCapacity">CapExpData!$B$15:$C$16</definedName>
    <definedName name="VEvidence">CapExpData!$B$31:$C$32</definedName>
    <definedName name="VImpact">CapExpData!$B$27:$C$28</definedName>
    <definedName name="VPriorCap">CapExpData!$B$19:$C$22</definedName>
    <definedName name="VProjType">CapExpData!$E$5:$F$9</definedName>
    <definedName name="VRemote">CapExpData!$B$11:$C$12</definedName>
    <definedName name="VSubtype1">CapExpData!$G$5:$H$10</definedName>
    <definedName name="VSubtype2">CapExpData!$G$16:$H$41</definedName>
    <definedName name="VSubtype3">CapExpData!$I$5:$J$30</definedName>
    <definedName name="VYN">CapExpData!$B$5:$C$6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7" l="1"/>
  <c r="B4" i="17"/>
  <c r="C4" i="17" s="1"/>
  <c r="B5" i="17" l="1"/>
  <c r="N463" i="1"/>
  <c r="B6" i="17" l="1"/>
  <c r="C5" i="17"/>
  <c r="E35" i="6"/>
  <c r="D35" i="6"/>
  <c r="G35" i="6"/>
  <c r="C6" i="17" l="1"/>
  <c r="B7" i="17"/>
  <c r="F35" i="6"/>
  <c r="H35" i="6" s="1"/>
  <c r="C7" i="17" l="1"/>
  <c r="B8" i="17"/>
  <c r="L410" i="1"/>
  <c r="I392" i="1"/>
  <c r="C8" i="17" l="1"/>
  <c r="B9" i="17"/>
  <c r="J105" i="1"/>
  <c r="C9" i="17" l="1"/>
  <c r="B10" i="17"/>
  <c r="I432" i="1"/>
  <c r="F432" i="1"/>
  <c r="I412" i="1"/>
  <c r="F412" i="1"/>
  <c r="L392" i="1"/>
  <c r="C10" i="17" l="1"/>
  <c r="B11" i="17"/>
  <c r="L412" i="1"/>
  <c r="C11" i="17" l="1"/>
  <c r="B12" i="17"/>
  <c r="J54" i="1"/>
  <c r="C12" i="17" l="1"/>
  <c r="B13" i="17"/>
  <c r="O1" i="16"/>
  <c r="M129" i="16" s="1"/>
  <c r="B14" i="17" l="1"/>
  <c r="C13" i="17"/>
  <c r="M117" i="16"/>
  <c r="M93" i="16"/>
  <c r="M69" i="16"/>
  <c r="M45" i="16"/>
  <c r="M21" i="16"/>
  <c r="M111" i="16"/>
  <c r="M87" i="16"/>
  <c r="M63" i="16"/>
  <c r="M39" i="16"/>
  <c r="M105" i="16"/>
  <c r="M81" i="16"/>
  <c r="M57" i="16"/>
  <c r="M33" i="16"/>
  <c r="M123" i="16"/>
  <c r="M99" i="16"/>
  <c r="M75" i="16"/>
  <c r="M51" i="16"/>
  <c r="M27" i="16"/>
  <c r="M15" i="16"/>
  <c r="M9" i="16"/>
  <c r="E60" i="1"/>
  <c r="A221" i="13" s="1"/>
  <c r="U1" i="13"/>
  <c r="J62" i="1"/>
  <c r="J46" i="1"/>
  <c r="J38" i="1"/>
  <c r="E33" i="6"/>
  <c r="D33" i="6"/>
  <c r="R405" i="13"/>
  <c r="R404" i="13"/>
  <c r="R403" i="13"/>
  <c r="R402" i="13"/>
  <c r="M399" i="13"/>
  <c r="M398" i="13"/>
  <c r="M397" i="13"/>
  <c r="M396" i="13"/>
  <c r="M395" i="13"/>
  <c r="R362" i="13"/>
  <c r="R361" i="13"/>
  <c r="R360" i="13"/>
  <c r="R359" i="13"/>
  <c r="M356" i="13"/>
  <c r="M355" i="13"/>
  <c r="M354" i="13"/>
  <c r="M353" i="13"/>
  <c r="M352" i="13"/>
  <c r="R319" i="13"/>
  <c r="R318" i="13"/>
  <c r="R317" i="13"/>
  <c r="R316" i="13"/>
  <c r="M313" i="13"/>
  <c r="M312" i="13"/>
  <c r="M311" i="13"/>
  <c r="M310" i="13"/>
  <c r="M309" i="13"/>
  <c r="R276" i="13"/>
  <c r="R275" i="13"/>
  <c r="R274" i="13"/>
  <c r="R273" i="13"/>
  <c r="M270" i="13"/>
  <c r="M269" i="13"/>
  <c r="M268" i="13"/>
  <c r="M267" i="13"/>
  <c r="M266" i="13"/>
  <c r="R233" i="13"/>
  <c r="R232" i="13"/>
  <c r="R231" i="13"/>
  <c r="R230" i="13"/>
  <c r="M227" i="13"/>
  <c r="M226" i="13"/>
  <c r="M225" i="13"/>
  <c r="M224" i="13"/>
  <c r="M223" i="13"/>
  <c r="R190" i="13"/>
  <c r="R189" i="13"/>
  <c r="R188" i="13"/>
  <c r="R187" i="13"/>
  <c r="M184" i="13"/>
  <c r="M183" i="13"/>
  <c r="M182" i="13"/>
  <c r="M181" i="13"/>
  <c r="M180" i="13"/>
  <c r="R147" i="13"/>
  <c r="R146" i="13"/>
  <c r="R145" i="13"/>
  <c r="R144" i="13"/>
  <c r="M141" i="13"/>
  <c r="M140" i="13"/>
  <c r="M139" i="13"/>
  <c r="M138" i="13"/>
  <c r="M137" i="13"/>
  <c r="R104" i="13"/>
  <c r="R103" i="13"/>
  <c r="R102" i="13"/>
  <c r="R101" i="13"/>
  <c r="M98" i="13"/>
  <c r="M97" i="13"/>
  <c r="M96" i="13"/>
  <c r="M95" i="13"/>
  <c r="M94" i="13"/>
  <c r="R61" i="13"/>
  <c r="R60" i="13"/>
  <c r="R59" i="13"/>
  <c r="R58" i="13"/>
  <c r="M55" i="13"/>
  <c r="M54" i="13"/>
  <c r="M53" i="13"/>
  <c r="M52" i="13"/>
  <c r="M51" i="13"/>
  <c r="R16" i="13"/>
  <c r="R17" i="13"/>
  <c r="R18" i="13"/>
  <c r="S54" i="13"/>
  <c r="J55" i="1"/>
  <c r="A79" i="6"/>
  <c r="F69" i="6"/>
  <c r="A69" i="6"/>
  <c r="D64" i="6"/>
  <c r="Z759" i="1"/>
  <c r="D17" i="6"/>
  <c r="D16" i="6"/>
  <c r="T1" i="13"/>
  <c r="S140" i="13"/>
  <c r="S183" i="13"/>
  <c r="S398" i="13"/>
  <c r="S355" i="13"/>
  <c r="S312" i="13"/>
  <c r="S269" i="13"/>
  <c r="S226" i="13"/>
  <c r="S97" i="13"/>
  <c r="S11" i="13"/>
  <c r="P1" i="13"/>
  <c r="A759" i="1" s="1"/>
  <c r="R15" i="13"/>
  <c r="M12" i="13"/>
  <c r="M11" i="13"/>
  <c r="M10" i="13"/>
  <c r="M9" i="13"/>
  <c r="M8" i="13"/>
  <c r="D8" i="6"/>
  <c r="N227" i="1"/>
  <c r="N517" i="1"/>
  <c r="N514" i="1"/>
  <c r="N511" i="1"/>
  <c r="N496" i="1"/>
  <c r="N493" i="1"/>
  <c r="N490" i="1"/>
  <c r="N217" i="1"/>
  <c r="N214" i="1"/>
  <c r="N195" i="1"/>
  <c r="N192" i="1"/>
  <c r="J238" i="1"/>
  <c r="J237" i="1"/>
  <c r="D14" i="6"/>
  <c r="D11" i="6"/>
  <c r="L524" i="1"/>
  <c r="L523" i="1"/>
  <c r="L503" i="1"/>
  <c r="L502" i="1"/>
  <c r="N219" i="1"/>
  <c r="J202" i="1"/>
  <c r="J201" i="1"/>
  <c r="N372" i="1"/>
  <c r="N357" i="1"/>
  <c r="L41" i="7"/>
  <c r="M41" i="7" s="1"/>
  <c r="L14" i="7"/>
  <c r="M14" i="7" s="1"/>
  <c r="L11" i="7"/>
  <c r="M11" i="7" s="1"/>
  <c r="L9" i="7"/>
  <c r="M9" i="7" s="1"/>
  <c r="L230" i="1"/>
  <c r="N230" i="1" s="1"/>
  <c r="N98" i="1"/>
  <c r="N99" i="1"/>
  <c r="L100" i="1"/>
  <c r="N100" i="1" s="1"/>
  <c r="N78" i="1"/>
  <c r="N79" i="1"/>
  <c r="L80" i="1"/>
  <c r="N80" i="1" s="1"/>
  <c r="N41" i="2"/>
  <c r="P22" i="2"/>
  <c r="T1" i="2"/>
  <c r="P48" i="2"/>
  <c r="W1" i="2"/>
  <c r="N67" i="2"/>
  <c r="N478" i="1"/>
  <c r="N464" i="1"/>
  <c r="W72" i="2"/>
  <c r="N225" i="1"/>
  <c r="L15" i="1"/>
  <c r="J15" i="1"/>
  <c r="L31" i="7"/>
  <c r="M31" i="7" s="1"/>
  <c r="N76" i="1"/>
  <c r="N72" i="1"/>
  <c r="I605" i="1"/>
  <c r="O686" i="1"/>
  <c r="O685" i="1"/>
  <c r="O679" i="1"/>
  <c r="O678" i="1"/>
  <c r="O668" i="1"/>
  <c r="O667" i="1"/>
  <c r="O661" i="1"/>
  <c r="O660" i="1"/>
  <c r="O654" i="1"/>
  <c r="O653" i="1"/>
  <c r="O647" i="1"/>
  <c r="O646" i="1"/>
  <c r="N12" i="1"/>
  <c r="L336" i="1"/>
  <c r="N344" i="1" s="1"/>
  <c r="L319" i="1"/>
  <c r="J318" i="1" s="1"/>
  <c r="D7" i="1"/>
  <c r="D63" i="6"/>
  <c r="D66" i="6"/>
  <c r="D4" i="6"/>
  <c r="D7" i="6"/>
  <c r="D23" i="6"/>
  <c r="E23" i="6"/>
  <c r="G23" i="6"/>
  <c r="D24" i="6"/>
  <c r="E24" i="6"/>
  <c r="G24" i="6"/>
  <c r="D25" i="6"/>
  <c r="E25" i="6"/>
  <c r="G25" i="6"/>
  <c r="D26" i="6"/>
  <c r="E26" i="6"/>
  <c r="G26" i="6"/>
  <c r="D27" i="6"/>
  <c r="E27" i="6"/>
  <c r="G27" i="6"/>
  <c r="D28" i="6"/>
  <c r="E28" i="6"/>
  <c r="G28" i="6"/>
  <c r="D29" i="6"/>
  <c r="E29" i="6"/>
  <c r="G29" i="6"/>
  <c r="D30" i="6"/>
  <c r="E30" i="6"/>
  <c r="G30" i="6"/>
  <c r="D31" i="6"/>
  <c r="E31" i="6"/>
  <c r="G31" i="6"/>
  <c r="D32" i="6"/>
  <c r="E32" i="6"/>
  <c r="G32" i="6"/>
  <c r="G33" i="6"/>
  <c r="D34" i="6"/>
  <c r="E34" i="6"/>
  <c r="G34" i="6"/>
  <c r="F393" i="1"/>
  <c r="F392" i="1" s="1"/>
  <c r="G36" i="6"/>
  <c r="E37" i="6"/>
  <c r="G37" i="6"/>
  <c r="D41" i="6"/>
  <c r="L170" i="1"/>
  <c r="D57" i="6" s="1"/>
  <c r="G48" i="6"/>
  <c r="D51" i="6"/>
  <c r="D52" i="6"/>
  <c r="G51" i="6"/>
  <c r="D54" i="6"/>
  <c r="D55" i="6"/>
  <c r="G54" i="6"/>
  <c r="D58" i="6"/>
  <c r="G57" i="6"/>
  <c r="S572" i="1"/>
  <c r="N266" i="1" s="1"/>
  <c r="J63" i="1"/>
  <c r="J61" i="1"/>
  <c r="J60" i="1"/>
  <c r="J53" i="1"/>
  <c r="J52" i="1"/>
  <c r="E64" i="1"/>
  <c r="E63" i="1"/>
  <c r="E62" i="1"/>
  <c r="E61" i="1"/>
  <c r="E56" i="1"/>
  <c r="E55" i="1"/>
  <c r="E54" i="1"/>
  <c r="E53" i="1"/>
  <c r="E52" i="1"/>
  <c r="R609" i="1"/>
  <c r="N436" i="1"/>
  <c r="N113" i="1"/>
  <c r="N65" i="1"/>
  <c r="M741" i="1"/>
  <c r="M731" i="1"/>
  <c r="M696" i="1"/>
  <c r="M687" i="1"/>
  <c r="F685" i="1" s="1"/>
  <c r="J684" i="1"/>
  <c r="M680" i="1"/>
  <c r="F678" i="1" s="1"/>
  <c r="J677" i="1"/>
  <c r="M669" i="1"/>
  <c r="F667" i="1" s="1"/>
  <c r="J666" i="1"/>
  <c r="M662" i="1"/>
  <c r="F660" i="1" s="1"/>
  <c r="J659" i="1"/>
  <c r="M655" i="1"/>
  <c r="F653" i="1" s="1"/>
  <c r="J652" i="1"/>
  <c r="M648" i="1"/>
  <c r="F646" i="1" s="1"/>
  <c r="J645" i="1"/>
  <c r="M625" i="1"/>
  <c r="J622" i="1"/>
  <c r="P38" i="2"/>
  <c r="S38" i="2"/>
  <c r="J38" i="2"/>
  <c r="M38" i="2"/>
  <c r="L501" i="1"/>
  <c r="G37" i="2" s="1"/>
  <c r="G25" i="2"/>
  <c r="G26" i="2"/>
  <c r="G27" i="2"/>
  <c r="G28" i="2"/>
  <c r="G29" i="2"/>
  <c r="G31" i="2"/>
  <c r="G32" i="2"/>
  <c r="G33" i="2"/>
  <c r="G34" i="2"/>
  <c r="J64" i="2"/>
  <c r="M64" i="2"/>
  <c r="P64" i="2"/>
  <c r="S64" i="2"/>
  <c r="G63" i="2"/>
  <c r="G51" i="2"/>
  <c r="G52" i="2"/>
  <c r="G53" i="2"/>
  <c r="G54" i="2"/>
  <c r="G55" i="2"/>
  <c r="G57" i="2"/>
  <c r="G58" i="2"/>
  <c r="G59" i="2"/>
  <c r="G60" i="2"/>
  <c r="L483" i="1"/>
  <c r="L484" i="1" s="1"/>
  <c r="G64" i="2" s="1"/>
  <c r="L71" i="2" s="1"/>
  <c r="L469" i="1"/>
  <c r="L470" i="1" s="1"/>
  <c r="G38" i="2" s="1"/>
  <c r="L45" i="2" s="1"/>
  <c r="N757" i="1"/>
  <c r="N450" i="1"/>
  <c r="L259" i="1"/>
  <c r="N259" i="1" s="1"/>
  <c r="L456" i="1"/>
  <c r="D49" i="6" s="1"/>
  <c r="L365" i="1"/>
  <c r="N373" i="1" s="1"/>
  <c r="L351" i="1"/>
  <c r="N358" i="1" s="1"/>
  <c r="N128" i="1"/>
  <c r="N126" i="1"/>
  <c r="N121" i="1"/>
  <c r="N109" i="1"/>
  <c r="N112" i="1"/>
  <c r="L97" i="1"/>
  <c r="N97" i="1" s="1"/>
  <c r="L255" i="1"/>
  <c r="D42" i="6" s="1"/>
  <c r="G483" i="1"/>
  <c r="G484" i="1" s="1"/>
  <c r="L306" i="1"/>
  <c r="L305" i="1" s="1"/>
  <c r="L143" i="1"/>
  <c r="L144" i="1" s="1"/>
  <c r="G19" i="2" s="1"/>
  <c r="L147" i="1"/>
  <c r="L77" i="1"/>
  <c r="L6" i="7" s="1"/>
  <c r="M6" i="7" s="1"/>
  <c r="Q38" i="2"/>
  <c r="T38" i="2"/>
  <c r="T64" i="2" s="1"/>
  <c r="S19" i="2"/>
  <c r="P56" i="2"/>
  <c r="Q19" i="2"/>
  <c r="P19" i="2"/>
  <c r="M19" i="2"/>
  <c r="J19" i="2"/>
  <c r="T19" i="2"/>
  <c r="N19" i="2"/>
  <c r="K19" i="2"/>
  <c r="H19" i="2"/>
  <c r="G18" i="2"/>
  <c r="G6" i="2"/>
  <c r="G7" i="2"/>
  <c r="G8" i="2"/>
  <c r="G9" i="2"/>
  <c r="G10" i="2"/>
  <c r="G12" i="2"/>
  <c r="G13" i="2"/>
  <c r="G14" i="2"/>
  <c r="G15" i="2"/>
  <c r="L562" i="1"/>
  <c r="L561" i="1" s="1"/>
  <c r="L553" i="1"/>
  <c r="L555" i="1" s="1"/>
  <c r="L543" i="1"/>
  <c r="L542" i="1" s="1"/>
  <c r="L538" i="1"/>
  <c r="L534" i="1" s="1"/>
  <c r="L533" i="1"/>
  <c r="L162" i="1"/>
  <c r="L163" i="1" s="1"/>
  <c r="L522" i="1"/>
  <c r="L521" i="1" s="1"/>
  <c r="L506" i="1"/>
  <c r="M470" i="1"/>
  <c r="M484" i="1" s="1"/>
  <c r="N473" i="1"/>
  <c r="L180" i="1"/>
  <c r="J158" i="1"/>
  <c r="J157" i="1" s="1"/>
  <c r="N135" i="1"/>
  <c r="N91" i="1"/>
  <c r="E48" i="1"/>
  <c r="J47" i="1"/>
  <c r="E47" i="1"/>
  <c r="E46" i="1"/>
  <c r="J45" i="1"/>
  <c r="E45" i="1"/>
  <c r="J44" i="1"/>
  <c r="E44" i="1"/>
  <c r="E41" i="1"/>
  <c r="E40" i="1"/>
  <c r="J39" i="1"/>
  <c r="E39" i="1"/>
  <c r="E38" i="1"/>
  <c r="J37" i="1"/>
  <c r="E37" i="1"/>
  <c r="J36" i="1"/>
  <c r="E36" i="1"/>
  <c r="J20" i="1"/>
  <c r="K20" i="1"/>
  <c r="L20" i="1"/>
  <c r="M20" i="1"/>
  <c r="D20" i="1"/>
  <c r="D18" i="1"/>
  <c r="L17" i="1"/>
  <c r="D17" i="1"/>
  <c r="L16" i="1"/>
  <c r="D16" i="1"/>
  <c r="D15" i="1"/>
  <c r="D14" i="1"/>
  <c r="D13" i="1"/>
  <c r="D12" i="1"/>
  <c r="N11" i="1"/>
  <c r="D11" i="1"/>
  <c r="D10" i="1"/>
  <c r="D9" i="1"/>
  <c r="D8" i="1"/>
  <c r="D6" i="1"/>
  <c r="E5" i="1"/>
  <c r="D8" i="7"/>
  <c r="D10" i="7" s="1"/>
  <c r="D12" i="7" s="1"/>
  <c r="D17" i="7" s="1"/>
  <c r="E8" i="7"/>
  <c r="E10" i="7" s="1"/>
  <c r="E12" i="7" s="1"/>
  <c r="E17" i="7" s="1"/>
  <c r="F8" i="7"/>
  <c r="F10" i="7" s="1"/>
  <c r="F12" i="7" s="1"/>
  <c r="F17" i="7" s="1"/>
  <c r="G8" i="7"/>
  <c r="G10" i="7" s="1"/>
  <c r="G12" i="7" s="1"/>
  <c r="G17" i="7" s="1"/>
  <c r="H8" i="7"/>
  <c r="H10" i="7" s="1"/>
  <c r="H12" i="7" s="1"/>
  <c r="I8" i="7"/>
  <c r="I10" i="7" s="1"/>
  <c r="I12" i="7" s="1"/>
  <c r="I17" i="7" s="1"/>
  <c r="J8" i="7"/>
  <c r="J10" i="7" s="1"/>
  <c r="J12" i="7" s="1"/>
  <c r="J17" i="7" s="1"/>
  <c r="K8" i="7"/>
  <c r="K10" i="7" s="1"/>
  <c r="K12" i="7" s="1"/>
  <c r="K17" i="7" s="1"/>
  <c r="M13" i="7"/>
  <c r="L15" i="7"/>
  <c r="M15" i="7" s="1"/>
  <c r="L16" i="7"/>
  <c r="M16" i="7" s="1"/>
  <c r="L19" i="7"/>
  <c r="M19" i="7" s="1"/>
  <c r="D30" i="7"/>
  <c r="D32" i="7" s="1"/>
  <c r="D34" i="7" s="1"/>
  <c r="D39" i="7" s="1"/>
  <c r="E30" i="7"/>
  <c r="E32" i="7" s="1"/>
  <c r="E34" i="7" s="1"/>
  <c r="E39" i="7" s="1"/>
  <c r="F30" i="7"/>
  <c r="F32" i="7" s="1"/>
  <c r="F34" i="7" s="1"/>
  <c r="G30" i="7"/>
  <c r="G32" i="7" s="1"/>
  <c r="G34" i="7" s="1"/>
  <c r="G39" i="7" s="1"/>
  <c r="H30" i="7"/>
  <c r="H32" i="7" s="1"/>
  <c r="H34" i="7" s="1"/>
  <c r="H39" i="7" s="1"/>
  <c r="I30" i="7"/>
  <c r="I32" i="7" s="1"/>
  <c r="I34" i="7" s="1"/>
  <c r="I39" i="7" s="1"/>
  <c r="J30" i="7"/>
  <c r="J32" i="7" s="1"/>
  <c r="J34" i="7" s="1"/>
  <c r="J39" i="7" s="1"/>
  <c r="K30" i="7"/>
  <c r="K32" i="7" s="1"/>
  <c r="K34" i="7" s="1"/>
  <c r="K39" i="7" s="1"/>
  <c r="L33" i="7"/>
  <c r="M33" i="7" s="1"/>
  <c r="M35" i="7"/>
  <c r="L36" i="7"/>
  <c r="M36" i="7" s="1"/>
  <c r="L37" i="7"/>
  <c r="M37" i="7" s="1"/>
  <c r="L38" i="7"/>
  <c r="M38" i="7" s="1"/>
  <c r="E36" i="6"/>
  <c r="I484" i="1"/>
  <c r="I470" i="1"/>
  <c r="N477" i="1"/>
  <c r="N475" i="1"/>
  <c r="N38" i="2"/>
  <c r="K38" i="2"/>
  <c r="H38" i="2"/>
  <c r="P765" i="1"/>
  <c r="P766" i="1"/>
  <c r="P767" i="1"/>
  <c r="P768" i="1"/>
  <c r="P769" i="1"/>
  <c r="P770" i="1"/>
  <c r="P771" i="1"/>
  <c r="P772" i="1"/>
  <c r="P773" i="1"/>
  <c r="P774" i="1"/>
  <c r="P775" i="1"/>
  <c r="P776" i="1"/>
  <c r="P778" i="1"/>
  <c r="P779" i="1"/>
  <c r="P780" i="1"/>
  <c r="P781" i="1"/>
  <c r="P783" i="1"/>
  <c r="P784" i="1"/>
  <c r="P785" i="1"/>
  <c r="J777" i="1"/>
  <c r="J764" i="1" s="1"/>
  <c r="J782" i="1"/>
  <c r="G777" i="1"/>
  <c r="G764" i="1" s="1"/>
  <c r="G782" i="1"/>
  <c r="R762" i="1"/>
  <c r="N756" i="1"/>
  <c r="N754" i="1"/>
  <c r="G606" i="1"/>
  <c r="I606" i="1" s="1"/>
  <c r="N603" i="1"/>
  <c r="Q600" i="1"/>
  <c r="P600" i="1"/>
  <c r="N600" i="1"/>
  <c r="M591" i="1"/>
  <c r="M596" i="1"/>
  <c r="M597" i="1"/>
  <c r="M598" i="1"/>
  <c r="K600" i="1"/>
  <c r="J600" i="1"/>
  <c r="H600" i="1"/>
  <c r="G586" i="1"/>
  <c r="G587" i="1"/>
  <c r="G588" i="1"/>
  <c r="G589" i="1"/>
  <c r="G590" i="1"/>
  <c r="G592" i="1"/>
  <c r="G594" i="1"/>
  <c r="G599" i="1"/>
  <c r="R584" i="1"/>
  <c r="N576" i="1"/>
  <c r="N573" i="1"/>
  <c r="N572" i="1"/>
  <c r="N571" i="1"/>
  <c r="L568" i="1"/>
  <c r="N563" i="1"/>
  <c r="N556" i="1"/>
  <c r="N554" i="1"/>
  <c r="N552" i="1"/>
  <c r="L549" i="1"/>
  <c r="N544" i="1"/>
  <c r="N539" i="1"/>
  <c r="N535" i="1"/>
  <c r="N532" i="1"/>
  <c r="N529" i="1"/>
  <c r="N528" i="1"/>
  <c r="N527" i="1"/>
  <c r="N509" i="1"/>
  <c r="N488" i="1"/>
  <c r="N459" i="1"/>
  <c r="N453" i="1"/>
  <c r="H484" i="1"/>
  <c r="I464" i="1"/>
  <c r="N451" i="1"/>
  <c r="N449" i="1"/>
  <c r="N447" i="1"/>
  <c r="N435" i="1"/>
  <c r="N416" i="1"/>
  <c r="L413" i="1"/>
  <c r="L411" i="1"/>
  <c r="L409" i="1"/>
  <c r="L408" i="1"/>
  <c r="L407" i="1"/>
  <c r="L406" i="1"/>
  <c r="L405" i="1"/>
  <c r="L404" i="1"/>
  <c r="L403" i="1"/>
  <c r="L402" i="1"/>
  <c r="L401" i="1"/>
  <c r="L400" i="1"/>
  <c r="L399" i="1"/>
  <c r="L398" i="1"/>
  <c r="N396" i="1"/>
  <c r="N376" i="1"/>
  <c r="N371" i="1"/>
  <c r="N370" i="1"/>
  <c r="N369" i="1"/>
  <c r="N368" i="1"/>
  <c r="N356" i="1"/>
  <c r="N355" i="1"/>
  <c r="N354" i="1"/>
  <c r="N309" i="1"/>
  <c r="I305" i="1"/>
  <c r="N304" i="1"/>
  <c r="N303" i="1"/>
  <c r="L298" i="1"/>
  <c r="N283" i="1"/>
  <c r="N282" i="1"/>
  <c r="N278" i="1"/>
  <c r="L273" i="1"/>
  <c r="L120" i="1"/>
  <c r="N120" i="1" s="1"/>
  <c r="J224" i="1"/>
  <c r="H226" i="1" s="1"/>
  <c r="N226" i="1" s="1"/>
  <c r="N222" i="1"/>
  <c r="N220" i="1"/>
  <c r="N210" i="1"/>
  <c r="N207" i="1"/>
  <c r="N206" i="1"/>
  <c r="J179" i="1"/>
  <c r="N178" i="1"/>
  <c r="N177" i="1"/>
  <c r="J176" i="1"/>
  <c r="N175" i="1"/>
  <c r="N174" i="1"/>
  <c r="I136" i="1"/>
  <c r="M144" i="1"/>
  <c r="L125" i="1"/>
  <c r="N125" i="1" s="1"/>
  <c r="N110" i="1"/>
  <c r="L108" i="1"/>
  <c r="N108" i="1" s="1"/>
  <c r="N104" i="1"/>
  <c r="M782" i="1"/>
  <c r="M777" i="1"/>
  <c r="M764" i="1" s="1"/>
  <c r="L29" i="7"/>
  <c r="M29" i="7" s="1"/>
  <c r="D5" i="6"/>
  <c r="D10" i="6"/>
  <c r="N213" i="1"/>
  <c r="K1" i="13" l="1"/>
  <c r="D67" i="6" s="1"/>
  <c r="C14" i="17"/>
  <c r="B15" i="17"/>
  <c r="G45" i="6"/>
  <c r="G20" i="6"/>
  <c r="I48" i="6"/>
  <c r="I23" i="6"/>
  <c r="F7" i="6"/>
  <c r="G7" i="6" s="1"/>
  <c r="L500" i="1"/>
  <c r="L169" i="1"/>
  <c r="D48" i="6" s="1"/>
  <c r="G61" i="2"/>
  <c r="L69" i="2"/>
  <c r="N69" i="2" s="1"/>
  <c r="F57" i="6"/>
  <c r="F28" i="6"/>
  <c r="L234" i="1"/>
  <c r="L240" i="1" s="1"/>
  <c r="P782" i="1"/>
  <c r="L68" i="2"/>
  <c r="N68" i="2" s="1"/>
  <c r="R653" i="1"/>
  <c r="G786" i="1"/>
  <c r="P777" i="1"/>
  <c r="J335" i="1"/>
  <c r="J161" i="1" s="1"/>
  <c r="J160" i="1" s="1"/>
  <c r="M786" i="1"/>
  <c r="J786" i="1"/>
  <c r="L7" i="7"/>
  <c r="M7" i="7" s="1"/>
  <c r="G595" i="1"/>
  <c r="G600" i="1" s="1"/>
  <c r="L81" i="1"/>
  <c r="L83" i="1" s="1"/>
  <c r="F51" i="6"/>
  <c r="H51" i="6" s="1"/>
  <c r="M51" i="6" s="1"/>
  <c r="F24" i="6"/>
  <c r="H24" i="6" s="1"/>
  <c r="M24" i="6" s="1"/>
  <c r="D36" i="6"/>
  <c r="F36" i="6" s="1"/>
  <c r="H36" i="6" s="1"/>
  <c r="M36" i="6" s="1"/>
  <c r="N327" i="1"/>
  <c r="F27" i="6"/>
  <c r="H27" i="6" s="1"/>
  <c r="M27" i="6" s="1"/>
  <c r="F23" i="6"/>
  <c r="H23" i="6" s="1"/>
  <c r="M23" i="6" s="1"/>
  <c r="F63" i="6"/>
  <c r="A72" i="6" s="1"/>
  <c r="L101" i="1"/>
  <c r="L111" i="1" s="1"/>
  <c r="L113" i="1" s="1"/>
  <c r="L129" i="1" s="1"/>
  <c r="L131" i="1" s="1"/>
  <c r="L39" i="7" s="1"/>
  <c r="F31" i="6"/>
  <c r="H31" i="6" s="1"/>
  <c r="M31" i="6" s="1"/>
  <c r="F4" i="6"/>
  <c r="M7" i="6" s="1"/>
  <c r="F48" i="6"/>
  <c r="H48" i="6" s="1"/>
  <c r="M48" i="6" s="1"/>
  <c r="F30" i="6"/>
  <c r="H30" i="6" s="1"/>
  <c r="M30" i="6" s="1"/>
  <c r="F26" i="6"/>
  <c r="H26" i="6" s="1"/>
  <c r="M26" i="6" s="1"/>
  <c r="D37" i="6"/>
  <c r="F37" i="6" s="1"/>
  <c r="H37" i="6" s="1"/>
  <c r="M37" i="6" s="1"/>
  <c r="L505" i="1"/>
  <c r="L537" i="1"/>
  <c r="F54" i="6"/>
  <c r="H54" i="6" s="1"/>
  <c r="M54" i="6" s="1"/>
  <c r="F32" i="6"/>
  <c r="H32" i="6" s="1"/>
  <c r="M32" i="6" s="1"/>
  <c r="F29" i="6"/>
  <c r="H29" i="6" s="1"/>
  <c r="M29" i="6" s="1"/>
  <c r="F25" i="6"/>
  <c r="H25" i="6" s="1"/>
  <c r="M25" i="6" s="1"/>
  <c r="F16" i="6"/>
  <c r="G16" i="6" s="1"/>
  <c r="G62" i="2"/>
  <c r="L70" i="2" s="1"/>
  <c r="F66" i="6"/>
  <c r="A75" i="6" s="1"/>
  <c r="F33" i="6"/>
  <c r="H33" i="6" s="1"/>
  <c r="M33" i="6" s="1"/>
  <c r="F34" i="6"/>
  <c r="H34" i="6" s="1"/>
  <c r="M34" i="6" s="1"/>
  <c r="N15" i="1"/>
  <c r="A307" i="13"/>
  <c r="N759" i="1"/>
  <c r="A33" i="1"/>
  <c r="A242" i="1" s="1"/>
  <c r="F10" i="6"/>
  <c r="G10" i="6" s="1"/>
  <c r="A135" i="13"/>
  <c r="A264" i="13"/>
  <c r="A393" i="13"/>
  <c r="A178" i="13"/>
  <c r="H28" i="6"/>
  <c r="M28" i="6" s="1"/>
  <c r="A49" i="13"/>
  <c r="A6" i="13"/>
  <c r="A350" i="13"/>
  <c r="H57" i="6"/>
  <c r="M57" i="6" s="1"/>
  <c r="A92" i="13"/>
  <c r="F39" i="7"/>
  <c r="P764" i="1"/>
  <c r="P786" i="1" s="1"/>
  <c r="R786" i="1" s="1"/>
  <c r="H17" i="7"/>
  <c r="L146" i="1"/>
  <c r="L526" i="1"/>
  <c r="G16" i="2"/>
  <c r="G17" i="2" s="1"/>
  <c r="L254" i="1"/>
  <c r="N255" i="1"/>
  <c r="G35" i="2"/>
  <c r="G36" i="2" s="1"/>
  <c r="L44" i="2" s="1"/>
  <c r="N216" i="1"/>
  <c r="D13" i="6"/>
  <c r="F13" i="6" s="1"/>
  <c r="G13" i="6" s="1"/>
  <c r="M600" i="1"/>
  <c r="L233" i="1"/>
  <c r="N233" i="1" s="1"/>
  <c r="L43" i="2"/>
  <c r="N43" i="2" s="1"/>
  <c r="J21" i="1"/>
  <c r="L42" i="2"/>
  <c r="N42" i="2" s="1"/>
  <c r="F41" i="6"/>
  <c r="C15" i="17" l="1"/>
  <c r="B16" i="17"/>
  <c r="L241" i="1"/>
  <c r="N234" i="1"/>
  <c r="M39" i="7"/>
  <c r="L8" i="7"/>
  <c r="M8" i="7" s="1"/>
  <c r="L34" i="7"/>
  <c r="M34" i="7" s="1"/>
  <c r="L32" i="7"/>
  <c r="M32" i="7" s="1"/>
  <c r="A27" i="1"/>
  <c r="L85" i="1"/>
  <c r="L10" i="7"/>
  <c r="M10" i="7" s="1"/>
  <c r="G4" i="6"/>
  <c r="L30" i="7"/>
  <c r="M30" i="7" s="1"/>
  <c r="M10" i="6"/>
  <c r="A711" i="1"/>
  <c r="A570" i="1"/>
  <c r="A1" i="16"/>
  <c r="A670" i="1"/>
  <c r="A262" i="1"/>
  <c r="A94" i="1"/>
  <c r="A20" i="2"/>
  <c r="A66" i="1"/>
  <c r="A1" i="2"/>
  <c r="A462" i="1"/>
  <c r="A446" i="1"/>
  <c r="A310" i="1"/>
  <c r="A607" i="1"/>
  <c r="A752" i="1"/>
  <c r="A507" i="1"/>
  <c r="A530" i="1"/>
  <c r="A133" i="1"/>
  <c r="A72" i="2"/>
  <c r="A790" i="1"/>
  <c r="A551" i="1"/>
  <c r="A1" i="13"/>
  <c r="A176" i="13" s="1"/>
  <c r="A46" i="2"/>
  <c r="A638" i="1"/>
  <c r="A1" i="12"/>
  <c r="A374" i="1"/>
  <c r="A284" i="1"/>
  <c r="A414" i="1"/>
  <c r="A203" i="1"/>
  <c r="A486" i="1"/>
  <c r="A181" i="1"/>
  <c r="A345" i="1"/>
  <c r="L10" i="11"/>
  <c r="L153" i="1"/>
  <c r="I289" i="1" s="1"/>
  <c r="N180" i="1"/>
  <c r="M41" i="6"/>
  <c r="G41" i="6"/>
  <c r="C16" i="17" l="1"/>
  <c r="B17" i="17"/>
  <c r="L90" i="1"/>
  <c r="L17" i="7" s="1"/>
  <c r="M17" i="7" s="1"/>
  <c r="L12" i="7"/>
  <c r="M12" i="7" s="1"/>
  <c r="A28" i="1"/>
  <c r="A391" i="13"/>
  <c r="S27" i="1"/>
  <c r="N27" i="1" s="1"/>
  <c r="A90" i="13"/>
  <c r="A262" i="13"/>
  <c r="A47" i="13"/>
  <c r="A348" i="13"/>
  <c r="A219" i="13"/>
  <c r="A305" i="13"/>
  <c r="A133" i="13"/>
  <c r="J337" i="1"/>
  <c r="L200" i="1"/>
  <c r="L199" i="1" s="1"/>
  <c r="L28" i="7"/>
  <c r="M28" i="7" s="1"/>
  <c r="J321" i="1"/>
  <c r="J338" i="1"/>
  <c r="J320" i="1"/>
  <c r="L322" i="1"/>
  <c r="I288" i="1"/>
  <c r="L339" i="1"/>
  <c r="N163" i="1"/>
  <c r="C17" i="17" l="1"/>
  <c r="B18" i="17"/>
  <c r="I298" i="1"/>
  <c r="J236" i="1"/>
  <c r="J235" i="1" s="1"/>
  <c r="L14" i="11" s="1"/>
  <c r="J324" i="1"/>
  <c r="J326" i="1"/>
  <c r="J325" i="1"/>
  <c r="J323" i="1"/>
  <c r="J341" i="1"/>
  <c r="J343" i="1"/>
  <c r="J340" i="1"/>
  <c r="J342" i="1"/>
  <c r="H187" i="1"/>
  <c r="H186" i="1" s="1"/>
  <c r="L11" i="11" s="1"/>
  <c r="H190" i="1"/>
  <c r="H189" i="1" s="1"/>
  <c r="C18" i="17" l="1"/>
  <c r="B19" i="17"/>
  <c r="N189" i="1"/>
  <c r="L12" i="11"/>
  <c r="L13" i="11" s="1"/>
  <c r="J229" i="1"/>
  <c r="J228" i="1" s="1"/>
  <c r="J232" i="1"/>
  <c r="H212" i="1"/>
  <c r="H211" i="1" s="1"/>
  <c r="L16" i="11" s="1"/>
  <c r="H209" i="1"/>
  <c r="H208" i="1" s="1"/>
  <c r="L15" i="11" s="1"/>
  <c r="C19" i="17" l="1"/>
  <c r="B20" i="17"/>
  <c r="L17" i="11"/>
  <c r="L18" i="11" s="1"/>
  <c r="L19" i="11" s="1"/>
  <c r="J231" i="1"/>
  <c r="N231" i="1" s="1"/>
  <c r="N232" i="1"/>
  <c r="C20" i="17" l="1"/>
  <c r="B21" i="17"/>
  <c r="B22" i="17" l="1"/>
  <c r="C21" i="17"/>
  <c r="C22" i="17" l="1"/>
  <c r="B23" i="17"/>
  <c r="C23" i="17" l="1"/>
  <c r="B24" i="17"/>
  <c r="C24" i="17" l="1"/>
  <c r="B25" i="17"/>
  <c r="C25" i="17" l="1"/>
  <c r="B26" i="17"/>
  <c r="C26" i="17" l="1"/>
  <c r="B27" i="17"/>
  <c r="C27" i="17" l="1"/>
  <c r="B28" i="17"/>
  <c r="C28" i="17" l="1"/>
  <c r="B29" i="17"/>
  <c r="C29" i="17" l="1"/>
  <c r="B30" i="17"/>
  <c r="C30" i="17" l="1"/>
  <c r="B31" i="17"/>
  <c r="C31" i="17" l="1"/>
  <c r="B32" i="17"/>
  <c r="C32" i="17" l="1"/>
  <c r="B33" i="17"/>
  <c r="C33" i="17" l="1"/>
  <c r="B34" i="17"/>
  <c r="C34" i="17" l="1"/>
  <c r="B35" i="17"/>
  <c r="C35" i="17" l="1"/>
  <c r="B36" i="17"/>
  <c r="C36" i="17" l="1"/>
  <c r="B37" i="17"/>
  <c r="C37" i="17" l="1"/>
  <c r="B38" i="17"/>
  <c r="C38" i="17" l="1"/>
  <c r="B39" i="17"/>
  <c r="C39" i="17" l="1"/>
  <c r="B40" i="17"/>
  <c r="C40" i="17" l="1"/>
  <c r="B41" i="17"/>
  <c r="B42" i="17" l="1"/>
  <c r="C41" i="17"/>
  <c r="C42" i="17" l="1"/>
  <c r="B43" i="17"/>
  <c r="B44" i="17" l="1"/>
  <c r="C43" i="17"/>
  <c r="C44" i="17" l="1"/>
  <c r="B45" i="17"/>
  <c r="C45" i="17" l="1"/>
  <c r="B46" i="17"/>
  <c r="C46" i="17" l="1"/>
  <c r="B47" i="17"/>
  <c r="C47" i="17" l="1"/>
  <c r="B48" i="17"/>
  <c r="C48" i="17" l="1"/>
  <c r="B49" i="17"/>
  <c r="B50" i="17" l="1"/>
  <c r="C49" i="17"/>
  <c r="C50" i="17" l="1"/>
  <c r="B51" i="17"/>
  <c r="C51" i="17" l="1"/>
  <c r="B52" i="17"/>
  <c r="C52" i="17" l="1"/>
  <c r="B53" i="17"/>
  <c r="C53" i="17" l="1"/>
  <c r="B54" i="17"/>
  <c r="C54" i="17" l="1"/>
  <c r="B55" i="17"/>
  <c r="C55" i="17" l="1"/>
  <c r="B56" i="17"/>
  <c r="C56" i="17" l="1"/>
  <c r="B57" i="17"/>
  <c r="C57" i="17" l="1"/>
  <c r="B58" i="17"/>
  <c r="C58" i="17" l="1"/>
  <c r="B59" i="17"/>
  <c r="C59" i="17" l="1"/>
  <c r="B60" i="17"/>
  <c r="C60" i="17" l="1"/>
  <c r="B61" i="17"/>
  <c r="B62" i="17" l="1"/>
  <c r="C61" i="17"/>
  <c r="B63" i="17" l="1"/>
  <c r="C62" i="17"/>
  <c r="C63" i="17" l="1"/>
  <c r="B64" i="17"/>
  <c r="C64" i="17" l="1"/>
  <c r="B65" i="17"/>
  <c r="C65" i="17" l="1"/>
  <c r="B66" i="17"/>
  <c r="C66" i="17" l="1"/>
  <c r="B67" i="17"/>
  <c r="C67" i="17" l="1"/>
  <c r="B68" i="17"/>
  <c r="C68" i="17" l="1"/>
  <c r="B69" i="17"/>
  <c r="B70" i="17" l="1"/>
  <c r="C69" i="17"/>
  <c r="C70" i="17" l="1"/>
  <c r="B71" i="17"/>
  <c r="C71" i="17" l="1"/>
  <c r="B72" i="17"/>
  <c r="C72" i="17" l="1"/>
  <c r="B73" i="17"/>
  <c r="B74" i="17" l="1"/>
  <c r="C73" i="17"/>
  <c r="B75" i="17" l="1"/>
  <c r="C74" i="17"/>
  <c r="C75" i="17" l="1"/>
  <c r="B76" i="17"/>
  <c r="C76" i="17" l="1"/>
  <c r="B77" i="17"/>
  <c r="B78" i="17" l="1"/>
  <c r="C77" i="17"/>
  <c r="C78" i="17" l="1"/>
  <c r="B79" i="17"/>
  <c r="C79" i="17" l="1"/>
  <c r="B80" i="17"/>
  <c r="C80" i="17" l="1"/>
  <c r="B81" i="17"/>
  <c r="C81" i="17" l="1"/>
  <c r="B82" i="17"/>
  <c r="C82" i="17" l="1"/>
  <c r="B83" i="17"/>
  <c r="C83" i="17" l="1"/>
  <c r="B84" i="17"/>
  <c r="C84" i="17" l="1"/>
  <c r="B85" i="17"/>
  <c r="B86" i="17" l="1"/>
  <c r="C85" i="17"/>
  <c r="C86" i="17" l="1"/>
  <c r="B87" i="17"/>
  <c r="C87" i="17" l="1"/>
  <c r="B88" i="17"/>
  <c r="B89" i="17" l="1"/>
  <c r="C88" i="17"/>
  <c r="C89" i="17" l="1"/>
  <c r="B90" i="17"/>
  <c r="B91" i="17" l="1"/>
  <c r="C90" i="17"/>
  <c r="C91" i="17" l="1"/>
  <c r="B92" i="17"/>
  <c r="C92" i="17" l="1"/>
  <c r="B93" i="17"/>
  <c r="C93" i="17" l="1"/>
  <c r="B94" i="17"/>
  <c r="C94" i="17" l="1"/>
  <c r="B95" i="17"/>
  <c r="C95" i="17" l="1"/>
  <c r="B96" i="17"/>
  <c r="C96" i="17" l="1"/>
  <c r="B97" i="17"/>
  <c r="C97" i="17" l="1"/>
  <c r="B98" i="17"/>
  <c r="C98" i="17" l="1"/>
  <c r="B99" i="17"/>
  <c r="B100" i="17" l="1"/>
  <c r="C99" i="17"/>
  <c r="C100" i="17" l="1"/>
  <c r="B101" i="17"/>
  <c r="C101" i="17" l="1"/>
  <c r="B102" i="17"/>
  <c r="C102" i="17" l="1"/>
  <c r="B103" i="17"/>
  <c r="C103" i="17" l="1"/>
  <c r="B104" i="17"/>
  <c r="C104" i="17" l="1"/>
  <c r="B105" i="17"/>
  <c r="C105" i="17" l="1"/>
  <c r="B106" i="17"/>
  <c r="C106" i="17" l="1"/>
  <c r="B107" i="17"/>
  <c r="C107" i="17" l="1"/>
  <c r="B108" i="17"/>
  <c r="C108" i="17" l="1"/>
  <c r="B109" i="17"/>
  <c r="C109" i="17" l="1"/>
  <c r="B110" i="17"/>
  <c r="C110" i="17" l="1"/>
  <c r="B111" i="17"/>
  <c r="C111" i="17" l="1"/>
  <c r="B112" i="17"/>
  <c r="C112" i="17" l="1"/>
  <c r="B113" i="17"/>
  <c r="C113" i="17" l="1"/>
  <c r="B114" i="17"/>
  <c r="C114" i="17" l="1"/>
  <c r="B115" i="17"/>
  <c r="C115" i="17" l="1"/>
  <c r="B116" i="17"/>
  <c r="C116" i="17" l="1"/>
  <c r="B117" i="17"/>
  <c r="B118" i="17" l="1"/>
  <c r="C117" i="17"/>
  <c r="C118" i="17" l="1"/>
  <c r="B119" i="17"/>
  <c r="C119" i="17" l="1"/>
  <c r="B120" i="17"/>
  <c r="B121" i="17" l="1"/>
  <c r="C120" i="17"/>
  <c r="C121" i="17" l="1"/>
  <c r="B122" i="17"/>
  <c r="C122" i="17" l="1"/>
  <c r="B123" i="17"/>
  <c r="C123" i="17" l="1"/>
  <c r="B124" i="17"/>
  <c r="C124" i="17" l="1"/>
  <c r="B125" i="17"/>
  <c r="C125" i="17" l="1"/>
  <c r="B126" i="17"/>
  <c r="C126" i="17" l="1"/>
  <c r="B127" i="17"/>
  <c r="C127" i="17" l="1"/>
  <c r="B128" i="17"/>
  <c r="B129" i="17" l="1"/>
  <c r="C128" i="17"/>
  <c r="C129" i="17" l="1"/>
  <c r="B130" i="17"/>
  <c r="C130" i="17" l="1"/>
  <c r="B131" i="17"/>
  <c r="B132" i="17" l="1"/>
  <c r="C131" i="17"/>
  <c r="C132" i="17" l="1"/>
  <c r="B133" i="17"/>
  <c r="C133" i="17" l="1"/>
  <c r="B134" i="17"/>
  <c r="C134" i="17" l="1"/>
  <c r="B135" i="17"/>
  <c r="C135" i="17" l="1"/>
  <c r="B136" i="17"/>
  <c r="C136" i="17" l="1"/>
  <c r="B137" i="17"/>
  <c r="C137" i="17" l="1"/>
  <c r="B138" i="17"/>
  <c r="C138" i="17" l="1"/>
  <c r="B139" i="17"/>
  <c r="C139" i="17" l="1"/>
  <c r="B140" i="17"/>
  <c r="C140" i="17" l="1"/>
  <c r="B141" i="17"/>
  <c r="C141" i="17" l="1"/>
  <c r="B142" i="17"/>
  <c r="C142" i="17" l="1"/>
  <c r="B143" i="17"/>
  <c r="C143" i="17" l="1"/>
  <c r="B144" i="17"/>
  <c r="B145" i="17" l="1"/>
  <c r="C144" i="17"/>
  <c r="B146" i="17" l="1"/>
  <c r="C145" i="17"/>
  <c r="C146" i="17" l="1"/>
  <c r="B147" i="17"/>
  <c r="B148" i="17" l="1"/>
  <c r="C147" i="17"/>
  <c r="C148" i="17" l="1"/>
  <c r="B149" i="17"/>
  <c r="C149" i="17" l="1"/>
  <c r="B150" i="17"/>
  <c r="C150" i="17" l="1"/>
  <c r="B151" i="17"/>
  <c r="B152" i="17" l="1"/>
  <c r="C151" i="17"/>
  <c r="C152" i="17" l="1"/>
  <c r="B153" i="17"/>
  <c r="C153" i="17" l="1"/>
  <c r="B154" i="17"/>
  <c r="C154" i="17" l="1"/>
  <c r="B155" i="17"/>
  <c r="B156" i="17" l="1"/>
  <c r="C155" i="17"/>
  <c r="C156" i="17" l="1"/>
  <c r="B157" i="17"/>
  <c r="C157" i="17" l="1"/>
  <c r="B158" i="17"/>
  <c r="C158" i="17" l="1"/>
  <c r="B159" i="17"/>
  <c r="C159" i="17" l="1"/>
  <c r="B160" i="17"/>
  <c r="C160" i="17" l="1"/>
  <c r="B161" i="17"/>
  <c r="C161" i="17" l="1"/>
  <c r="B162" i="17"/>
  <c r="C162" i="17" l="1"/>
  <c r="B163" i="17"/>
  <c r="B164" i="17" l="1"/>
  <c r="C163" i="17"/>
  <c r="C164" i="17" l="1"/>
  <c r="B165" i="17"/>
  <c r="C165" i="17" l="1"/>
  <c r="B166" i="17"/>
  <c r="C166" i="17" l="1"/>
  <c r="B167" i="17"/>
  <c r="B168" i="17" l="1"/>
  <c r="C167" i="17"/>
  <c r="B169" i="17" l="1"/>
  <c r="C168" i="17"/>
  <c r="C169" i="17" l="1"/>
  <c r="B170" i="17"/>
  <c r="C170" i="17" l="1"/>
  <c r="B171" i="17"/>
  <c r="B172" i="17" l="1"/>
  <c r="C171" i="17"/>
  <c r="C172" i="17" l="1"/>
  <c r="B173" i="17"/>
  <c r="B174" i="17" l="1"/>
  <c r="C173" i="17"/>
  <c r="C174" i="17" l="1"/>
  <c r="B175" i="17"/>
  <c r="B176" i="17" l="1"/>
  <c r="C175" i="17"/>
  <c r="C176" i="17" l="1"/>
  <c r="B177" i="17"/>
  <c r="C177" i="17" l="1"/>
  <c r="B178" i="17"/>
  <c r="C178" i="17" l="1"/>
  <c r="B179" i="17"/>
  <c r="C179" i="17" l="1"/>
  <c r="B180" i="17"/>
  <c r="C180" i="17" l="1"/>
  <c r="B181" i="17"/>
  <c r="B182" i="17" l="1"/>
  <c r="C181" i="17"/>
  <c r="B183" i="17" l="1"/>
  <c r="C182" i="17"/>
  <c r="B184" i="17" l="1"/>
  <c r="C183" i="17"/>
  <c r="C184" i="17" l="1"/>
  <c r="B185" i="17"/>
  <c r="C185" i="17" l="1"/>
  <c r="B186" i="17"/>
  <c r="C186" i="17" l="1"/>
  <c r="B187" i="17"/>
  <c r="C187" i="17" l="1"/>
  <c r="B188" i="17"/>
  <c r="B189" i="17" l="1"/>
  <c r="C188" i="17"/>
  <c r="B190" i="17" l="1"/>
  <c r="C189" i="17"/>
  <c r="C190" i="17" l="1"/>
  <c r="B191" i="17"/>
  <c r="C191" i="17" l="1"/>
  <c r="B192" i="17"/>
  <c r="C192" i="17" l="1"/>
  <c r="B193" i="17"/>
  <c r="C193" i="17" l="1"/>
  <c r="B194" i="17"/>
  <c r="C194" i="17" l="1"/>
  <c r="B195" i="17"/>
  <c r="B196" i="17" l="1"/>
  <c r="C195" i="17"/>
  <c r="C196" i="17" l="1"/>
  <c r="B197" i="17"/>
  <c r="B198" i="17" l="1"/>
  <c r="C197" i="17"/>
  <c r="C198" i="17" l="1"/>
  <c r="B199" i="17"/>
  <c r="B200" i="17" l="1"/>
  <c r="C199" i="17"/>
  <c r="C200" i="17" l="1"/>
  <c r="B201" i="17"/>
  <c r="C201" i="17" l="1"/>
  <c r="B202" i="17"/>
  <c r="C202" i="17" l="1"/>
  <c r="B203" i="17"/>
  <c r="C203" i="17" l="1"/>
  <c r="B204" i="17"/>
  <c r="B205" i="17" l="1"/>
  <c r="C204" i="17"/>
  <c r="B206" i="17" l="1"/>
  <c r="C205" i="17"/>
  <c r="C206" i="17" l="1"/>
  <c r="B207" i="17"/>
  <c r="B208" i="17" l="1"/>
  <c r="C207" i="17"/>
  <c r="B209" i="17" l="1"/>
  <c r="C208" i="17"/>
  <c r="B210" i="17" l="1"/>
  <c r="C209" i="17"/>
  <c r="C210" i="17" l="1"/>
  <c r="B211" i="17"/>
  <c r="C211" i="17" l="1"/>
  <c r="B212" i="17"/>
  <c r="C212" i="17" l="1"/>
  <c r="B213" i="17"/>
  <c r="B214" i="17" l="1"/>
  <c r="C213" i="17"/>
  <c r="C214" i="17" l="1"/>
  <c r="B215" i="17"/>
  <c r="C215" i="17" l="1"/>
  <c r="B216" i="17"/>
  <c r="C216" i="17" l="1"/>
  <c r="B217" i="17"/>
  <c r="C217" i="17" l="1"/>
  <c r="B218" i="17"/>
  <c r="C218" i="17" l="1"/>
  <c r="B219" i="17"/>
  <c r="B220" i="17" l="1"/>
  <c r="C219" i="17"/>
  <c r="C220" i="17" l="1"/>
  <c r="B221" i="17"/>
  <c r="B222" i="17" l="1"/>
  <c r="C221" i="17"/>
  <c r="C222" i="17" l="1"/>
  <c r="B223" i="17"/>
  <c r="B224" i="17" l="1"/>
  <c r="C223" i="17"/>
  <c r="C224" i="17" l="1"/>
  <c r="B225" i="17"/>
  <c r="C225" i="17" l="1"/>
  <c r="B226" i="17"/>
  <c r="C226" i="17" l="1"/>
  <c r="B227" i="17"/>
  <c r="C227" i="17" l="1"/>
  <c r="B228" i="17"/>
  <c r="C228" i="17" l="1"/>
  <c r="B229" i="17"/>
  <c r="C229" i="17" l="1"/>
  <c r="B230" i="17"/>
  <c r="C230" i="17" l="1"/>
  <c r="B231" i="17"/>
  <c r="C231" i="17" l="1"/>
  <c r="B232" i="17"/>
  <c r="C232" i="17" l="1"/>
  <c r="B233" i="17"/>
  <c r="C233" i="17" l="1"/>
  <c r="B234" i="17"/>
  <c r="C234" i="17" l="1"/>
  <c r="B235" i="17"/>
  <c r="C235" i="17" l="1"/>
  <c r="B236" i="17"/>
  <c r="B237" i="17" l="1"/>
  <c r="C236" i="17"/>
  <c r="C237" i="17" l="1"/>
  <c r="B238" i="17"/>
  <c r="B239" i="17" l="1"/>
  <c r="C238" i="17"/>
  <c r="C239" i="17" l="1"/>
  <c r="B240" i="17"/>
  <c r="B241" i="17" l="1"/>
  <c r="C240" i="17"/>
  <c r="C241" i="17" l="1"/>
  <c r="B242" i="17"/>
  <c r="C242" i="17" l="1"/>
  <c r="B243" i="17"/>
  <c r="C243" i="17" l="1"/>
  <c r="B244" i="17"/>
  <c r="C244" i="17" l="1"/>
  <c r="B245" i="17"/>
  <c r="C245" i="17" l="1"/>
  <c r="B246" i="17"/>
  <c r="B247" i="17" l="1"/>
  <c r="C246" i="17"/>
  <c r="B248" i="17" l="1"/>
  <c r="C247" i="17"/>
  <c r="B249" i="17" l="1"/>
  <c r="C248" i="17"/>
  <c r="C249" i="17" l="1"/>
  <c r="B250" i="17"/>
  <c r="B251" i="17" l="1"/>
  <c r="C250" i="17"/>
  <c r="C251" i="17" l="1"/>
  <c r="B252" i="17"/>
  <c r="C252" i="17" l="1"/>
  <c r="B253" i="17"/>
  <c r="B254" i="17" l="1"/>
  <c r="C253" i="17"/>
  <c r="B255" i="17" l="1"/>
  <c r="C254" i="17"/>
  <c r="B256" i="17" l="1"/>
  <c r="C255" i="17"/>
  <c r="B257" i="17" l="1"/>
  <c r="C256" i="17"/>
  <c r="C257" i="17" l="1"/>
  <c r="B258" i="17"/>
  <c r="C258" i="17" l="1"/>
  <c r="B259" i="17"/>
  <c r="C259" i="17" l="1"/>
  <c r="B260" i="17"/>
  <c r="C260" i="17" l="1"/>
  <c r="B261" i="17"/>
  <c r="B262" i="17" l="1"/>
  <c r="C261" i="17"/>
  <c r="C262" i="17" l="1"/>
  <c r="B263" i="17"/>
  <c r="B264" i="17" l="1"/>
  <c r="C263" i="17"/>
  <c r="B265" i="17" l="1"/>
  <c r="C264" i="17"/>
  <c r="C265" i="17" l="1"/>
  <c r="B266" i="17"/>
  <c r="B267" i="17" l="1"/>
  <c r="C266" i="17"/>
  <c r="B268" i="17" l="1"/>
  <c r="C267" i="17"/>
  <c r="B269" i="17" l="1"/>
  <c r="C268" i="17"/>
  <c r="B270" i="17" l="1"/>
  <c r="C269" i="17"/>
  <c r="B271" i="17" l="1"/>
  <c r="B272" i="17" s="1"/>
  <c r="C272" i="17" s="1"/>
  <c r="C270" i="17"/>
  <c r="C271" i="17" l="1"/>
  <c r="F94" i="16"/>
  <c r="F70" i="16" l="1"/>
  <c r="K38" i="16"/>
  <c r="F22" i="16"/>
  <c r="F23" i="16"/>
  <c r="K86" i="16"/>
  <c r="C83" i="16"/>
  <c r="C93" i="16"/>
  <c r="J83" i="16"/>
  <c r="J41" i="16"/>
  <c r="J77" i="16"/>
  <c r="F113" i="16"/>
  <c r="C118" i="16"/>
  <c r="K110" i="16"/>
  <c r="F10" i="16"/>
  <c r="K8" i="16"/>
  <c r="J53" i="16"/>
  <c r="C112" i="16"/>
  <c r="J17" i="16"/>
  <c r="C102" i="16"/>
  <c r="C52" i="16"/>
  <c r="C15" i="16"/>
  <c r="F112" i="16"/>
  <c r="C95" i="16"/>
  <c r="F41" i="16"/>
  <c r="F59" i="16"/>
  <c r="F71" i="16"/>
  <c r="C58" i="16"/>
  <c r="F106" i="16"/>
  <c r="C17" i="16"/>
  <c r="C48" i="16"/>
  <c r="F28" i="16"/>
  <c r="C75" i="16"/>
  <c r="J59" i="16"/>
  <c r="C57" i="16"/>
  <c r="F53" i="16"/>
  <c r="C96" i="16"/>
  <c r="J107" i="16"/>
  <c r="J11" i="16"/>
  <c r="C69" i="16"/>
  <c r="F52" i="16"/>
  <c r="C114" i="16"/>
  <c r="C129" i="16"/>
  <c r="C21" i="16"/>
  <c r="K20" i="16"/>
  <c r="F29" i="16"/>
  <c r="C30" i="16"/>
  <c r="C123" i="16"/>
  <c r="C117" i="16"/>
  <c r="F131" i="16"/>
  <c r="C12" i="16"/>
  <c r="F88" i="16"/>
  <c r="C84" i="16"/>
  <c r="J119" i="16"/>
  <c r="J89" i="16"/>
  <c r="C41" i="16"/>
  <c r="F119" i="16"/>
  <c r="C66" i="16"/>
  <c r="F35" i="16"/>
  <c r="C130" i="16"/>
  <c r="C77" i="16"/>
  <c r="C35" i="16"/>
  <c r="C131" i="16"/>
  <c r="C53" i="16"/>
  <c r="C60" i="16"/>
  <c r="C47" i="16"/>
  <c r="C33" i="16"/>
  <c r="F58" i="16"/>
  <c r="J29" i="16"/>
  <c r="C18" i="16"/>
  <c r="C29" i="16"/>
  <c r="C82" i="16"/>
  <c r="C101" i="16"/>
  <c r="C71" i="16"/>
  <c r="C45" i="16"/>
  <c r="F77" i="16"/>
  <c r="F100" i="16"/>
  <c r="K14" i="16"/>
  <c r="C59" i="16"/>
  <c r="C11" i="16"/>
  <c r="J125" i="16"/>
  <c r="C120" i="16"/>
  <c r="C63" i="16"/>
  <c r="K68" i="16"/>
  <c r="C106" i="16"/>
  <c r="F101" i="16"/>
  <c r="F95" i="16"/>
  <c r="C34" i="16"/>
  <c r="C88" i="16"/>
  <c r="C87" i="16"/>
  <c r="F11" i="16"/>
  <c r="F17" i="16"/>
  <c r="K116" i="16"/>
  <c r="F16" i="16"/>
  <c r="C70" i="16"/>
  <c r="C40" i="16"/>
  <c r="K104" i="16"/>
  <c r="C39" i="16"/>
  <c r="K44" i="16"/>
  <c r="C64" i="16"/>
  <c r="C124" i="16"/>
  <c r="C23" i="16"/>
  <c r="F130" i="16"/>
  <c r="K56" i="16"/>
  <c r="F76" i="16"/>
  <c r="J95" i="16"/>
  <c r="F64" i="16"/>
  <c r="K74" i="16"/>
  <c r="F107" i="16"/>
  <c r="C72" i="16"/>
  <c r="K62" i="16"/>
  <c r="K92" i="16"/>
  <c r="C113" i="16"/>
  <c r="C111" i="16"/>
  <c r="K50" i="16"/>
  <c r="J131" i="16"/>
  <c r="C126" i="16"/>
  <c r="C81" i="16"/>
  <c r="C99" i="16"/>
  <c r="J23" i="16"/>
  <c r="K32" i="16"/>
  <c r="C76" i="16"/>
  <c r="K122" i="16"/>
  <c r="C9" i="16"/>
  <c r="C10" i="16"/>
  <c r="C42" i="16"/>
  <c r="C54" i="16"/>
  <c r="C90" i="16"/>
  <c r="F40" i="16"/>
  <c r="C65" i="16"/>
  <c r="F46" i="16"/>
  <c r="C28" i="16"/>
  <c r="C22" i="16"/>
  <c r="C100" i="16"/>
  <c r="C51" i="16"/>
  <c r="C108" i="16"/>
  <c r="C46" i="16"/>
  <c r="K98" i="16"/>
  <c r="K128" i="16"/>
  <c r="C24" i="16"/>
  <c r="F47" i="16"/>
  <c r="J101" i="16"/>
  <c r="F83" i="16"/>
  <c r="C89" i="16"/>
  <c r="C125" i="16"/>
  <c r="J65" i="16"/>
  <c r="C132" i="16"/>
  <c r="C36" i="16"/>
  <c r="J35" i="16"/>
  <c r="F118" i="16"/>
  <c r="J47" i="16"/>
  <c r="J71" i="16"/>
  <c r="C94" i="16"/>
  <c r="C105" i="16"/>
  <c r="K80" i="16"/>
  <c r="C16" i="16"/>
  <c r="C119" i="16"/>
  <c r="F124" i="16"/>
  <c r="F125" i="16"/>
  <c r="C78" i="16"/>
  <c r="C27" i="16"/>
  <c r="K26" i="16"/>
  <c r="J113" i="16"/>
  <c r="F65" i="16"/>
  <c r="F34" i="16"/>
  <c r="F89" i="16"/>
  <c r="F82" i="16"/>
  <c r="C10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jpeters</author>
    <author>lhovila</author>
  </authors>
  <commentList>
    <comment ref="B80" authorId="0" shapeId="0" xr:uid="{00000000-0006-0000-0100-000001000000}">
      <text>
        <r>
          <rPr>
            <b/>
            <sz val="10"/>
            <color indexed="81"/>
            <rFont val="Arial"/>
            <family val="2"/>
          </rPr>
          <t>Please ensure Bad Debt is included in Adjustments.  Bad Debt rules have changed and should no longer be reported as part of Total Operating Expenses.</t>
        </r>
        <r>
          <rPr>
            <sz val="10"/>
            <color indexed="81"/>
            <rFont val="Arial"/>
            <family val="2"/>
          </rPr>
          <t xml:space="preserve">
</t>
        </r>
      </text>
    </comment>
    <comment ref="B82" authorId="0" shapeId="0" xr:uid="{00000000-0006-0000-0100-000002000000}">
      <text>
        <r>
          <rPr>
            <b/>
            <sz val="10"/>
            <color indexed="81"/>
            <rFont val="Arial"/>
            <family val="2"/>
          </rPr>
          <t xml:space="preserve">Investment Income should NOT be reported in Operating Revenue.  Please reclass any income from investments to Non-Operating Revenue
</t>
        </r>
      </text>
    </comment>
    <comment ref="B100" authorId="0" shapeId="0" xr:uid="{00000000-0006-0000-0100-000003000000}">
      <text>
        <r>
          <rPr>
            <b/>
            <sz val="10"/>
            <color indexed="81"/>
            <rFont val="Arial"/>
            <family val="2"/>
          </rPr>
          <t>Bad Debt rules have changed and should no longer be reported as part of Total Operating Expenses.</t>
        </r>
        <r>
          <rPr>
            <sz val="10"/>
            <color indexed="81"/>
            <rFont val="Arial"/>
            <family val="2"/>
          </rPr>
          <t xml:space="preserve">
</t>
        </r>
      </text>
    </comment>
    <comment ref="B109" authorId="0" shapeId="0" xr:uid="{00000000-0006-0000-0100-000004000000}">
      <text>
        <r>
          <rPr>
            <b/>
            <sz val="10"/>
            <color indexed="81"/>
            <rFont val="Arial"/>
            <family val="2"/>
          </rPr>
          <t xml:space="preserve">Investment Income should NOT be reported in Operating Revenue.  Please reclass any income from investments to Non-Operating Revenue
</t>
        </r>
      </text>
    </comment>
    <comment ref="B221" authorId="0" shapeId="0" xr:uid="{00000000-0006-0000-0100-000005000000}">
      <text>
        <r>
          <rPr>
            <sz val="10"/>
            <color indexed="81"/>
            <rFont val="Arial"/>
            <family val="2"/>
          </rPr>
          <t>Pursuant to Minnesota Statutes Section 62J.321, subdivision 5, the information provided in this account is classified as non-public.</t>
        </r>
        <r>
          <rPr>
            <sz val="8"/>
            <color indexed="81"/>
            <rFont val="Tahoma"/>
            <family val="2"/>
          </rPr>
          <t xml:space="preserve">
</t>
        </r>
      </text>
    </comment>
    <comment ref="A390" authorId="1" shapeId="0" xr:uid="{00000000-0006-0000-0100-000006000000}">
      <text>
        <r>
          <rPr>
            <b/>
            <sz val="9"/>
            <color indexed="81"/>
            <rFont val="Tahoma"/>
            <family val="2"/>
          </rPr>
          <t>This classification includes all direct patient care related specialists. For more detail, please see page 30 of the HAR Instructions.</t>
        </r>
      </text>
    </comment>
    <comment ref="A410" authorId="1" shapeId="0" xr:uid="{00000000-0006-0000-0100-000007000000}">
      <text>
        <r>
          <rPr>
            <b/>
            <sz val="9"/>
            <color indexed="81"/>
            <rFont val="Tahoma"/>
            <family val="2"/>
          </rPr>
          <t>This classification includes all direct patient care related specialists. For more detail, please see page 30 of the HAR Instructions.</t>
        </r>
      </text>
    </comment>
    <comment ref="A430" authorId="1" shapeId="0" xr:uid="{00000000-0006-0000-0100-000008000000}">
      <text>
        <r>
          <rPr>
            <b/>
            <sz val="9"/>
            <color indexed="81"/>
            <rFont val="Tahoma"/>
            <family val="2"/>
          </rPr>
          <t>This classification includes all direct patient care related specialists. For more detail, please see page 30 of the HAR Instructions.</t>
        </r>
      </text>
    </comment>
  </commentList>
</comments>
</file>

<file path=xl/sharedStrings.xml><?xml version="1.0" encoding="utf-8"?>
<sst xmlns="http://schemas.openxmlformats.org/spreadsheetml/2006/main" count="10560" uniqueCount="3801">
  <si>
    <t>Items on this worksheet are for your reference and to be used as an aid in completing the formset.</t>
  </si>
  <si>
    <t>If your reported amounts do not fall within the stated ranges, you may be contacted by MHA for corrections.</t>
  </si>
  <si>
    <t>Contracutal Adjustment percentage of Charges</t>
  </si>
  <si>
    <t>Contractual %</t>
  </si>
  <si>
    <t>0741</t>
  </si>
  <si>
    <t>0841</t>
  </si>
  <si>
    <t>0742</t>
  </si>
  <si>
    <t>Medicare Managed Care  Adjustments</t>
  </si>
  <si>
    <t>0842</t>
  </si>
  <si>
    <t>A brief description of the type of care provided to patients in swing beds:  Non-Acute skilled nursing care such as, but no restricted to, IV Meds, Physical Therapy, Bandage Change, or Lab work primarily for Medicare patients.</t>
  </si>
  <si>
    <t>Number of Swing Beds</t>
  </si>
  <si>
    <t>Average Daily Number of Swing Beds.  Calculation:  (4034/365 days)</t>
  </si>
  <si>
    <t>Medicare Reimbursed Swing Bed Patient Days</t>
  </si>
  <si>
    <t>Medicaid Reimbursed Swing Bed Patient Days</t>
  </si>
  <si>
    <t>Total Swing Bed Patient Days (ties to 7156)</t>
  </si>
  <si>
    <t>Admissions from this Hospital</t>
  </si>
  <si>
    <t>Admissions from Another Hospital</t>
  </si>
  <si>
    <t>Swing Bed Re-Admissions (within 60 days of discharge)</t>
  </si>
  <si>
    <t>Total Swing Bed Admissions (ties to 7177)</t>
  </si>
  <si>
    <t>Discharges to Another Unit in this Hospital</t>
  </si>
  <si>
    <t>Discharges to a Nursing Home</t>
  </si>
  <si>
    <t>Discharges to Home</t>
  </si>
  <si>
    <t>Deaths</t>
  </si>
  <si>
    <t>All Other Discharges</t>
  </si>
  <si>
    <t>Total Swing Bed Discharges</t>
  </si>
  <si>
    <t>Total Subacute/Transitional Care Patient Days (ties to 7157)</t>
  </si>
  <si>
    <t>Average Number of Subacute/Transitional Care Beds.  Calculation:  (4037/365 days)</t>
  </si>
  <si>
    <t>Admissions from a Nursing Home</t>
  </si>
  <si>
    <t>Admissions from Home</t>
  </si>
  <si>
    <t>All Other Sources of Admission</t>
  </si>
  <si>
    <t>Total Subacute/Transitional Care Admissions (ties to 7178)</t>
  </si>
  <si>
    <t>Discharges to a Nursing Home (Attached or Other)</t>
  </si>
  <si>
    <t>Total Subacute/Transitional Care Discharges</t>
  </si>
  <si>
    <t>If there was a permanent change in the number of licensed hospital beds or licensed bassinets during the reporting period, list the type of change (licensed bed or bassinet), the number of beds added or withdrawn (show increase by + and decrease by -), and dates of change.</t>
  </si>
  <si>
    <t>Type of Change (Bed or Bassinet)</t>
  </si>
  <si>
    <t>Change</t>
  </si>
  <si>
    <t>Date of Change</t>
  </si>
  <si>
    <t>Example:  Bed</t>
  </si>
  <si>
    <t>- 4</t>
  </si>
  <si>
    <t>Example:  Bassinet</t>
  </si>
  <si>
    <t>+3</t>
  </si>
  <si>
    <r>
      <t xml:space="preserve">This section is for Available Beds only.  Identify the categories where your facility has a </t>
    </r>
    <r>
      <rPr>
        <b/>
        <i/>
        <sz val="10"/>
        <color indexed="16"/>
        <rFont val="Arial"/>
        <family val="2"/>
      </rPr>
      <t>dedicated</t>
    </r>
    <r>
      <rPr>
        <b/>
        <sz val="10"/>
        <color indexed="16"/>
        <rFont val="Arial"/>
        <family val="2"/>
      </rPr>
      <t xml:space="preserve"> specialty unit.  Reporting this information is required by Minnesota Statutes, section 144.698, subdivision 1.</t>
    </r>
  </si>
  <si>
    <t>Category</t>
  </si>
  <si>
    <t>Total Available</t>
  </si>
  <si>
    <t>Adult ICU</t>
  </si>
  <si>
    <t>Adult Non-ICU</t>
  </si>
  <si>
    <t>Pediatric</t>
  </si>
  <si>
    <t>Med/Surg Available Beds</t>
  </si>
  <si>
    <t>Cardiac Available Beds</t>
  </si>
  <si>
    <t>Chemical Dependency Available Beds</t>
  </si>
  <si>
    <t xml:space="preserve">Mental Health (Psychiatric) Available Beds </t>
  </si>
  <si>
    <t>Neurology Available Beds</t>
  </si>
  <si>
    <t>Obstetrics Available Beds</t>
  </si>
  <si>
    <t>Orthopedic Available Beds</t>
  </si>
  <si>
    <t>Rehabilitation Available Beds</t>
  </si>
  <si>
    <t xml:space="preserve">Other Specialty Available Beds </t>
  </si>
  <si>
    <t>Total Acute Care Available Beds</t>
  </si>
  <si>
    <t>Swing Available Beds</t>
  </si>
  <si>
    <t>Sub-Acute and Transitional Care Available Beds</t>
  </si>
  <si>
    <t>Other Non-Acute Available Beds</t>
  </si>
  <si>
    <t>Total Non-Acute Care Available Beds</t>
  </si>
  <si>
    <t>Total Available Beds</t>
  </si>
  <si>
    <t xml:space="preserve">This section is for Available Bassinets only. </t>
  </si>
  <si>
    <r>
      <t xml:space="preserve">Total Neonatal Acute Care Available </t>
    </r>
    <r>
      <rPr>
        <b/>
        <i/>
        <sz val="10"/>
        <rFont val="Arial"/>
        <family val="2"/>
      </rPr>
      <t>Bassinets</t>
    </r>
  </si>
  <si>
    <r>
      <t xml:space="preserve">Total Routine Nursery Non-Acute Care Available </t>
    </r>
    <r>
      <rPr>
        <b/>
        <i/>
        <sz val="10"/>
        <rFont val="Arial"/>
        <family val="2"/>
      </rPr>
      <t>Bassinets</t>
    </r>
  </si>
  <si>
    <r>
      <t xml:space="preserve">Total Available </t>
    </r>
    <r>
      <rPr>
        <b/>
        <i/>
        <sz val="10"/>
        <rFont val="Arial"/>
        <family val="2"/>
      </rPr>
      <t>Bassinets</t>
    </r>
  </si>
  <si>
    <t>GENERAL SERVICES</t>
  </si>
  <si>
    <t>Abortion Services (Inpatient)</t>
  </si>
  <si>
    <t>Abortion Services (Outpatient)</t>
  </si>
  <si>
    <t>Cardiac Catheterization Services</t>
  </si>
  <si>
    <t>Chemical Dependency Treatment (Outpatient)</t>
  </si>
  <si>
    <t>Detoxification Services</t>
  </si>
  <si>
    <t>Electroencephalography</t>
  </si>
  <si>
    <t>Extracorporeal Shock Wave Lithotripter (ESWL)</t>
  </si>
  <si>
    <t>Number of Fixed ESWL Scanners</t>
  </si>
  <si>
    <t>Number of Mobile ESWL Scanners</t>
  </si>
  <si>
    <t>Total Number of ESWL Scanners</t>
  </si>
  <si>
    <t>Number of Inpatient Treatments</t>
  </si>
  <si>
    <r>
      <t xml:space="preserve">This worksheet is </t>
    </r>
    <r>
      <rPr>
        <b/>
        <u/>
        <sz val="10"/>
        <color indexed="16"/>
        <rFont val="Arial"/>
        <family val="2"/>
      </rPr>
      <t>STRICTLY</t>
    </r>
    <r>
      <rPr>
        <b/>
        <sz val="10"/>
        <color indexed="16"/>
        <rFont val="Arial"/>
        <family val="2"/>
      </rPr>
      <t xml:space="preserve"> an estimate of the Medical Care Surcharge, and in no way explicitly or implicitly indicates the final amount that may be determined by the Minnesota Department of Human Services (DHS).  DHS is the </t>
    </r>
    <r>
      <rPr>
        <b/>
        <u/>
        <sz val="10"/>
        <color indexed="16"/>
        <rFont val="Arial"/>
        <family val="2"/>
      </rPr>
      <t>sole</t>
    </r>
    <r>
      <rPr>
        <b/>
        <sz val="10"/>
        <color indexed="16"/>
        <rFont val="Arial"/>
        <family val="2"/>
      </rPr>
      <t xml:space="preserve"> determiner of your hospital's medical care surcharge obligation, and reserves all rights regarding your hospital's surcharge obligations.  This worksheet is strictly to be used to give guidance and assistance in the ACCURATE completion of the HAR, and any other use is strictly prohibited.  Use of this estimation tool to manipulate your hospital's surcharge obligation constitutes tax fraud, and known instances of manipulation </t>
    </r>
    <r>
      <rPr>
        <b/>
        <u/>
        <sz val="10"/>
        <color indexed="16"/>
        <rFont val="Arial"/>
        <family val="2"/>
      </rPr>
      <t>will</t>
    </r>
    <r>
      <rPr>
        <b/>
        <sz val="10"/>
        <color indexed="16"/>
        <rFont val="Arial"/>
        <family val="2"/>
      </rPr>
      <t xml:space="preserve"> be prosecuted to the fullest extent of the law.  </t>
    </r>
  </si>
  <si>
    <t>Verification of the HAR Data Elements involved in the calculation of the 
Medical Care Surcharge</t>
  </si>
  <si>
    <t>·        Quality assurance and utilization management program or activity:  All costs associated with any activities or programs established for the purpose of quality of care evaluation and utilization management. Activities include quality assurance, development of practice protocols, utilization review, peer review, provider credentialing, and all other medical care evaluation activities.</t>
  </si>
  <si>
    <t>·        Community and wellness education:  All the costs related to wellness programs, health promotion, community education classes, support groups, and other outreach programs and health screening included in a specific community or wellness education cost center or reclassified from other cost centers.  Community and wellness education expenses does not include patient education programs.</t>
  </si>
  <si>
    <t>·        Promotion and marketing:  All costs related to marketing, promotion, and advertising activities such as billboards, yellow page listing, cost of materials, advertising agency fees, marketing representative wages and fringe benefits, travel, and other expenses allocated to the promotion and marketing activities.  Promotion and marketing expenses does not include costs charged to other departments within the hospital.</t>
  </si>
  <si>
    <t>·        Taxes, fees, and assessments:  The direct payments made to government agencies including property taxes; medical care surcharge; MinnesotaCare tax; unrelated business income taxes; any assessments imposed by local, state, or federal jurisdiction; all fees associated with the facility's new or renewal certification with state or federal regulatory agencies, including fees associated with joint Commission on Accreditation of Healthcare Organizations (JCAHO) accreditation; and any fees or fines paid to government agencies for examinations related to regulation.</t>
  </si>
  <si>
    <t>Financial, Utilization, and Services Data</t>
  </si>
  <si>
    <t>Complete this page, print it, and have it signed.</t>
  </si>
  <si>
    <t>Hospital Identification</t>
  </si>
  <si>
    <t>HCCIS ID</t>
  </si>
  <si>
    <t>NPI</t>
  </si>
  <si>
    <t>Please provide the National Provider Identifier for the acute care facility of the hospital</t>
  </si>
  <si>
    <t>Hospital Name</t>
  </si>
  <si>
    <t>Address</t>
  </si>
  <si>
    <t xml:space="preserve">Date Filed </t>
  </si>
  <si>
    <t>P.O. Box</t>
  </si>
  <si>
    <t>Date Revised</t>
  </si>
  <si>
    <t>City</t>
  </si>
  <si>
    <t>Fiscal Year</t>
  </si>
  <si>
    <t>Zip Code</t>
  </si>
  <si>
    <t>County</t>
  </si>
  <si>
    <t>Number of Months in Reporting Year</t>
  </si>
  <si>
    <t>Facility Phone #</t>
  </si>
  <si>
    <t>Critical Access Hospital (CAH) Status</t>
  </si>
  <si>
    <t>Facility Fax #</t>
  </si>
  <si>
    <t>Yes</t>
  </si>
  <si>
    <t>No</t>
  </si>
  <si>
    <t>Administrator's Name</t>
  </si>
  <si>
    <t>Administrator's Title</t>
  </si>
  <si>
    <t>Administrator's 
e-mail address</t>
  </si>
  <si>
    <t>CFO's Name</t>
  </si>
  <si>
    <t>Hospital's Website 
Address</t>
  </si>
  <si>
    <t>System Affiliation:  Name of system(s), e.g., Allina, Fairview,</t>
  </si>
  <si>
    <t>Check Type of Affiliation(s):</t>
  </si>
  <si>
    <t>Own</t>
  </si>
  <si>
    <t>Manage</t>
  </si>
  <si>
    <t>Lease</t>
  </si>
  <si>
    <t>N/A</t>
  </si>
  <si>
    <t>Emergency Department Physician Director (full name)</t>
  </si>
  <si>
    <t>This certification must be signed by an officer of the hospital, such as the Administrator, CEO, CFO, etc.</t>
  </si>
  <si>
    <r>
      <t xml:space="preserve">Certification Statement:  </t>
    </r>
    <r>
      <rPr>
        <sz val="10"/>
        <color indexed="16"/>
        <rFont val="Arial"/>
        <family val="2"/>
      </rPr>
      <t>I hereby certify that I have examined the accompanying Hospital Annual Report and to the best of my knowledge, the information herein is accurate.</t>
    </r>
  </si>
  <si>
    <t>Signed</t>
  </si>
  <si>
    <t>Printed Name</t>
  </si>
  <si>
    <t>Position</t>
  </si>
  <si>
    <t>Date</t>
  </si>
  <si>
    <t>Contact Information</t>
  </si>
  <si>
    <t>Preparer</t>
  </si>
  <si>
    <t>Name of person completing this form</t>
  </si>
  <si>
    <t>Title</t>
  </si>
  <si>
    <t>Steve</t>
  </si>
  <si>
    <t>President</t>
  </si>
  <si>
    <t>Mark</t>
  </si>
  <si>
    <t>Reimbursement Analyst</t>
  </si>
  <si>
    <t>Minneapolis</t>
  </si>
  <si>
    <t>Hennepin</t>
  </si>
  <si>
    <t>Allina Hospitals and Clinics</t>
  </si>
  <si>
    <t>Trisha</t>
  </si>
  <si>
    <t>Schirmers</t>
  </si>
  <si>
    <t>trisha.schirmers@allina.com</t>
  </si>
  <si>
    <t>Mail Route 10809</t>
  </si>
  <si>
    <t>MINNEAPOLIS</t>
  </si>
  <si>
    <t>Fairview Ridges Hospital</t>
  </si>
  <si>
    <t>BURNSVILLE</t>
  </si>
  <si>
    <t>DAKOTA</t>
  </si>
  <si>
    <t>Gary</t>
  </si>
  <si>
    <t>HENNEPIN</t>
  </si>
  <si>
    <t>www.fairview.org</t>
  </si>
  <si>
    <t>Fairview Health Services</t>
  </si>
  <si>
    <t>Cambridge Medical Center</t>
  </si>
  <si>
    <t>CAMBRIDGE</t>
  </si>
  <si>
    <t>ISANTI</t>
  </si>
  <si>
    <t>Laura</t>
  </si>
  <si>
    <t>Dr. Mark Thayer</t>
  </si>
  <si>
    <t>CANBY</t>
  </si>
  <si>
    <t>YELLOW MEDICINE</t>
  </si>
  <si>
    <t>Allison Nelson</t>
  </si>
  <si>
    <t>Senior Accountant</t>
  </si>
  <si>
    <t>Dr. Maritza Lopez</t>
  </si>
  <si>
    <t>CANNON FALLS</t>
  </si>
  <si>
    <t>GOODHUE</t>
  </si>
  <si>
    <t>Glenn</t>
  </si>
  <si>
    <t>Christian</t>
  </si>
  <si>
    <t>Jeff</t>
  </si>
  <si>
    <t>http://www.cannonhealth.org/</t>
  </si>
  <si>
    <t>CLOQUET</t>
  </si>
  <si>
    <t>CARLTON</t>
  </si>
  <si>
    <t>Rick</t>
  </si>
  <si>
    <t>Breuer</t>
  </si>
  <si>
    <t>Brad Anderson</t>
  </si>
  <si>
    <t>Director of Accounting</t>
  </si>
  <si>
    <t>Cloquet</t>
  </si>
  <si>
    <t>Cook Hospital &amp; C&amp;NC</t>
  </si>
  <si>
    <t>COOK</t>
  </si>
  <si>
    <t>Kaylee</t>
  </si>
  <si>
    <t>Hoard</t>
  </si>
  <si>
    <t>khoard@cook.sisunet.org</t>
  </si>
  <si>
    <t>Cook</t>
  </si>
  <si>
    <t>www.cookhospital.org</t>
  </si>
  <si>
    <t>Mercy Hospital</t>
  </si>
  <si>
    <t>COON RAPIDS</t>
  </si>
  <si>
    <t>Tom</t>
  </si>
  <si>
    <t>Riverview Healthcare Association</t>
  </si>
  <si>
    <t>CROOKSTON</t>
  </si>
  <si>
    <t>POLK</t>
  </si>
  <si>
    <t>Boardman</t>
  </si>
  <si>
    <t>Mavis</t>
  </si>
  <si>
    <t>Haugom</t>
  </si>
  <si>
    <t>Crookston</t>
  </si>
  <si>
    <t>www.riverhealth.org</t>
  </si>
  <si>
    <t>Cuyuna Regional Medical Center</t>
  </si>
  <si>
    <t>CROSBY</t>
  </si>
  <si>
    <t>Kyle Bauer</t>
  </si>
  <si>
    <t>Bauer</t>
  </si>
  <si>
    <t>Crosby</t>
  </si>
  <si>
    <t>www.cuyunamed.org</t>
  </si>
  <si>
    <t>Johnson Memorial Health Services</t>
  </si>
  <si>
    <t>DAWSON</t>
  </si>
  <si>
    <t>LAC QUI PARLE</t>
  </si>
  <si>
    <t>Stacy</t>
  </si>
  <si>
    <t>Lee</t>
  </si>
  <si>
    <t>Dawson</t>
  </si>
  <si>
    <t>Dr. Ralph Gerbig</t>
  </si>
  <si>
    <t>DEER RIVER</t>
  </si>
  <si>
    <t>DULUTH</t>
  </si>
  <si>
    <t>DETROIT LAKES</t>
  </si>
  <si>
    <t>BECKER</t>
  </si>
  <si>
    <t>Thomas</t>
  </si>
  <si>
    <t>Thompson</t>
  </si>
  <si>
    <t>Irish</t>
  </si>
  <si>
    <t>St. Mary's Medical Center</t>
  </si>
  <si>
    <t>Medical Center Director</t>
  </si>
  <si>
    <t>U.S. Department of Veterans Affairs</t>
  </si>
  <si>
    <t>Chippewa County-Montevideo Hospital</t>
  </si>
  <si>
    <t>MONTEVIDEO</t>
  </si>
  <si>
    <t>CHIPPEWA</t>
  </si>
  <si>
    <t>Paulson</t>
  </si>
  <si>
    <t>markp@montevideomedical.com</t>
  </si>
  <si>
    <t>Darlene Boike</t>
  </si>
  <si>
    <t>www.montevideomedical.com</t>
  </si>
  <si>
    <t>MONTICELLO</t>
  </si>
  <si>
    <t>Chief Financial Officer</t>
  </si>
  <si>
    <t>Dr. Mark Bonneville</t>
  </si>
  <si>
    <t>MOOSE LAKE</t>
  </si>
  <si>
    <t>www.mercymooselake.org</t>
  </si>
  <si>
    <t>MORA</t>
  </si>
  <si>
    <t>KANABEC</t>
  </si>
  <si>
    <t>Randy</t>
  </si>
  <si>
    <t>Ulseth</t>
  </si>
  <si>
    <t>rulseth@sisunet.org</t>
  </si>
  <si>
    <t>Gordon Forbort</t>
  </si>
  <si>
    <t>Stevens Community Medical Center</t>
  </si>
  <si>
    <t>MORRIS</t>
  </si>
  <si>
    <t>STEVENS</t>
  </si>
  <si>
    <t>Morris</t>
  </si>
  <si>
    <t>Stevens</t>
  </si>
  <si>
    <t>NEW PRAGUE</t>
  </si>
  <si>
    <t>SCOTT</t>
  </si>
  <si>
    <t>Klimp</t>
  </si>
  <si>
    <t>Julie</t>
  </si>
  <si>
    <t>New Ulm Medical Center</t>
  </si>
  <si>
    <t>NEW ULM</t>
  </si>
  <si>
    <t>BROWN</t>
  </si>
  <si>
    <t>NORTHFIELD</t>
  </si>
  <si>
    <t>Northfield</t>
  </si>
  <si>
    <t>www.northfieldhospital.org</t>
  </si>
  <si>
    <t>Jeff Meland</t>
  </si>
  <si>
    <t>Renville County Hospital</t>
  </si>
  <si>
    <t>OLIVIA</t>
  </si>
  <si>
    <t>RENVILLE</t>
  </si>
  <si>
    <t>Tim</t>
  </si>
  <si>
    <t>www.renvillecountyhospital.org</t>
  </si>
  <si>
    <t>Mille Lacs Health System</t>
  </si>
  <si>
    <t>ONAMIA</t>
  </si>
  <si>
    <t>MILLE LACS</t>
  </si>
  <si>
    <t>Ortonville Area Health Services</t>
  </si>
  <si>
    <t>ORTONVILLE</t>
  </si>
  <si>
    <t>Ash</t>
  </si>
  <si>
    <t>www.oahs.us</t>
  </si>
  <si>
    <t>Owatonna Hospital</t>
  </si>
  <si>
    <t>OWATONNA</t>
  </si>
  <si>
    <t>STEELE</t>
  </si>
  <si>
    <t>Address (if different than Hospital)</t>
  </si>
  <si>
    <t>E-mail</t>
  </si>
  <si>
    <t>City (if different than Hospital)</t>
  </si>
  <si>
    <t>Direct Phone#</t>
  </si>
  <si>
    <t>State (if different than Hospital)</t>
  </si>
  <si>
    <t>Fax#</t>
  </si>
  <si>
    <t>Zip Code (If different than Hospital)</t>
  </si>
  <si>
    <t>County (if different than Hospital)</t>
  </si>
  <si>
    <t>Courtesy Contact 1(Optional)</t>
  </si>
  <si>
    <t>Courtesy Contact 1 Name</t>
  </si>
  <si>
    <t>Courtesy Contact 2(Optional)</t>
  </si>
  <si>
    <t>Courtesy Contact 2 Name</t>
  </si>
  <si>
    <t>Capital Expenditure Contact Name</t>
  </si>
  <si>
    <r>
      <t xml:space="preserve">Complete Lines 0201 - 0340 if you do </t>
    </r>
    <r>
      <rPr>
        <b/>
        <i/>
        <sz val="10"/>
        <color indexed="16"/>
        <rFont val="Arial"/>
        <family val="2"/>
      </rPr>
      <t>not</t>
    </r>
    <r>
      <rPr>
        <b/>
        <sz val="10"/>
        <color indexed="16"/>
        <rFont val="Arial"/>
        <family val="2"/>
      </rPr>
      <t xml:space="preserve"> have a hospital specific Certified Audit Statement.</t>
    </r>
  </si>
  <si>
    <t>Section 1:  Revenue and Expense Summary</t>
  </si>
  <si>
    <t>FY 2007</t>
  </si>
  <si>
    <t>0201</t>
  </si>
  <si>
    <r>
      <t xml:space="preserve">Gross </t>
    </r>
    <r>
      <rPr>
        <b/>
        <sz val="10"/>
        <color indexed="12"/>
        <rFont val="Arial"/>
        <family val="2"/>
      </rPr>
      <t>Hospital</t>
    </r>
    <r>
      <rPr>
        <sz val="10"/>
        <color indexed="8"/>
        <rFont val="Arial"/>
        <family val="2"/>
      </rPr>
      <t xml:space="preserve"> Charges from Patient Care (ties to 0740)</t>
    </r>
  </si>
  <si>
    <r>
      <t xml:space="preserve">Gross </t>
    </r>
    <r>
      <rPr>
        <b/>
        <sz val="10"/>
        <color indexed="12"/>
        <rFont val="Arial"/>
        <family val="2"/>
      </rPr>
      <t>Nursing Home</t>
    </r>
    <r>
      <rPr>
        <sz val="10"/>
        <color indexed="8"/>
        <rFont val="Arial"/>
        <family val="2"/>
      </rPr>
      <t xml:space="preserve"> Charges from Patient Care</t>
    </r>
  </si>
  <si>
    <r>
      <t xml:space="preserve">Gross </t>
    </r>
    <r>
      <rPr>
        <b/>
        <sz val="10"/>
        <color indexed="12"/>
        <rFont val="Arial"/>
        <family val="2"/>
      </rPr>
      <t>Clinic</t>
    </r>
    <r>
      <rPr>
        <sz val="10"/>
        <color indexed="8"/>
        <rFont val="Arial"/>
        <family val="2"/>
      </rPr>
      <t xml:space="preserve"> Charges from Patient Care</t>
    </r>
  </si>
  <si>
    <r>
      <t xml:space="preserve">Gross </t>
    </r>
    <r>
      <rPr>
        <b/>
        <sz val="10"/>
        <color indexed="12"/>
        <rFont val="Arial"/>
        <family val="2"/>
      </rPr>
      <t>Home Health</t>
    </r>
    <r>
      <rPr>
        <sz val="10"/>
        <color indexed="8"/>
        <rFont val="Arial"/>
        <family val="2"/>
      </rPr>
      <t xml:space="preserve"> Charges from Patient Care</t>
    </r>
  </si>
  <si>
    <r>
      <t xml:space="preserve">Gross </t>
    </r>
    <r>
      <rPr>
        <b/>
        <sz val="10"/>
        <color indexed="12"/>
        <rFont val="Arial"/>
        <family val="2"/>
      </rPr>
      <t>Hospice</t>
    </r>
    <r>
      <rPr>
        <sz val="10"/>
        <color indexed="8"/>
        <rFont val="Arial"/>
        <family val="2"/>
      </rPr>
      <t xml:space="preserve"> Charges from Patient Care</t>
    </r>
  </si>
  <si>
    <r>
      <t xml:space="preserve">Gross </t>
    </r>
    <r>
      <rPr>
        <b/>
        <sz val="10"/>
        <color indexed="12"/>
        <rFont val="Arial"/>
        <family val="2"/>
      </rPr>
      <t xml:space="preserve">Ambulance Services </t>
    </r>
    <r>
      <rPr>
        <sz val="10"/>
        <color indexed="8"/>
        <rFont val="Arial"/>
        <family val="2"/>
      </rPr>
      <t>Charges from Patient Care</t>
    </r>
  </si>
  <si>
    <t>Other Institution Charges from Patient Care (specify)</t>
  </si>
  <si>
    <t>Gross Charges from Patient Care</t>
  </si>
  <si>
    <t>Total Adjustments and Uncollectibles</t>
  </si>
  <si>
    <t>Net Revenue from Patient Care (0210+0220)</t>
  </si>
  <si>
    <t>North Memorial Medical Center</t>
  </si>
  <si>
    <t>ROBBINSDALE</t>
  </si>
  <si>
    <t>PARK RAPIDS</t>
  </si>
  <si>
    <t>HUBBARD</t>
  </si>
  <si>
    <t>www.sjahs.org</t>
  </si>
  <si>
    <t>Jane M. Churchill, MD</t>
  </si>
  <si>
    <t>PAYNESVILLE</t>
  </si>
  <si>
    <t>PERHAM</t>
  </si>
  <si>
    <t>Chuck</t>
  </si>
  <si>
    <t>Hofius</t>
  </si>
  <si>
    <t>Brad Wurgler</t>
  </si>
  <si>
    <t>Brad</t>
  </si>
  <si>
    <t>PINE</t>
  </si>
  <si>
    <t>Pipestone County Medical Center</t>
  </si>
  <si>
    <t>PIPESTONE</t>
  </si>
  <si>
    <t>Burris</t>
  </si>
  <si>
    <t>bradley.burris@pcmchealth.org</t>
  </si>
  <si>
    <t>www.pcmchealth.org</t>
  </si>
  <si>
    <t>Fairview Northland Regional Hospital</t>
  </si>
  <si>
    <t>PRINCETON</t>
  </si>
  <si>
    <t>SHERBURNE</t>
  </si>
  <si>
    <t>Kevin</t>
  </si>
  <si>
    <t>Finance Assistant</t>
  </si>
  <si>
    <t>RED WING</t>
  </si>
  <si>
    <t>Gregory Kays, M.D.</t>
  </si>
  <si>
    <t>Barbara</t>
  </si>
  <si>
    <t>Redwood Area Hospital</t>
  </si>
  <si>
    <t>REDWOOD FALLS</t>
  </si>
  <si>
    <t>REDWOOD</t>
  </si>
  <si>
    <t>Redwood Falls</t>
  </si>
  <si>
    <t>www.redwoodareahospital.org</t>
  </si>
  <si>
    <t>sboyd@sisunet.org</t>
  </si>
  <si>
    <t>STEARNS</t>
  </si>
  <si>
    <t>Koppelman</t>
  </si>
  <si>
    <t>Administrator</t>
  </si>
  <si>
    <t>Larry</t>
  </si>
  <si>
    <t>Gross Medicare Other Billable Professional Managed Care Charges included in Account 0842. Calculation: (0842/0740)*7061</t>
  </si>
  <si>
    <t>Other Billable Professional Adjustments &amp; Uncollectibles included in Account 0760. 
Calculation: (0760/0740)*7061</t>
  </si>
  <si>
    <t xml:space="preserve">Medicare Other Billable Professional Adjustments &amp; Uncollectibles included in Account 0741.  Calculation:  (0741/0760)*7064 </t>
  </si>
  <si>
    <t>Medicare Other Billable Professional Managed Care Adjustments &amp; Uncollectibles included in Account 0742.  Calculation: (0742/0760)*7064</t>
  </si>
  <si>
    <t xml:space="preserve">Other Billable Professional Charity Care Adjustments included
in Account 0762. Calculation: (0762/0760)*7064 </t>
  </si>
  <si>
    <t>Other Billable Professional Expense (related to billable professional (non-physician) services only)</t>
  </si>
  <si>
    <t>Gross Reference Lab/Reference Radiology Charges included in Account 0740 (ties to 7091)</t>
  </si>
  <si>
    <t>Gross Medicare Reference Lab/Reference Radiology Charges included in Account 0841</t>
  </si>
  <si>
    <t>Gross Medicare Reference Lab/Reference Radiology Managed Care Charges included in Account 0842</t>
  </si>
  <si>
    <t>Reference Lab/Reference Radiology Adjustments &amp; Uncollectibles included Account 0760</t>
  </si>
  <si>
    <t>Medicare Reference Lab/Reference Radiology Adjustments &amp; Uncollectibles included in Account 0741</t>
  </si>
  <si>
    <t>Medicare Reference Lab/Reference Radiology Managed Care Adjustments &amp; Uncollectibles included in Account 0742</t>
  </si>
  <si>
    <t>Reference Lab/Reference Radiology Expense</t>
  </si>
  <si>
    <t>Gross DME/Retail Pharmacy Supplies Charges included in Account 0740 (ties to 7092)</t>
  </si>
  <si>
    <t>Gross Medicare DME/Retail Pharmacy Supplies Charges included in Account 0841</t>
  </si>
  <si>
    <t>Gross Medicare DME/Retail Pharmacy Managed Care Charges included in Account 0842</t>
  </si>
  <si>
    <t>DME/Retail Pharmacy Supplies Adjustments &amp; Uncollectibles included in Account 0760</t>
  </si>
  <si>
    <t>Medicare DME/Retail Pharmacy Supplies Adjustments &amp; Uncollectibles included in Account 0741</t>
  </si>
  <si>
    <t>Medicare DME/Retail Pharmacy Supplies Managed Care Adjustments &amp; Uncollectibles included in Account 0742</t>
  </si>
  <si>
    <t>DME/Retail Pharmacy Charity Care Adjustments included in Account 0762</t>
  </si>
  <si>
    <t>DME/Retail Pharmacy Expense</t>
  </si>
  <si>
    <t>Salaries and Wages</t>
  </si>
  <si>
    <t>FTEs included in Salaries and Wages</t>
  </si>
  <si>
    <t>Acct#</t>
  </si>
  <si>
    <t>FTE Vacancies</t>
  </si>
  <si>
    <t>RN</t>
  </si>
  <si>
    <t>LPN</t>
  </si>
  <si>
    <t>Nurse Anesthetist</t>
  </si>
  <si>
    <t>Nursing Practitioner</t>
  </si>
  <si>
    <t>Nursing Assistant/Aide</t>
  </si>
  <si>
    <t>Pharmacist</t>
  </si>
  <si>
    <t>Physician</t>
  </si>
  <si>
    <t>Physician Assistant</t>
  </si>
  <si>
    <t>Occupational Therapist</t>
  </si>
  <si>
    <t>Physical Therapist</t>
  </si>
  <si>
    <t>Lab Technologist/Technician</t>
  </si>
  <si>
    <t>Administrator/CEO</t>
  </si>
  <si>
    <t>All Other Personnel</t>
  </si>
  <si>
    <t>Total (2030 ties to 0601)</t>
  </si>
  <si>
    <r>
      <t>Full Time
Employed Staff
(</t>
    </r>
    <r>
      <rPr>
        <b/>
        <sz val="10"/>
        <color indexed="16"/>
        <rFont val="Arial"/>
        <family val="2"/>
      </rPr>
      <t>≥</t>
    </r>
    <r>
      <rPr>
        <b/>
        <sz val="10"/>
        <color indexed="16"/>
        <rFont val="Arial"/>
        <family val="2"/>
      </rPr>
      <t>32 hours/wk)</t>
    </r>
  </si>
  <si>
    <t>Part-Time
Employed Staff
(&lt;32 hours/wk)</t>
  </si>
  <si>
    <t>Total Hospital
Employed Staff</t>
  </si>
  <si>
    <t>This section is for consultants or contracting employed staff only.  Hospital employees are to be reported in the previous section.</t>
  </si>
  <si>
    <t>Contract Amounts
(report whole dollars)</t>
  </si>
  <si>
    <t>FTEs included in Contracted Amounts</t>
  </si>
  <si>
    <t>Number of Physicians with Admitting Privileges</t>
  </si>
  <si>
    <t>This section is to be completed by teaching and research hospitals only.</t>
  </si>
  <si>
    <t>Number of Full-Time Equivalent Residents</t>
  </si>
  <si>
    <t>Emergency Department Physician Director</t>
  </si>
  <si>
    <t>Courtesy Contact Person First Name</t>
  </si>
  <si>
    <t>Courtesy Contact Person Last Name</t>
  </si>
  <si>
    <t>Courtesy Contact Person Title</t>
  </si>
  <si>
    <t>Courtesy Contact Person Phone</t>
  </si>
  <si>
    <t>Courtesy Contact Person Extension</t>
  </si>
  <si>
    <t>Courtesy Contact Person Fax</t>
  </si>
  <si>
    <t>Courtesy Contact Person e-mail</t>
  </si>
  <si>
    <t>Courtesy Contact Address</t>
  </si>
  <si>
    <t>Courtesy Contact Multiple Unit</t>
  </si>
  <si>
    <t>Courtesy Contact City</t>
  </si>
  <si>
    <t>Courtesy Contact State</t>
  </si>
  <si>
    <t>Courtesy Contact Zip5</t>
  </si>
  <si>
    <t>Coutesy Contact Zip4</t>
  </si>
  <si>
    <t>ADA</t>
  </si>
  <si>
    <t>NORMAN</t>
  </si>
  <si>
    <t>MN</t>
  </si>
  <si>
    <t>Dan</t>
  </si>
  <si>
    <t>CEO/Administrator</t>
  </si>
  <si>
    <t>Ryan Hill</t>
  </si>
  <si>
    <t>Ryan</t>
  </si>
  <si>
    <t>Hill</t>
  </si>
  <si>
    <t>CFO</t>
  </si>
  <si>
    <t>Leased</t>
  </si>
  <si>
    <t>Riverwood HealthCare Center</t>
  </si>
  <si>
    <t>AITKIN</t>
  </si>
  <si>
    <t>Mike</t>
  </si>
  <si>
    <t>CEO</t>
  </si>
  <si>
    <t>Judy</t>
  </si>
  <si>
    <t>Turner</t>
  </si>
  <si>
    <t>Finance Manager</t>
  </si>
  <si>
    <t>Aitkin</t>
  </si>
  <si>
    <t>No Affiliation</t>
  </si>
  <si>
    <t>James Harris, MD</t>
  </si>
  <si>
    <t>Susan</t>
  </si>
  <si>
    <t>Boyd</t>
  </si>
  <si>
    <t>www.mahnomenhealthcenter.com</t>
  </si>
  <si>
    <t>MANKATO</t>
  </si>
  <si>
    <t>Gregory R.</t>
  </si>
  <si>
    <t>Financial Analyst</t>
  </si>
  <si>
    <t>PO Box 8673</t>
  </si>
  <si>
    <t>Ashland</t>
  </si>
  <si>
    <t>St. John's Hospital</t>
  </si>
  <si>
    <t>MAPLEWOOD</t>
  </si>
  <si>
    <t>ST. PAUL</t>
  </si>
  <si>
    <t>www.healtheast.org</t>
  </si>
  <si>
    <t>HealthEast Care System</t>
  </si>
  <si>
    <t>Johnson</t>
  </si>
  <si>
    <t>Avera Marshall Regional Medical Center</t>
  </si>
  <si>
    <t>State (governmental, nonfederal)</t>
  </si>
  <si>
    <t>County (governmental, nonfederal)</t>
  </si>
  <si>
    <t>City (governmental, nonfederal)</t>
  </si>
  <si>
    <t>City - County (governmental, nonfederal)</t>
  </si>
  <si>
    <t>Hospital District or Authority (governmental, nonfederal)</t>
  </si>
  <si>
    <t>Church Related (nongovernmental, nonprofit)</t>
  </si>
  <si>
    <t>Nonprofit Corporation (nongovernmental, nonprofit)</t>
  </si>
  <si>
    <t>Other Nonprofit Ownership (nongovernmental, nonprofit)</t>
  </si>
  <si>
    <t>Individual (nongovernmental, FOR PROFIT)</t>
  </si>
  <si>
    <t>Partnership (nongovernmental, FOR PROFIT)</t>
  </si>
  <si>
    <t>Corporation (nongovernmental, FOR PROFIT)</t>
  </si>
  <si>
    <t>The National Provider Identifier (NPI) is being collected on the first page of the Hospital Annual Report formset.  Please note to enter the NPI assigned to the acute care facility, and not one assigned to a different facility of the hospital (e.g. mental health unit, clinic, nursing home, etc.)    See http://www.cms.hhs.gov/NationalProvIdentStand/ for more information.</t>
  </si>
  <si>
    <t>Questions concerning Medical Education Expenses should be directed to the Division of Health Policy in MDH at (651) 201-3566.</t>
  </si>
  <si>
    <r>
      <t xml:space="preserve"> Enter the NPI number assigned by CMS for the Acute Care hospital.
See </t>
    </r>
    <r>
      <rPr>
        <sz val="10"/>
        <color indexed="8"/>
        <rFont val="Arial"/>
        <family val="2"/>
      </rPr>
      <t>http://www.cms.hhs.gov/NationalProvIdentStand/</t>
    </r>
    <r>
      <rPr>
        <sz val="10"/>
        <rFont val="Arial"/>
        <family val="2"/>
      </rPr>
      <t xml:space="preserve"> for more information.</t>
    </r>
  </si>
  <si>
    <t>Record all direct and indirect expenses related to each of the following categories.  Include portions of 0637, 0650 and 0655 where applicable.</t>
  </si>
  <si>
    <t>Admitting, Patient Billing &amp; Collection Expenses</t>
  </si>
  <si>
    <t>Accounting and Financial Reporting Expenses</t>
  </si>
  <si>
    <t>Quality Assurance and Utilization Management Program/Activity Expenses</t>
  </si>
  <si>
    <t>Community/Wellness Educations Expenses</t>
  </si>
  <si>
    <t>Promotion and Marketing Expenses</t>
  </si>
  <si>
    <t>Taxes, Fees, and Assessments</t>
  </si>
  <si>
    <t>Malpractice Expenses (ties to 0625)</t>
  </si>
  <si>
    <t>Other Administrative Expenses</t>
  </si>
  <si>
    <t>Total Administrative Expenses</t>
  </si>
  <si>
    <t>Total Cost of Regulatory and Compliance Reporting</t>
  </si>
  <si>
    <t>Total Management Information Systems Expenses</t>
  </si>
  <si>
    <t>Total Plant, Equipment, and Occupancy Expenses</t>
  </si>
  <si>
    <t>Reporting of this information is required by Minnesota Statutes 144.699, subd. 5.</t>
  </si>
  <si>
    <t>Community Benefit Expenses</t>
  </si>
  <si>
    <t>Offsetting Revenues</t>
  </si>
  <si>
    <r>
      <t>Community Care. Calculation</t>
    </r>
    <r>
      <rPr>
        <u/>
        <sz val="10"/>
        <color indexed="8"/>
        <rFont val="Arial"/>
        <family val="2"/>
      </rPr>
      <t xml:space="preserve">: </t>
    </r>
    <r>
      <rPr>
        <sz val="10"/>
        <color indexed="8"/>
        <rFont val="Arial"/>
        <family val="2"/>
      </rPr>
      <t>(0600/(0740+0770))*absolute value of (0762)</t>
    </r>
  </si>
  <si>
    <t>Cost of Operating Subsidized Services</t>
  </si>
  <si>
    <t>Education Cost</t>
  </si>
  <si>
    <t>Research Cost</t>
  </si>
  <si>
    <t>Community Health Services Cost</t>
  </si>
  <si>
    <t>Financial and In-Kind Contributions</t>
  </si>
  <si>
    <t>Cost of Community Building Activities</t>
  </si>
  <si>
    <t>Cost of Community Benefit Operations</t>
  </si>
  <si>
    <t>Total Community Benefits</t>
  </si>
  <si>
    <t>Charity Care Contacts should be counted as 1 contact per outpatient visit and 1 contact per inpatient stay.</t>
  </si>
  <si>
    <t>Charity Care Contacts should be counted as 1 contact per Outpatient visit and 1 contact per Inpatient stay.</t>
  </si>
  <si>
    <t># of Contacts</t>
  </si>
  <si>
    <t>Amount of Charity Care Provided</t>
  </si>
  <si>
    <t>Family income is above 275% FPG</t>
  </si>
  <si>
    <t>Family income is below 275% FPG</t>
  </si>
  <si>
    <t>Fairview Southdale Hospital</t>
  </si>
  <si>
    <t>EDINA</t>
  </si>
  <si>
    <t>Bradley</t>
  </si>
  <si>
    <t>Beard</t>
  </si>
  <si>
    <t>bbeard1@fairview.org</t>
  </si>
  <si>
    <t>Davis</t>
  </si>
  <si>
    <t>ELBOW LAKE</t>
  </si>
  <si>
    <t>GRANT</t>
  </si>
  <si>
    <t>Peterson</t>
  </si>
  <si>
    <t>ELY</t>
  </si>
  <si>
    <t>Fossum</t>
  </si>
  <si>
    <t>Chief Executive Officer/Admini</t>
  </si>
  <si>
    <t>jfossum@ebch.org</t>
  </si>
  <si>
    <t>Scott Kellerman</t>
  </si>
  <si>
    <t>Judi</t>
  </si>
  <si>
    <t>Kellerman</t>
  </si>
  <si>
    <t>Asst. Finance Officer</t>
  </si>
  <si>
    <t>jkellerman@ebch.org</t>
  </si>
  <si>
    <t>Ely</t>
  </si>
  <si>
    <t>FAIRMONT</t>
  </si>
  <si>
    <t>PO Box 800</t>
  </si>
  <si>
    <t>MARTIN</t>
  </si>
  <si>
    <t>Pribyl</t>
  </si>
  <si>
    <t>FOSSTON</t>
  </si>
  <si>
    <t>Patricia</t>
  </si>
  <si>
    <t>Kim Bodensteiner</t>
  </si>
  <si>
    <t>Bodensteiner</t>
  </si>
  <si>
    <t>Fosston</t>
  </si>
  <si>
    <t>Unity Hospital</t>
  </si>
  <si>
    <t>FRIDLEY</t>
  </si>
  <si>
    <t>Glencoe Regional Health Services</t>
  </si>
  <si>
    <t>GLENCOE</t>
  </si>
  <si>
    <t>MCLEOD</t>
  </si>
  <si>
    <t>Jon D.</t>
  </si>
  <si>
    <t>Braband</t>
  </si>
  <si>
    <t>jon.braband@grhsonline.org</t>
  </si>
  <si>
    <t>John Doidge</t>
  </si>
  <si>
    <t>Finance Director</t>
  </si>
  <si>
    <t>Glencoe</t>
  </si>
  <si>
    <t>www.grhsonline.com</t>
  </si>
  <si>
    <t>Park Nicollet Health Services</t>
  </si>
  <si>
    <t>Glacial Ridge Health System</t>
  </si>
  <si>
    <t>GLENWOOD</t>
  </si>
  <si>
    <t>POPE</t>
  </si>
  <si>
    <t>Kirk</t>
  </si>
  <si>
    <t>Stensrud</t>
  </si>
  <si>
    <t>Administrator and CEO</t>
  </si>
  <si>
    <t>Casey Johnson</t>
  </si>
  <si>
    <t>www.glacialridge.org</t>
  </si>
  <si>
    <t>Regency Hospital of Minneapolis</t>
  </si>
  <si>
    <t>GOLDEN VALLEY</t>
  </si>
  <si>
    <t>GRACEVILLE</t>
  </si>
  <si>
    <t>BIG STONE</t>
  </si>
  <si>
    <t>ND</t>
  </si>
  <si>
    <t>Cook County North Shore Hospital</t>
  </si>
  <si>
    <t>GRAND MARAIS</t>
  </si>
  <si>
    <t>GRAND RAPIDS</t>
  </si>
  <si>
    <t>Grand Rapids</t>
  </si>
  <si>
    <t>Granite Falls Municipal Hospital &amp; Manor</t>
  </si>
  <si>
    <t>GRANITE FALLS</t>
  </si>
  <si>
    <t>George</t>
  </si>
  <si>
    <t>Hoffman</t>
  </si>
  <si>
    <t>Business Office Manager</t>
  </si>
  <si>
    <t>Granite Falls</t>
  </si>
  <si>
    <t>Arthur Rillo, MD</t>
  </si>
  <si>
    <t>Kittson Memorial Healthcare Center</t>
  </si>
  <si>
    <t>HALLOCK</t>
  </si>
  <si>
    <t>KITTSON</t>
  </si>
  <si>
    <t>Jason</t>
  </si>
  <si>
    <t>Carlson</t>
  </si>
  <si>
    <t>HASTINGS</t>
  </si>
  <si>
    <t>Hendricks Community Hospital Association</t>
  </si>
  <si>
    <t>HENDRICKS</t>
  </si>
  <si>
    <t>LINCOLN</t>
  </si>
  <si>
    <t>Gollaher</t>
  </si>
  <si>
    <t>Fairview University Medical Center - Mesabi</t>
  </si>
  <si>
    <t>HIBBING</t>
  </si>
  <si>
    <t>Chief Operating Officer</t>
  </si>
  <si>
    <t>Schneider</t>
  </si>
  <si>
    <t>lschnei1@range.fairview.org</t>
  </si>
  <si>
    <t>Hibbing</t>
  </si>
  <si>
    <t>HUTCHINSON</t>
  </si>
  <si>
    <t>LAKE CITY</t>
  </si>
  <si>
    <t>Kramer</t>
  </si>
  <si>
    <t>Minnesota Valley Health Center</t>
  </si>
  <si>
    <t>LE SUEUR</t>
  </si>
  <si>
    <t>Patricia Schlegel</t>
  </si>
  <si>
    <t>Schlegel</t>
  </si>
  <si>
    <t>pschlegel@mvhc.org</t>
  </si>
  <si>
    <t>Le Sueur</t>
  </si>
  <si>
    <t>www.mvhc.org</t>
  </si>
  <si>
    <t>LITCHFIELD</t>
  </si>
  <si>
    <t>MEEKER</t>
  </si>
  <si>
    <t>Michael</t>
  </si>
  <si>
    <t>Schramm</t>
  </si>
  <si>
    <t>www.mcmh-litchfield.org</t>
  </si>
  <si>
    <t>David M Ross, MD</t>
  </si>
  <si>
    <t>St. Gabriel's Hospital</t>
  </si>
  <si>
    <t>LITTLE FALLS</t>
  </si>
  <si>
    <t>MORRISON</t>
  </si>
  <si>
    <t>Vaagenes</t>
  </si>
  <si>
    <t>LONG PRAIRIE</t>
  </si>
  <si>
    <t>TODD</t>
  </si>
  <si>
    <t>Larry Knutson</t>
  </si>
  <si>
    <t>Knutson</t>
  </si>
  <si>
    <t>knutsonl@centracare.com</t>
  </si>
  <si>
    <t>Long Prairie</t>
  </si>
  <si>
    <t>www.centracare.com</t>
  </si>
  <si>
    <t>Dr. Rene Eldidy, Jr.</t>
  </si>
  <si>
    <t>LUVERNE</t>
  </si>
  <si>
    <t>ROCK</t>
  </si>
  <si>
    <t>MADELIA</t>
  </si>
  <si>
    <t>WATONWAN</t>
  </si>
  <si>
    <t>Candace</t>
  </si>
  <si>
    <t>Fenske</t>
  </si>
  <si>
    <t>candacefen@mchospital.org</t>
  </si>
  <si>
    <t>Donna Klinkner</t>
  </si>
  <si>
    <t>www.mchospital.org</t>
  </si>
  <si>
    <t>Madison Hospital</t>
  </si>
  <si>
    <t>MADISON</t>
  </si>
  <si>
    <t>Scott</t>
  </si>
  <si>
    <t>Madison</t>
  </si>
  <si>
    <t>Mahnomen Health Center</t>
  </si>
  <si>
    <t>MAHNOMEN</t>
  </si>
  <si>
    <t>Number of Outpatient Treatments</t>
  </si>
  <si>
    <t>Total Number of ESWL Treatments</t>
  </si>
  <si>
    <t>Geriatric Day Care Services</t>
  </si>
  <si>
    <t>Home Health Care Services</t>
  </si>
  <si>
    <t>Number of Visits</t>
  </si>
  <si>
    <t>Laboratory Services</t>
  </si>
  <si>
    <t>Inpatient Adjustments &amp; Uncollectibles.  Calculation:  (0851/0860)*0760</t>
  </si>
  <si>
    <t>Outpatient Adjustments &amp; Uncollectibles  Calculation:  (0853/0860)*0760</t>
  </si>
  <si>
    <t>Salaries and Wages (ties to 2030)</t>
  </si>
  <si>
    <t>Employee Benefits</t>
  </si>
  <si>
    <t>Purchased Services</t>
  </si>
  <si>
    <t>Supplies</t>
  </si>
  <si>
    <t>Interest Expense</t>
  </si>
  <si>
    <t>Depreciation</t>
  </si>
  <si>
    <t>Property Taxes</t>
  </si>
  <si>
    <t>Provision for Bad Debts</t>
  </si>
  <si>
    <t>Provision for Bad Debts - Hospital Patient Care Services</t>
  </si>
  <si>
    <t>Provision for Bad Debts - Other Patient Care Services</t>
  </si>
  <si>
    <t>Malpractice Expenses</t>
  </si>
  <si>
    <t>Medical Care Surcharge</t>
  </si>
  <si>
    <t>MinnesotaCare Tax</t>
  </si>
  <si>
    <t>Other Expenses</t>
  </si>
  <si>
    <t>Total Operating Expenses (ties to 0790)</t>
  </si>
  <si>
    <t>This is a balance sheet item.</t>
  </si>
  <si>
    <t>Bad Debt Write Offs</t>
  </si>
  <si>
    <t>Bad Debt Write Offs for Insured Patients</t>
  </si>
  <si>
    <t>Bad Debt Write Offs for Uninsured Patients</t>
  </si>
  <si>
    <t>Pursuant to Minnesota Statutes Section 62J.321, subdivision 5, the information provided in this section is classified as non-public.</t>
  </si>
  <si>
    <t>This INCLUDES Room and Board and Ancillary Charges.</t>
  </si>
  <si>
    <t>Total Adult Care Charges (18+) included in Account 7090</t>
  </si>
  <si>
    <t>Inpatient Adult Care Charges (18+) included in Account 7090</t>
  </si>
  <si>
    <t>Outpatient Adult Care Charges (18+) included in Account 7090</t>
  </si>
  <si>
    <t>Total Pediatric and Adolescent Care Charges (including neonatal) included in Account 7090</t>
  </si>
  <si>
    <t>Inpatient Pediatric and Adolescent Care Charges (including neonatal) included in Account 7090</t>
  </si>
  <si>
    <t>Outpatient Pediatric and Adolescent Care Charges (including neonatal) included in Account 7090</t>
  </si>
  <si>
    <t>Hospital Patient Care Services Charges (ties to 7090).  Calculation:  (7225+7127)</t>
  </si>
  <si>
    <t>This INCLUDES Nursery, Swing Bed, and Subacute/Transitional Care Charges.</t>
  </si>
  <si>
    <t>Medicare Patient Charges (Non-Managed Care)</t>
  </si>
  <si>
    <t>Medicare Patient Charges (Non-Managed Care)
Hospital Patient Care Services</t>
  </si>
  <si>
    <t>Medicare Patient Charges (Non-Managed Care)
Other Patient Care Services</t>
  </si>
  <si>
    <t>MA Patient Charges (Non-Managed Care)</t>
  </si>
  <si>
    <t>MinnesotaCare Patient Charges (Non-Managed Care)</t>
  </si>
  <si>
    <t>Medicare Managed Care Patient Charges</t>
  </si>
  <si>
    <t>Medicare Managed Care Patient Charges
Hospital Patient Care Services</t>
  </si>
  <si>
    <t>Medicare Managed Care Patient Charges
Other Patient Care Services</t>
  </si>
  <si>
    <t>PMAP Managed Care Patient Charges</t>
  </si>
  <si>
    <t>MinnesotaCare Managed Care Patient Charges</t>
  </si>
  <si>
    <t>Individual (Self-Pay) Patient Charges</t>
  </si>
  <si>
    <t>Other Payers: Patient Charges (Champus, Workers' Comp, Auto, etc.)</t>
  </si>
  <si>
    <t xml:space="preserve">Total Patient Charges (ties to 0740) </t>
  </si>
  <si>
    <t>This INCLUDES Nursery, Swing Bed, and Subacute/Transitional Care Adjustments.</t>
  </si>
  <si>
    <t>Medicare Adjustments (Non-Managed Care)</t>
  </si>
  <si>
    <t>Medicare Adjustments (Non-Managed Care)
Hospital Patient Care Services</t>
  </si>
  <si>
    <t>Medicare Adjustments (Non-Managed Care)
Other Patient Care Services</t>
  </si>
  <si>
    <t>MA Adjustments (Non-Managed Care)</t>
  </si>
  <si>
    <t>MinnesotaCare Adjustments (Non-Managed Care)</t>
  </si>
  <si>
    <t>Medicare Managed Care Adjustments</t>
  </si>
  <si>
    <t>Medicare Managed Care Adjustments
Hospital Patient Care Services</t>
  </si>
  <si>
    <t>Medicare Managed Care Adjustments
Other Patient Care Services</t>
  </si>
  <si>
    <t>PMAP Managed Care Adjustments</t>
  </si>
  <si>
    <t>MinnesotaCare Managed Care Adjustments</t>
  </si>
  <si>
    <t>Self Pay Discounts</t>
  </si>
  <si>
    <t>Charity Care Adjustments</t>
  </si>
  <si>
    <t>Insured Patients Charity Care Adjustments</t>
  </si>
  <si>
    <t>Charity Care</t>
  </si>
  <si>
    <t>Uninsured Patients Charity Care Adjustments</t>
  </si>
  <si>
    <t>Average Partial Charity Care Discount (percent)</t>
  </si>
  <si>
    <t>Charity Care Adjustments - Hospital Patient Care Services</t>
  </si>
  <si>
    <t>Loraine</t>
  </si>
  <si>
    <t>Fairmont</t>
  </si>
  <si>
    <t>Gerken</t>
  </si>
  <si>
    <t>District One Hospital</t>
  </si>
  <si>
    <t>RICE</t>
  </si>
  <si>
    <t>Sue</t>
  </si>
  <si>
    <t>Ankeny</t>
  </si>
  <si>
    <t>Director, Health Care &amp; Reimb</t>
  </si>
  <si>
    <t>FERGUS FALLS</t>
  </si>
  <si>
    <t>Charity Care Adjustments - Other Patient Care Services</t>
  </si>
  <si>
    <t>Other Payers: Adjustments and Uncollectibles (Champus, Workers' Comp, Auto, and includes small balance write offs)</t>
  </si>
  <si>
    <t>Total Adjustments &amp; Uncollectibles - Hospital Patient Care Services</t>
  </si>
  <si>
    <t>Total Adjustments &amp; Uncollectibles - Other Patient Care Services</t>
  </si>
  <si>
    <t xml:space="preserve">HAR Formset Code </t>
  </si>
  <si>
    <t>Account Name</t>
  </si>
  <si>
    <t xml:space="preserve">Audited Financial Statement </t>
  </si>
  <si>
    <t>Bad Debt</t>
  </si>
  <si>
    <t>Unrealized Gains/Losses</t>
  </si>
  <si>
    <t>Gain on Sale of Properties</t>
  </si>
  <si>
    <t>Loss on Sale of Properties</t>
  </si>
  <si>
    <t>Other             (Please Specify)</t>
  </si>
  <si>
    <t>Reported on HAR</t>
  </si>
  <si>
    <t>Difference</t>
  </si>
  <si>
    <t>Explanation                                                                         (Provide if cell in Difference Column is highlighted)</t>
  </si>
  <si>
    <t>Net Revenue from Patient Care</t>
  </si>
  <si>
    <t>Total Operating Revenue</t>
  </si>
  <si>
    <t>Income/(Loss) from Operations</t>
  </si>
  <si>
    <t>Other Changes to Unrestricted Net Assets</t>
  </si>
  <si>
    <t xml:space="preserve">HAR Line Number </t>
  </si>
  <si>
    <t>Internal Financial Statements</t>
  </si>
  <si>
    <t>Loss of Sale of Properties</t>
  </si>
  <si>
    <t>Explanation                                                                                       (Provide if cell in Difference Column is highlighted)</t>
  </si>
  <si>
    <t>Income/(Loss) from Hosp. Operations</t>
  </si>
  <si>
    <t>If any cells are highlighted in yellow, please re-check numbers</t>
  </si>
  <si>
    <t>and calculations.</t>
  </si>
  <si>
    <t>If any cells in the difference column are purple, please provide</t>
  </si>
  <si>
    <t xml:space="preserve">Please break out Charity Care amounts from insured (7571) and uninsured patients (7572). For the uninsured patients, also breakout the amounts where the hospital has forgiven the entire bill (7573) from where the hospital has applied a partial discount (7574) to the bill. If an uninsured patient is eligible for a self pay discount and full charity care under the hospital’s charity care policy, record the entire charge in (7573) Full Charity Care. If an uninsured patient is eligible for a self pay discount and a partial charity care discount under the hospital’s charity care policy, record the total amount of the self pay discount and partial charity care discount in (7574) Partial Charity Care. </t>
  </si>
  <si>
    <t>·        Admitting, patient billing, and collections:  All of the costs related to inpatient and outpatient admission or registration, whether scheduled or non-scheduled; the scheduling of admission times; insurance verification, including coordination of benefits; preparing and submitting claim forms; and cashiering, credit, and collection functions.</t>
  </si>
  <si>
    <t xml:space="preserve">“Major spending commitment” means an expenditure in excess of $1,000,000 for:
     (1) acquisition of a unit of medical equipment;
     (2) a capital expenditure for a single project for the
     purposes of providing health care services, other 
     than for the acquisition of medical equipment;
     (3) offering a new specialized service not 
     offered before;
     (4) planning for an activity that would qualify as a 
     major spending commitment under this 
     paragraph; or
     (5) a project involving a combination of two or 
     more of the activities in clauses (1) to (4).
The cost of acquisition of medical equipment, and the 
amount of a capital expenditure, is the total cost to the
provider regardless of whether the cost is distributed over
time through a lease arrangement or other financing or 
payment mechanism.
</t>
  </si>
  <si>
    <t>Multiple unit</t>
  </si>
  <si>
    <t>State</t>
  </si>
  <si>
    <t>Zip</t>
  </si>
  <si>
    <t>Zip4</t>
  </si>
  <si>
    <t>Phone</t>
  </si>
  <si>
    <t>Fax</t>
  </si>
  <si>
    <t>Administrator First Name</t>
  </si>
  <si>
    <t>Administrator Last Name</t>
  </si>
  <si>
    <t>Administrator Title</t>
  </si>
  <si>
    <t>Administrator e-mail</t>
  </si>
  <si>
    <t>CFO Name</t>
  </si>
  <si>
    <t>Contact Person First Name</t>
  </si>
  <si>
    <t>Contact Person Last Name</t>
  </si>
  <si>
    <t>Contact Person Title</t>
  </si>
  <si>
    <t>Contact Person Phone</t>
  </si>
  <si>
    <t>Contact Person Extension</t>
  </si>
  <si>
    <t>Contact Person Fax</t>
  </si>
  <si>
    <t>Contact Person e-mail</t>
  </si>
  <si>
    <t>Contact Address</t>
  </si>
  <si>
    <t>Contact Multiple Unit</t>
  </si>
  <si>
    <t xml:space="preserve">Zip 4 </t>
  </si>
  <si>
    <t>Hospital Website Address</t>
  </si>
  <si>
    <t>System Affiliation</t>
  </si>
  <si>
    <t>Affiliation Type</t>
  </si>
  <si>
    <t>CAH</t>
  </si>
  <si>
    <t>Total Charges from Patient Care (ties to 0201).  Calc:  (7090+7097)</t>
  </si>
  <si>
    <t>Total Non-Acute Care and Nursery Charges</t>
  </si>
  <si>
    <t>Section 3:  Patient Revenue</t>
  </si>
  <si>
    <t>Section 4:  Other Operating Revenue</t>
  </si>
  <si>
    <t>Section: 5:  Operating Income</t>
  </si>
  <si>
    <t>Section 6:  Non-Operating Revenue</t>
  </si>
  <si>
    <t>Section 7:  Non-Operating Expense</t>
  </si>
  <si>
    <t>Section 8:  Revenue in Excess of Expense</t>
  </si>
  <si>
    <t>Section 9:  Patient Care Charge Summary</t>
  </si>
  <si>
    <t>Section 10:  Inpatient/Outpatient/Other Charges Summary</t>
  </si>
  <si>
    <t>Section 11:  Outpatient Charges Summary</t>
  </si>
  <si>
    <t>Section 12:  Patient Care Charge Summary by Age</t>
  </si>
  <si>
    <t>Section 13:  Primary Payer Charges Summary</t>
  </si>
  <si>
    <t>Section 14:  Primary Payer Adjustments &amp; Uncollectibles</t>
  </si>
  <si>
    <t>Section 15:  Inpatient/Outpatient Adjustment Summary</t>
  </si>
  <si>
    <t>Section 16:  Natural Expense Summary</t>
  </si>
  <si>
    <t>Murray County Memorial Hospital</t>
  </si>
  <si>
    <t>SLAYTON</t>
  </si>
  <si>
    <t>MURRAY</t>
  </si>
  <si>
    <t>Renee M. Logan</t>
  </si>
  <si>
    <t>Renee</t>
  </si>
  <si>
    <t>Logan</t>
  </si>
  <si>
    <t>Slayton</t>
  </si>
  <si>
    <t>www.murraycountymed.org</t>
  </si>
  <si>
    <t>Sleepy Eye Medical Center</t>
  </si>
  <si>
    <t>SLEEPY EYE</t>
  </si>
  <si>
    <t>Sellheim</t>
  </si>
  <si>
    <t>P.O. Box 323</t>
  </si>
  <si>
    <t>Sleepy Eye</t>
  </si>
  <si>
    <t>www.semedicalcenter.org</t>
  </si>
  <si>
    <t>St. Cloud Hospital</t>
  </si>
  <si>
    <t>ST. CLOUD</t>
  </si>
  <si>
    <t>Craig</t>
  </si>
  <si>
    <t>Broman</t>
  </si>
  <si>
    <t>bromanc@centracare.com</t>
  </si>
  <si>
    <t>Ann</t>
  </si>
  <si>
    <t>St. Cloud</t>
  </si>
  <si>
    <t>Barry I</t>
  </si>
  <si>
    <t>Bahl</t>
  </si>
  <si>
    <r>
      <t xml:space="preserve">All costs related to plant, equipment, and occupancy expenses, including maintenance, repairs, and engineering expenses, building rent and leases, equipment rent and leases, and utilities.  Plant, equipment, and occupancy expenses include interest expenses and depreciation. .  The portion of Account 0655 that is administrative expenses is to be reported in Account 0630 </t>
    </r>
    <r>
      <rPr>
        <b/>
        <i/>
        <sz val="10"/>
        <rFont val="Arial"/>
        <family val="2"/>
      </rPr>
      <t>and</t>
    </r>
    <r>
      <rPr>
        <sz val="10"/>
        <rFont val="Arial"/>
        <family val="2"/>
      </rPr>
      <t xml:space="preserve"> included in the total of Account 0655.</t>
    </r>
  </si>
  <si>
    <t>Use this space, or any additional sheet if more space is required, to elaborate on any information supplied on this formset</t>
  </si>
  <si>
    <t>Total Charges</t>
  </si>
  <si>
    <t>Med/Surg Charges</t>
  </si>
  <si>
    <t>Cardiac Charges</t>
  </si>
  <si>
    <t>Chemical Dependency Charges</t>
  </si>
  <si>
    <t>Mental Health (Psychiatric) Charges</t>
  </si>
  <si>
    <t>Neurology Charges</t>
  </si>
  <si>
    <t>Neonatal Care (exclude routine nursery) Charges</t>
  </si>
  <si>
    <t>Obstetrics Charges</t>
  </si>
  <si>
    <t>Orthopedic Charges</t>
  </si>
  <si>
    <t>Rehabilitation Charges</t>
  </si>
  <si>
    <t>Other Specialty Charges</t>
  </si>
  <si>
    <t>Total Patient Days</t>
  </si>
  <si>
    <t>Total Admissions</t>
  </si>
  <si>
    <t>Balancing Admissions Account</t>
  </si>
  <si>
    <t>Balancing Charges Account</t>
  </si>
  <si>
    <t xml:space="preserve">Total Billing Acute Care Charges </t>
  </si>
  <si>
    <t>Total Financials Acute Care Charges (from 7133)</t>
  </si>
  <si>
    <t>DRG Number</t>
  </si>
  <si>
    <t>DRG Description
List in descending order of Number of Discharges</t>
  </si>
  <si>
    <t>NOTE:  Reporting this data is mandatory either through the UB data project as identified in the check box below or by completing this form.</t>
  </si>
  <si>
    <t>Do you want MHA to report your hospital's Top 10 DRG information?</t>
  </si>
  <si>
    <t>Capital Expenditure Detail by Project</t>
  </si>
  <si>
    <t>Project 1</t>
  </si>
  <si>
    <t>Financial, Utilization, and Services Data - Tip Sheet</t>
  </si>
  <si>
    <t>Additional Formatting within the formset:</t>
  </si>
  <si>
    <t>a</t>
  </si>
  <si>
    <t>b</t>
  </si>
  <si>
    <t>c</t>
  </si>
  <si>
    <t>d</t>
  </si>
  <si>
    <t>e</t>
  </si>
  <si>
    <t>All items in the formset are REQUIRED unless otherwise noted.</t>
  </si>
  <si>
    <t>If you have any questions or have never completed this form, please contact Minnesota Hospital Association (MHA) before you begin.</t>
  </si>
  <si>
    <t>e-mail MHA</t>
  </si>
  <si>
    <r>
      <t xml:space="preserve">Audits have been added and will show as </t>
    </r>
    <r>
      <rPr>
        <b/>
        <sz val="10"/>
        <color indexed="10"/>
        <rFont val="Arial"/>
        <family val="2"/>
      </rPr>
      <t>RED</t>
    </r>
    <r>
      <rPr>
        <sz val="10"/>
        <rFont val="Arial"/>
        <family val="2"/>
      </rPr>
      <t xml:space="preserve"> text to the right of the potential error.</t>
    </r>
  </si>
  <si>
    <r>
      <t xml:space="preserve">Tips throughout the formset are highlighted in </t>
    </r>
    <r>
      <rPr>
        <sz val="10"/>
        <color indexed="10"/>
        <rFont val="Arial"/>
        <family val="2"/>
      </rPr>
      <t>YELLOW</t>
    </r>
    <r>
      <rPr>
        <sz val="10"/>
        <rFont val="Arial"/>
        <family val="2"/>
      </rPr>
      <t>.</t>
    </r>
  </si>
  <si>
    <r>
      <t xml:space="preserve">Specific instructions for Psychiatric and Specialty hospitals are highlighted in </t>
    </r>
    <r>
      <rPr>
        <sz val="10"/>
        <color indexed="12"/>
        <rFont val="Arial"/>
        <family val="2"/>
      </rPr>
      <t>GREEN</t>
    </r>
    <r>
      <rPr>
        <sz val="10"/>
        <rFont val="Arial"/>
        <family val="2"/>
      </rPr>
      <t>.</t>
    </r>
  </si>
  <si>
    <t>The HAR contains audit hyperlinks to an audit check worksheet that can assist the preparer in evaluating the appropriateness and validity of several sections.  Links to this worksheet are located on pages 5, 6, 7, 9, 13, and 25 or it can be viewed directly by clicking on the Audit Checks tab at the bottom of the HAR formset worksheet.</t>
  </si>
  <si>
    <r>
      <t xml:space="preserve">Total Outpatient Registrations on page 15 should count one person, one registration.  Please </t>
    </r>
    <r>
      <rPr>
        <b/>
        <i/>
        <sz val="10"/>
        <rFont val="Arial"/>
        <family val="2"/>
      </rPr>
      <t>exclude</t>
    </r>
    <r>
      <rPr>
        <sz val="10"/>
        <rFont val="Arial"/>
        <family val="2"/>
      </rPr>
      <t xml:space="preserve"> physician clinic, home health, and hospice visits and remain consistent with previous years.</t>
    </r>
  </si>
  <si>
    <t>john.rodewald@parknicollet.com</t>
  </si>
  <si>
    <t>PO Box 650</t>
  </si>
  <si>
    <t>St. Louis Park</t>
  </si>
  <si>
    <t>www.parknicollet.com</t>
  </si>
  <si>
    <t>Gillette Children's Specialty Healthcare</t>
  </si>
  <si>
    <t>James Haddican</t>
  </si>
  <si>
    <t>www.gillettechildrens.org</t>
  </si>
  <si>
    <t>www.bethesdahospital.org</t>
  </si>
  <si>
    <t>United Hospital</t>
  </si>
  <si>
    <t>St. Joseph's Hospital</t>
  </si>
  <si>
    <t>www.stjosephs-stpaul.org</t>
  </si>
  <si>
    <t>Regions Hospital</t>
  </si>
  <si>
    <t>Jaszewski</t>
  </si>
  <si>
    <t>ann.m.jaszewski@healthpartners.com</t>
  </si>
  <si>
    <t>www.regionshospital.com</t>
  </si>
  <si>
    <t>HealthPartners, Inc.</t>
  </si>
  <si>
    <t>NICOLLET</t>
  </si>
  <si>
    <t>Colleen</t>
  </si>
  <si>
    <t>St. Peter</t>
  </si>
  <si>
    <t>Lakewood Health System</t>
  </si>
  <si>
    <t>STAPLES</t>
  </si>
  <si>
    <t>WADENA</t>
  </si>
  <si>
    <t>Rice</t>
  </si>
  <si>
    <t>timrice@lakewoodhealthsystem.com</t>
  </si>
  <si>
    <t>www.lakewoodsystem.com</t>
  </si>
  <si>
    <t>Dr. John Halfen</t>
  </si>
  <si>
    <t>Lakeview Memorial Hospital</t>
  </si>
  <si>
    <t>STILLWATER</t>
  </si>
  <si>
    <t>WASHINGTON</t>
  </si>
  <si>
    <t>Douglas Johnson</t>
  </si>
  <si>
    <t>Stillwater</t>
  </si>
  <si>
    <t>ST. JAMES</t>
  </si>
  <si>
    <t>ST. LOUIS PARK</t>
  </si>
  <si>
    <t>Rodewald</t>
  </si>
  <si>
    <t>Outpatient Psychiatric Services</t>
  </si>
  <si>
    <t>Outpatient Hospice Services</t>
  </si>
  <si>
    <t>Social Services</t>
  </si>
  <si>
    <t>Urgent Care/Fast Track Services</t>
  </si>
  <si>
    <t>Volunteer Services Dept.</t>
  </si>
  <si>
    <t>Number of Volunteers</t>
  </si>
  <si>
    <t>Computerized Tomography Scanning Services</t>
  </si>
  <si>
    <t>Total Number of CT Scanners</t>
  </si>
  <si>
    <t>Number of Inpatient CT Procedures</t>
  </si>
  <si>
    <t>Number of Outpatient CT Procedures</t>
  </si>
  <si>
    <t>Total Number of CT Procedures</t>
  </si>
  <si>
    <t xml:space="preserve">Diagnostic Ultrasounds </t>
  </si>
  <si>
    <t>Number of Diagnostic Ultrasounds</t>
  </si>
  <si>
    <t>Diagnostic X-Ray Services</t>
  </si>
  <si>
    <t>Mammography Services</t>
  </si>
  <si>
    <t>Number of Inpatient Mammograms</t>
  </si>
  <si>
    <t>Number of Outpatient Mammograms</t>
  </si>
  <si>
    <t>Total Number of Mammograms</t>
  </si>
  <si>
    <t>Total Number of MRI Scanners</t>
  </si>
  <si>
    <t>Number of Inpatient MRI Procedures</t>
  </si>
  <si>
    <t>Number of Outpatient MRI Procedures</t>
  </si>
  <si>
    <t>Total Number of MRI Procedures</t>
  </si>
  <si>
    <t>Positron Emission Tomography (PET) Services</t>
  </si>
  <si>
    <t>Number of Inpatient PET Procedures</t>
  </si>
  <si>
    <t>Number of Outpatient PET Procedures</t>
  </si>
  <si>
    <t>Total Number of PET Procedures</t>
  </si>
  <si>
    <t>PET/CT Combination Services</t>
  </si>
  <si>
    <t>Single Photon Emission Computerized Tomography (SPECT) Services</t>
  </si>
  <si>
    <t>Total Number of SPECT Scanners</t>
  </si>
  <si>
    <t>Number of Inpatient SPECT Procedures</t>
  </si>
  <si>
    <t>Number of Outpatient SPECT Procedures</t>
  </si>
  <si>
    <t>Total Number of SPECT Procedures</t>
  </si>
  <si>
    <t>SPECT/CT Combination Services</t>
  </si>
  <si>
    <t>RADIATION THERAPY SERVICES</t>
  </si>
  <si>
    <t>Radiation Therapy/Cobalt-60 Device</t>
  </si>
  <si>
    <t>Number of Devices</t>
  </si>
  <si>
    <t>Total Number of Treatments</t>
  </si>
  <si>
    <t>Number of Cancer Cases Treated</t>
  </si>
  <si>
    <t>Radiation Therapy/Linear Accelerators</t>
  </si>
  <si>
    <t>Radiation Therapy/Other Devices (&gt;1 MEV)</t>
  </si>
  <si>
    <t>RADIATION THERAPY SERVICES (continued)</t>
  </si>
  <si>
    <t>Radioisotope Diagnostic Services</t>
  </si>
  <si>
    <t>Radioisotope Therapeutic Services</t>
  </si>
  <si>
    <t>Radium/Cesium or Iridium Therapy Services</t>
  </si>
  <si>
    <t>Renal Dialysis Services</t>
  </si>
  <si>
    <t>REPRODUCTIVE HEALTH SERVICES</t>
  </si>
  <si>
    <t>Genetic Counseling</t>
  </si>
  <si>
    <t>Obstetrics Services</t>
  </si>
  <si>
    <t>Total Acute Care Admissions (ties to 4340)</t>
  </si>
  <si>
    <t>Total Acute Care Patient Days (ties to 4020)</t>
  </si>
  <si>
    <t>This Excludes Swing Bed, Subacute/Transitional Care and Births.</t>
  </si>
  <si>
    <t>This EXCLUDES Swing Bed, Subacute/Transitional Care and Routine Nursery Days.</t>
  </si>
  <si>
    <t>Nursery</t>
  </si>
  <si>
    <t>Routine Care Charges (ties to account 730)</t>
  </si>
  <si>
    <t>Project 2</t>
  </si>
  <si>
    <t>Project 3</t>
  </si>
  <si>
    <t>Project 4</t>
  </si>
  <si>
    <t>Gastric Scopes should be included in 0873 Outpatient Surgery Charges.</t>
  </si>
  <si>
    <t>Number of Liver Transplants</t>
  </si>
  <si>
    <t>Number of Lung Transplants</t>
  </si>
  <si>
    <t>Number of Other Transplants</t>
  </si>
  <si>
    <t>Total Transplants</t>
  </si>
  <si>
    <t>THERAPY SERVICES</t>
  </si>
  <si>
    <t>Inhalation Therapy Services</t>
  </si>
  <si>
    <t>Outpatient Medical Rehabilitation Services</t>
  </si>
  <si>
    <t>Occupational Therapy Services</t>
  </si>
  <si>
    <t>Physical Therapy Services</t>
  </si>
  <si>
    <t>Speech Therapy Services</t>
  </si>
  <si>
    <t>TRANSPORTATION SERVICES</t>
  </si>
  <si>
    <t>Transportation Services (non-ambulance)</t>
  </si>
  <si>
    <t>Separate attachments for EACH project over 1 million need to be submitted along with this formset. Reporting this information is required by Minnesota Statutes, section 62J.17, subdivision 2 and 144.698, subdivision 1.</t>
  </si>
  <si>
    <r>
      <t xml:space="preserve">Total number of Capital Expenditure </t>
    </r>
    <r>
      <rPr>
        <b/>
        <i/>
        <sz val="10"/>
        <rFont val="Arial"/>
        <family val="2"/>
      </rPr>
      <t>projects</t>
    </r>
    <r>
      <rPr>
        <sz val="10"/>
        <rFont val="Arial"/>
        <family val="2"/>
      </rPr>
      <t xml:space="preserve"> over $1 million dollars each</t>
    </r>
  </si>
  <si>
    <t>Total Major Capital Expenditure Commitments (for projects listed in code 7595 above)</t>
  </si>
  <si>
    <r>
      <t xml:space="preserve">For all projects that are over 1 million, report the detail in this section.  Note that the parts of any project </t>
    </r>
    <r>
      <rPr>
        <i/>
        <sz val="10"/>
        <color indexed="16"/>
        <rFont val="Arial"/>
        <family val="2"/>
      </rPr>
      <t>can</t>
    </r>
    <r>
      <rPr>
        <sz val="10"/>
        <color indexed="16"/>
        <rFont val="Arial"/>
        <family val="2"/>
      </rPr>
      <t xml:space="preserve"> be reported in more than one category, but should </t>
    </r>
    <r>
      <rPr>
        <i/>
        <sz val="10"/>
        <color indexed="16"/>
        <rFont val="Arial"/>
        <family val="2"/>
      </rPr>
      <t>not</t>
    </r>
    <r>
      <rPr>
        <sz val="10"/>
        <color indexed="16"/>
        <rFont val="Arial"/>
        <family val="2"/>
      </rPr>
      <t xml:space="preserve"> be double counted. Reporting this information is required by Minnesota Statutes, section 62J.17, subdivision 2 and 144.698, subdivision 1.</t>
    </r>
  </si>
  <si>
    <t>Medical Equipment</t>
  </si>
  <si>
    <t>Building and Space</t>
  </si>
  <si>
    <t>Other Capital Expenditures</t>
  </si>
  <si>
    <t>Total Capital Expenditures</t>
  </si>
  <si>
    <t>Patient Care Services</t>
  </si>
  <si>
    <t>Cardiac Care</t>
  </si>
  <si>
    <t>Chemical Dependency</t>
  </si>
  <si>
    <t>Emergency Care</t>
  </si>
  <si>
    <t>Intensive Care (ICU or NICU)</t>
  </si>
  <si>
    <t>Mental Health</t>
  </si>
  <si>
    <t>Neurology</t>
  </si>
  <si>
    <t>Obstetrics</t>
  </si>
  <si>
    <t>Orthopedics</t>
  </si>
  <si>
    <t>Radiation Therapy</t>
  </si>
  <si>
    <t>Rehabilitation</t>
  </si>
  <si>
    <t>Surgery</t>
  </si>
  <si>
    <t>Other Patient Care Services</t>
  </si>
  <si>
    <r>
      <t xml:space="preserve">Diagnostic Imaging (includes new </t>
    </r>
    <r>
      <rPr>
        <b/>
        <i/>
        <sz val="10"/>
        <rFont val="Arial"/>
        <family val="2"/>
      </rPr>
      <t>and</t>
    </r>
    <r>
      <rPr>
        <b/>
        <sz val="10"/>
        <rFont val="Arial"/>
        <family val="2"/>
      </rPr>
      <t xml:space="preserve"> replacement equipment)</t>
    </r>
  </si>
  <si>
    <t>MRI</t>
  </si>
  <si>
    <t>CT</t>
  </si>
  <si>
    <t>PET</t>
  </si>
  <si>
    <t>Other Imaging</t>
  </si>
  <si>
    <t>General Infrastructure</t>
  </si>
  <si>
    <t>Building, Renovation, Non-Patient</t>
  </si>
  <si>
    <t>Computer, Laboratory, Phone, or Monitoring</t>
  </si>
  <si>
    <t>Electronic Medical Records</t>
  </si>
  <si>
    <t>Total Major Capital Expenditure Commitment Expense</t>
  </si>
  <si>
    <t>start of formset</t>
  </si>
  <si>
    <t>Please go back to the start of the formset and review any comments in the columns N-S and review the preliminary audit check for potential errors in the data prior to submitting your formset to MHA.</t>
  </si>
  <si>
    <t>EXPLANATION OF ADJUSTMENTS</t>
  </si>
  <si>
    <t>REFERENCE</t>
  </si>
  <si>
    <t>EXPLANATION AND COMPUTATION</t>
  </si>
  <si>
    <t>Adjusted Amount</t>
  </si>
  <si>
    <t>PAGE #</t>
  </si>
  <si>
    <t>ACCT. #</t>
  </si>
  <si>
    <t>HCCIS_ID</t>
  </si>
  <si>
    <t>OP Reg Charges 871</t>
  </si>
  <si>
    <t>ER Reg Charges 872</t>
  </si>
  <si>
    <t>OP Surg Charges 873</t>
  </si>
  <si>
    <t>OP Ancill Charges 876</t>
  </si>
  <si>
    <t>Total OP Charges 880</t>
  </si>
  <si>
    <t>Other OP Reg 4502</t>
  </si>
  <si>
    <t>ER OP Reg 4503</t>
  </si>
  <si>
    <t>Surg OP Reg 4505</t>
  </si>
  <si>
    <t>Total OP Reg 4501</t>
  </si>
  <si>
    <t>WESTBROOK</t>
  </si>
  <si>
    <t>COTTONWOOD</t>
  </si>
  <si>
    <t>www.westbrookhealth.com</t>
  </si>
  <si>
    <t>WHEATON</t>
  </si>
  <si>
    <t>TRAVERSE</t>
  </si>
  <si>
    <t>Shane Ayres</t>
  </si>
  <si>
    <t>Shane</t>
  </si>
  <si>
    <t>Ayres</t>
  </si>
  <si>
    <t>WILLMAR</t>
  </si>
  <si>
    <t>KANDIYOHI</t>
  </si>
  <si>
    <t>Bill Fenske</t>
  </si>
  <si>
    <t>Willmar</t>
  </si>
  <si>
    <t>www.ricehospital.com</t>
  </si>
  <si>
    <t>Windom Area Hospital</t>
  </si>
  <si>
    <t>WINDOM</t>
  </si>
  <si>
    <t>Kim Armstrong</t>
  </si>
  <si>
    <t>www.windomareahospital.com</t>
  </si>
  <si>
    <t>WINONA</t>
  </si>
  <si>
    <t>Rachelle</t>
  </si>
  <si>
    <t>Schultz</t>
  </si>
  <si>
    <t>rschultz@winonahealth.org</t>
  </si>
  <si>
    <t>Theresa</t>
  </si>
  <si>
    <t>Brendel</t>
  </si>
  <si>
    <t>tbrendel@winonahealth.org</t>
  </si>
  <si>
    <t>Winona</t>
  </si>
  <si>
    <t>www.winonahealth.org</t>
  </si>
  <si>
    <t>Woodwinds Health Campus</t>
  </si>
  <si>
    <t>WOODBURY</t>
  </si>
  <si>
    <t>WORTHINGTON</t>
  </si>
  <si>
    <t>NOBLES</t>
  </si>
  <si>
    <t>Dr. Gregory Hoverstien D.O.</t>
  </si>
  <si>
    <t>Fairview Lakes Regional Medical Center</t>
  </si>
  <si>
    <t>WYOMING</t>
  </si>
  <si>
    <t>CHISAGO</t>
  </si>
  <si>
    <t xml:space="preserve">This category includes discounts for persons who qualify for partial-bill or sliding scale discounts under a provider’s policy that provides discounts to the uninsured. This includes discounts applied to those that qualify for a discount under the Fair Price for the Uninsured agreement with the Minnesota Attorney General’s office. Do not include prompt pay discounts or staff courtesy discounts; these should be recorded under Other Payers Adjustments and Uncollectibles (#0751).
Self Pay discounts should be reported under (#0762) Charity Care Adjustments if the discount is specifically included in your hospital’s Charity Care policy. If a self pay discount is included in (#0762) Charity Care, do not report the amount in (#7410) Self Pay Discounts.
</t>
  </si>
  <si>
    <t>This category is for the payers that are not already identified in the breakouts for Non-Managed Care, Managed Care, and Individual (Self Pay). This would include Champus, Workman's Comp., Auto, etc. for each of the respective sections:  Adjustments, Charges, Days, and Admissions. Please note that Commercial and Private payers are not reported on the Other Payers lines. This category also includes small balance write offs, staff courtesy discounts, and prompt pay discounts.</t>
  </si>
  <si>
    <t>Family income is unknown</t>
  </si>
  <si>
    <t>Total</t>
  </si>
  <si>
    <t>Purchased Charity Care Services</t>
  </si>
  <si>
    <t>0887</t>
  </si>
  <si>
    <r>
      <t xml:space="preserve">Has the hospital's Charity Care or Community Benefit policy been changed or modified since last year's reporting on the HAR? </t>
    </r>
    <r>
      <rPr>
        <b/>
        <i/>
        <sz val="10"/>
        <rFont val="Arial"/>
        <family val="2"/>
      </rPr>
      <t>If yes, please attach a copy of the current policy.</t>
    </r>
  </si>
  <si>
    <t>Inpatient Gross Physician Charges included in Account 5501</t>
  </si>
  <si>
    <t xml:space="preserve">Gross Physician Charges should be broken into I/P &amp; O/P Charges as appropriate. They will be totaled automatically into Account 5501. </t>
  </si>
  <si>
    <t>Outpatient Gross Physician Charges included in Account 5501</t>
  </si>
  <si>
    <t>Gross Physician Charges included in Account 0740 (ties to 7094).
Calculation:  (7117+7118)</t>
  </si>
  <si>
    <t>Gross Medicare Physician Charges included in Account 0841.
Calculation:  (0841/0740)*5501</t>
  </si>
  <si>
    <t>Gross Medicare Physician Managed Care Charges included in Account 0842. Calculation: (0842/0740)*5501</t>
  </si>
  <si>
    <t>Physician Adjustments &amp; Uncollectibles included in Account 0760. 
Calculation: (0760/0740)*5501</t>
  </si>
  <si>
    <t>Medicare Physician Adjustments &amp; Uncollectibles included in Account 0741. 
Calculation: (0741/0760)*5503</t>
  </si>
  <si>
    <t xml:space="preserve">Medicare Physician Managed Care Adjustments &amp; Uncollectibles included in Account 0742.  Calculation:  (0742/0760)*5503 </t>
  </si>
  <si>
    <t>Physician Charity Care Adjustments that are included in Account 0762. 
Calculation: (0762/0760)*5503</t>
  </si>
  <si>
    <t>Physician Expense (related to billable professional physician services only)</t>
  </si>
  <si>
    <t xml:space="preserve">Inpatient Gross Other Billable Professional Charges included in Account 7061 </t>
  </si>
  <si>
    <t xml:space="preserve">Gross Other Billable Professional Charges should be broken into I/P &amp; O/P Charges as appropriate. They will be totaled automatically into Account 7061. </t>
  </si>
  <si>
    <t xml:space="preserve">Outpatient Gross Other Billable Professional Charges included in Account 7061 </t>
  </si>
  <si>
    <t>Gross Other Billable Professional Charges included in Account 0740 (ties to 7095). 
Calculation: (7119+7120)</t>
  </si>
  <si>
    <t>Gross Medicare Other Billable Professional Charges included in Account 0841. Calculation: (0841/0740)*7061</t>
  </si>
  <si>
    <t>Olmsted</t>
  </si>
  <si>
    <t>ROSEAU</t>
  </si>
  <si>
    <t>Keith</t>
  </si>
  <si>
    <t>Okeson</t>
  </si>
  <si>
    <t>Catherine Huss</t>
  </si>
  <si>
    <t>Cathy</t>
  </si>
  <si>
    <t>Huss</t>
  </si>
  <si>
    <t>Roseau</t>
  </si>
  <si>
    <t>SANDSTONE</t>
  </si>
  <si>
    <t>SAUK CENTRE</t>
  </si>
  <si>
    <t>Delano</t>
  </si>
  <si>
    <t>Christianson</t>
  </si>
  <si>
    <t>Sauk Centre</t>
  </si>
  <si>
    <t>St. Francis Regional Medical Center</t>
  </si>
  <si>
    <t>SHAKOPEE</t>
  </si>
  <si>
    <t>Cindy Vincent</t>
  </si>
  <si>
    <t>Brian</t>
  </si>
  <si>
    <t>Gynecology Services</t>
  </si>
  <si>
    <t>SURGICAL SERVICES</t>
  </si>
  <si>
    <t>Inpatient Surgery Services</t>
  </si>
  <si>
    <t>Number of Surgical Admissions</t>
  </si>
  <si>
    <t>Outpatient Surgery Services</t>
  </si>
  <si>
    <t>Number of Outpatient Surgery Registrations (ties to 4505)</t>
  </si>
  <si>
    <t>Open-Heart Surgery Services</t>
  </si>
  <si>
    <t>Number of Procedures</t>
  </si>
  <si>
    <t>Organ Transplant Services</t>
  </si>
  <si>
    <t>Number of Kidney Transplants</t>
  </si>
  <si>
    <t>Number of Bone Marrow Transplants</t>
  </si>
  <si>
    <t>Number of Heart Transplants</t>
  </si>
  <si>
    <t>Resident Salaries and Benefits</t>
  </si>
  <si>
    <t>Total Research Expenses</t>
  </si>
  <si>
    <t>Does the hospital provide organized emergency room services for conditions considered to require immediate care?</t>
  </si>
  <si>
    <t>Is the hospital's emergency department open on a part-time basis only?</t>
  </si>
  <si>
    <t>What is the number of hours per week that the emergency department or emergency room is staffed with contracted physicians rather than hospital employed physicians?</t>
  </si>
  <si>
    <t>Routine Nursery Admissions (Births)</t>
  </si>
  <si>
    <t>Swing Bed Admissions (ties to 4324)</t>
  </si>
  <si>
    <t>Sub-Acute and Transitional Care Admissions (ties to 4327)</t>
  </si>
  <si>
    <t>Other Non-Acute Admissions</t>
  </si>
  <si>
    <t>Total Non-Acute and Nursery Care Admissions</t>
  </si>
  <si>
    <t>Routine Nursery Patient Days</t>
  </si>
  <si>
    <t>Swing Bed Patient Days (ties to 4034)</t>
  </si>
  <si>
    <t>Sub-Acute and Transitional Care Patient Days (ties to 4037)</t>
  </si>
  <si>
    <t>Other Non-Acute Patient Days</t>
  </si>
  <si>
    <t>Total Non-Acute Care Patient Days</t>
  </si>
  <si>
    <t>Total Acute and Non-Acute Care Hospital Patient Days (4030+7155)</t>
  </si>
  <si>
    <t>Total Number of Emergency Room Registrations (does not include those patients that leave before seeing a physician)</t>
  </si>
  <si>
    <t>Outpatient Surgery Registrations (ties to 6258)</t>
  </si>
  <si>
    <t>Gastric Scopes should be included in 4505 Outpatient Surgery Registrations.</t>
  </si>
  <si>
    <t>Gerald</t>
  </si>
  <si>
    <t>Robbinsdale</t>
  </si>
  <si>
    <t>North Memorial Health Care</t>
  </si>
  <si>
    <t>Saint Marys Hospital</t>
  </si>
  <si>
    <t>ROCHESTER</t>
  </si>
  <si>
    <t>OLMSTED</t>
  </si>
  <si>
    <t>Homard</t>
  </si>
  <si>
    <t>homard.mark@mayo.edu</t>
  </si>
  <si>
    <t>Rochester</t>
  </si>
  <si>
    <t>Hospital Patient Care Services Charges</t>
  </si>
  <si>
    <t xml:space="preserve">Medicare Patient Charges - Hospital Patient Care Services  </t>
  </si>
  <si>
    <t xml:space="preserve">Medicare Managed Care Organizations Patient Charges - Hospital Patient Care Services  </t>
  </si>
  <si>
    <t>Medicare Adjustments - Hospital Patient Care Services</t>
  </si>
  <si>
    <t>Medicare Managed Care Organizations Adjustments - Hospital Patient Care Services</t>
  </si>
  <si>
    <t>Hospital Patient Care Charges Excluding Medicare (Non-Managed and Managed)</t>
  </si>
  <si>
    <t>Hospital Patient Care Adjustments Excluding Medicare (Non-Managed and Managed)</t>
  </si>
  <si>
    <t>Total Medical Assistance Surcharge Base</t>
  </si>
  <si>
    <t>Medical Assistance Surcharge Calculation Estimate</t>
  </si>
  <si>
    <t>Estimated Medical Assistance Surcharge Obligation</t>
  </si>
  <si>
    <t>Catholic Health Initiatives</t>
  </si>
  <si>
    <t>Owned</t>
  </si>
  <si>
    <t>ALBERT LEA</t>
  </si>
  <si>
    <t>FREEBORN</t>
  </si>
  <si>
    <t>Stephen</t>
  </si>
  <si>
    <t>Waldhoff</t>
  </si>
  <si>
    <t>Chief Administrative Officer</t>
  </si>
  <si>
    <t>waldhoff.stephen@mayo.edu</t>
  </si>
  <si>
    <t>David Pilot</t>
  </si>
  <si>
    <t>Amy</t>
  </si>
  <si>
    <t>www.almedcenter.org</t>
  </si>
  <si>
    <t>Mayo Clinic</t>
  </si>
  <si>
    <t>Michael Ulrich, M.D.</t>
  </si>
  <si>
    <t>Douglas County Hospital</t>
  </si>
  <si>
    <t>ALEXANDRIA</t>
  </si>
  <si>
    <t>DOUGLAS</t>
  </si>
  <si>
    <t>Director of Finance</t>
  </si>
  <si>
    <t>www.dchospital.com</t>
  </si>
  <si>
    <t>Anoka Metro Regional Treatment Center</t>
  </si>
  <si>
    <t>ANOKA</t>
  </si>
  <si>
    <t>Shirley Jacobson</t>
  </si>
  <si>
    <t>Lori</t>
  </si>
  <si>
    <t>Zook</t>
  </si>
  <si>
    <t>Controller</t>
  </si>
  <si>
    <t>St. Paul</t>
  </si>
  <si>
    <t>Dept of Human Services, State of MN</t>
  </si>
  <si>
    <t>Appleton Municipal Hospital and Nursing Home</t>
  </si>
  <si>
    <t>APPLETON</t>
  </si>
  <si>
    <t>SWIFT</t>
  </si>
  <si>
    <t>Swenson</t>
  </si>
  <si>
    <t>Todd</t>
  </si>
  <si>
    <t>Dr. R. Kabatay</t>
  </si>
  <si>
    <t>ARLINGTON</t>
  </si>
  <si>
    <t>SIBLEY</t>
  </si>
  <si>
    <t>Arlington</t>
  </si>
  <si>
    <t>AURORA</t>
  </si>
  <si>
    <t>ST. LOUIS</t>
  </si>
  <si>
    <t>Gordon</t>
  </si>
  <si>
    <t>Forbort</t>
  </si>
  <si>
    <t>Accountant</t>
  </si>
  <si>
    <t>Austin</t>
  </si>
  <si>
    <t>Mower</t>
  </si>
  <si>
    <t>www.mayohealthsystem.org</t>
  </si>
  <si>
    <t>Total Charges from Patient Care (ties to 0201)</t>
  </si>
  <si>
    <t>Total Adjustments &amp; Uncollectibles (ties to 8063)</t>
  </si>
  <si>
    <t>Bad Debt Write Offs (this should be different than Provision for Bad Debts)</t>
  </si>
  <si>
    <t>Med/Surg Admissions</t>
  </si>
  <si>
    <t>Cardiac Admissions</t>
  </si>
  <si>
    <t>Chemical Dependency Admissions</t>
  </si>
  <si>
    <t xml:space="preserve">Mental Health (Psychiatric) Admissions </t>
  </si>
  <si>
    <t>Neurology Admissions</t>
  </si>
  <si>
    <t>Neonatal (exclude routine nursery) 
Admissions</t>
  </si>
  <si>
    <t>Obstetrics Admissions</t>
  </si>
  <si>
    <t>Orthopedic Admissions</t>
  </si>
  <si>
    <t>Rehabilitation Admissions</t>
  </si>
  <si>
    <t xml:space="preserve">Other Specialty Admissions </t>
  </si>
  <si>
    <t>Total Billing Acute Care Admissions</t>
  </si>
  <si>
    <t>Total Acute and Non-Acute Care Admissions (ties to account 7176)</t>
  </si>
  <si>
    <t>Med/Surg  Patient Days</t>
  </si>
  <si>
    <t>Cardiac  Patient Days</t>
  </si>
  <si>
    <t>Chemical Dependency  Patient Days</t>
  </si>
  <si>
    <t xml:space="preserve">Mental Health (Psychiatric)  Patient Days </t>
  </si>
  <si>
    <t>Neurology  Patient Days</t>
  </si>
  <si>
    <t>Neonatal (exclude routine nursery) 
 Patient Days</t>
  </si>
  <si>
    <t>Obstetrics  Patient Days</t>
  </si>
  <si>
    <t>Orthopedic  Patient Days</t>
  </si>
  <si>
    <t>Rehabilitation  Patient Days</t>
  </si>
  <si>
    <t xml:space="preserve">Other Specialty  Patient Days </t>
  </si>
  <si>
    <t xml:space="preserve">Total Billing Acute Care Patient Days </t>
  </si>
  <si>
    <t>Balancing Patient Days Account</t>
  </si>
  <si>
    <t>Total Acute and Non-Acute Care Hospital Patient Days (ties to account 7244)</t>
  </si>
  <si>
    <t>Total Acute Care Patient Days
(ties to 4030)</t>
  </si>
  <si>
    <t>Total Acute Care Admissions 
(ties to 4320)</t>
  </si>
  <si>
    <t>Total Acute and Non-Acute Care Hospital Admissions (4320+7180)</t>
  </si>
  <si>
    <t>For availability of service, choose apporopriate item from drop down menu.</t>
  </si>
  <si>
    <t>Availability of Service</t>
  </si>
  <si>
    <t>Number of Scanners</t>
  </si>
  <si>
    <t>Utilization Counts</t>
  </si>
  <si>
    <t>Number of Cardiac Catheterizations</t>
  </si>
  <si>
    <t>Only report # of procedures where the hospital does the billing or where the procedures are billed on behalf of the hospital using the hosital's medicare provider number.</t>
  </si>
  <si>
    <t>DIAGNOSTIC IMAGING (DI) SERVICES</t>
  </si>
  <si>
    <t>Owner of DI equipment</t>
  </si>
  <si>
    <t>Fixed CT Scanners</t>
  </si>
  <si>
    <t>Mobile CT Scanners</t>
  </si>
  <si>
    <t>Magnetic Resonance Imaging (MRI) Services</t>
  </si>
  <si>
    <t>Fixed MRI Scanners</t>
  </si>
  <si>
    <t>Mobile MRI Scanners</t>
  </si>
  <si>
    <t>Drop Down descriptions</t>
  </si>
  <si>
    <t>1=On site by hospital staff</t>
  </si>
  <si>
    <t>2=Not available</t>
  </si>
  <si>
    <t>3=On site - contracted services</t>
  </si>
  <si>
    <t>4=Off site - shared services agreement</t>
  </si>
  <si>
    <t>Fixed PET Scanners</t>
  </si>
  <si>
    <t>Mobile PET Scanners</t>
  </si>
  <si>
    <t>Total Number of PET Scanners</t>
  </si>
  <si>
    <t>Other - please enter owner of equipment below</t>
  </si>
  <si>
    <t>Fixed PET/CT Scanners</t>
  </si>
  <si>
    <t>Mobile PET/CT Scanners</t>
  </si>
  <si>
    <t>Other Changes to Unrestricted Net Assets (FASB's, Changes in Accounting Principles, Transfers, etc.)</t>
  </si>
  <si>
    <t>Total Acute Care Charges (Exclude routine Nursery)</t>
  </si>
  <si>
    <t>Routine Nursery Charges (Births)</t>
  </si>
  <si>
    <t>Swing Bed Charges</t>
  </si>
  <si>
    <t>Sub-Acute and Transitional Care Charges</t>
  </si>
  <si>
    <t>Other Non-Acute Charges</t>
  </si>
  <si>
    <t>Routine Care Charges (7133+7135)</t>
  </si>
  <si>
    <t>Ancillary Services Charges
(Inpatient and Outpatient)</t>
  </si>
  <si>
    <t>Hospital Patient Care Services Charges (0730+7089)</t>
  </si>
  <si>
    <t>Accounting Manager</t>
  </si>
  <si>
    <t>BAGLEY</t>
  </si>
  <si>
    <t>CLEARWATER</t>
  </si>
  <si>
    <t>Anderson</t>
  </si>
  <si>
    <t>RAMSEY</t>
  </si>
  <si>
    <t>LakeWood Health Center</t>
  </si>
  <si>
    <t>BAUDETTE</t>
  </si>
  <si>
    <t>LAKE OF THE WOODS</t>
  </si>
  <si>
    <t>President/CEO</t>
  </si>
  <si>
    <t>BEMIDJI</t>
  </si>
  <si>
    <t>BELTRAMI</t>
  </si>
  <si>
    <t>President &amp; CEO</t>
  </si>
  <si>
    <t>Bemidji</t>
  </si>
  <si>
    <t>Jane</t>
  </si>
  <si>
    <t>Miller</t>
  </si>
  <si>
    <t>Swift County-Benson Hospital</t>
  </si>
  <si>
    <t>BENSON</t>
  </si>
  <si>
    <t>Jayne Thielke</t>
  </si>
  <si>
    <t>Jayne</t>
  </si>
  <si>
    <t>Thielke</t>
  </si>
  <si>
    <t>jthielke@scbh.org</t>
  </si>
  <si>
    <t>Benson</t>
  </si>
  <si>
    <t>Rice Memorial Hospital</t>
  </si>
  <si>
    <t>Managed</t>
  </si>
  <si>
    <t>Bigfork Valley Hospital</t>
  </si>
  <si>
    <t>BIGFORK</t>
  </si>
  <si>
    <t>ITASCA</t>
  </si>
  <si>
    <t>Karen</t>
  </si>
  <si>
    <t>Bigfork</t>
  </si>
  <si>
    <t>www.bigforkvalley.org</t>
  </si>
  <si>
    <t>Heidi Korstad, MD</t>
  </si>
  <si>
    <t>United Hospital District</t>
  </si>
  <si>
    <t>BLUE EARTH</t>
  </si>
  <si>
    <t>FARIBAULT</t>
  </si>
  <si>
    <t>Chief Executive Officer</t>
  </si>
  <si>
    <t>Gossen</t>
  </si>
  <si>
    <t>kgossen@uhd.org</t>
  </si>
  <si>
    <t>Blue Earth</t>
  </si>
  <si>
    <t>www.uhd.org</t>
  </si>
  <si>
    <t>Kyle</t>
  </si>
  <si>
    <t>PO Box 160</t>
  </si>
  <si>
    <t>BRAINERD</t>
  </si>
  <si>
    <t>CROW WING</t>
  </si>
  <si>
    <t>St. Joseph's Medical Center</t>
  </si>
  <si>
    <t>Kim</t>
  </si>
  <si>
    <t>Welliver</t>
  </si>
  <si>
    <t>Accounting Assistant</t>
  </si>
  <si>
    <t>St. Francis Medical Center</t>
  </si>
  <si>
    <t>BRECKENRIDGE</t>
  </si>
  <si>
    <t>WILKIN</t>
  </si>
  <si>
    <t>David</t>
  </si>
  <si>
    <t>Nelson</t>
  </si>
  <si>
    <t>davidnelson@catholichealth.net</t>
  </si>
  <si>
    <t>Kristin</t>
  </si>
  <si>
    <t>www.sfcare.org</t>
  </si>
  <si>
    <t>Buffalo Hospital</t>
  </si>
  <si>
    <t>BUFFALO</t>
  </si>
  <si>
    <t>WRIGHT</t>
  </si>
  <si>
    <t>St. Joseph's Area Health Services, Inc.</t>
  </si>
  <si>
    <t>All Other Outpatient Registrations (exclude hospice and home health care visits)</t>
  </si>
  <si>
    <t>Total Outpatient Registrations (exclude hospice and home health care visits)</t>
  </si>
  <si>
    <t>Total Number of Patients Admitted to Hospital through the Emergency Department</t>
  </si>
  <si>
    <r>
      <t xml:space="preserve">Total Number of Emergency Room Registrations that leave before seeing a physician (these are </t>
    </r>
    <r>
      <rPr>
        <b/>
        <i/>
        <sz val="10"/>
        <rFont val="Arial"/>
        <family val="2"/>
      </rPr>
      <t>not</t>
    </r>
    <r>
      <rPr>
        <sz val="10"/>
        <rFont val="Arial"/>
        <family val="2"/>
      </rPr>
      <t xml:space="preserve"> included in 4503).  This is OPTIONAL.</t>
    </r>
  </si>
  <si>
    <t>Reporting of this item is optional</t>
  </si>
  <si>
    <t>Medicare Admissions (Non-Managed Care)</t>
  </si>
  <si>
    <t>MA Admissions (Non-Managed Care)</t>
  </si>
  <si>
    <t>MinnesotaCare Admissions (Non-Managed Care)</t>
  </si>
  <si>
    <t>Medicare Managed Care Admissions</t>
  </si>
  <si>
    <t>PMAP Managed Care Admissions</t>
  </si>
  <si>
    <t>MinnesotaCare Managed Care Admissions</t>
  </si>
  <si>
    <t>Individual (Self-Pay) Admissions</t>
  </si>
  <si>
    <t>Other Payers: Admissions (Champus, Workers' Comp, Auto, etc.)</t>
  </si>
  <si>
    <t>Total Acute Care Admissions (ties to 4320)</t>
  </si>
  <si>
    <t>Acute Adjusted Patient Admissions.  Calculation:  (0860/0851)*4340</t>
  </si>
  <si>
    <t>Average Length of Stay.  Calculation:  (4030/4320)</t>
  </si>
  <si>
    <t>Medicare Patient Days (Non-Managed Care)</t>
  </si>
  <si>
    <t>MA Patient Days (Non-Managed Care)</t>
  </si>
  <si>
    <t>MinnesotaCare Patient Days (Non-Managed Care)</t>
  </si>
  <si>
    <t>Medicare Managed Care Patient Days</t>
  </si>
  <si>
    <t>PMAP Managed Care Patient Days</t>
  </si>
  <si>
    <t>MinnesotaCare Managed Care Patient Days</t>
  </si>
  <si>
    <t>Individual (Self-Pay) Patient Days</t>
  </si>
  <si>
    <t>Other Payers: Patient Days (Champus, Workers' Comp, Auto, etc.)</t>
  </si>
  <si>
    <t>Total Acute Care Patient Days (ties to 4030)</t>
  </si>
  <si>
    <t>Acute Adjusted Patient Days. Calculation:  (0860/0851)*4030</t>
  </si>
  <si>
    <t>Maximum daily census for the reporting period</t>
  </si>
  <si>
    <t>Minimum daily census for the reporting period</t>
  </si>
  <si>
    <t>Total Other Operating Revenue</t>
  </si>
  <si>
    <t>Total Operating Revenue (0219+0240)</t>
  </si>
  <si>
    <t>Total Operating Expenses</t>
  </si>
  <si>
    <t>Income/(Loss) from Operations (0250-0260)</t>
  </si>
  <si>
    <t>Section 2:  Non-Operating Revenue and Expense</t>
  </si>
  <si>
    <t>Total Non-Operating Revenue</t>
  </si>
  <si>
    <t>Total Non-Operating Expense</t>
  </si>
  <si>
    <t>Extraordinary Items; Gain/(Loss)</t>
  </si>
  <si>
    <t>Revenue in Excess of Expenses</t>
  </si>
  <si>
    <t>Please tie to Certified Audit</t>
  </si>
  <si>
    <t>Other Changes to Unrestricted Net Assets (FASB'S, Changes in Accounting Principles, Transfers, etc.)</t>
  </si>
  <si>
    <t>Donations/Grants for Charity Care</t>
  </si>
  <si>
    <r>
      <t>Percentage</t>
    </r>
    <r>
      <rPr>
        <sz val="10"/>
        <rFont val="Arial"/>
        <family val="2"/>
      </rPr>
      <t xml:space="preserve"> Estimate of Donations/Grants for Charity Care :  Public</t>
    </r>
  </si>
  <si>
    <r>
      <t>Percentage</t>
    </r>
    <r>
      <rPr>
        <sz val="10"/>
        <rFont val="Arial"/>
        <family val="2"/>
      </rPr>
      <t xml:space="preserve"> Estimate of Donations/Grants for Charity Care :  Private</t>
    </r>
  </si>
  <si>
    <t>Private Donations and Grants for Operations</t>
  </si>
  <si>
    <t>Public Funding for Operations</t>
  </si>
  <si>
    <t>This includes monies from the MERC grant fund and rural hospital grant programs.</t>
  </si>
  <si>
    <t>Other (specify)</t>
  </si>
  <si>
    <t>Total Operating Revenue (0750+0770)</t>
  </si>
  <si>
    <t>Total Operating Expense (ties to 0600)</t>
  </si>
  <si>
    <t>Income/(Loss) from Hospital Operations (0780-0790)</t>
  </si>
  <si>
    <t>Interest Income</t>
  </si>
  <si>
    <t>Non-Operating Donations and Grants</t>
  </si>
  <si>
    <t>Non-Operating Public Funding</t>
  </si>
  <si>
    <t>Gain on Disposal of Assets</t>
  </si>
  <si>
    <t>Gain on Sale of Investments</t>
  </si>
  <si>
    <t>Loss on Disposal of Assets</t>
  </si>
  <si>
    <t>Loss on Sale of Investments</t>
  </si>
  <si>
    <t>Net Income Before Income Tax (0700+0820-0830+0831)</t>
  </si>
  <si>
    <t>Tax Returns should be reported as a positive number.  Tax Liabilities should be reported as a negative number</t>
  </si>
  <si>
    <t>Income Tax</t>
  </si>
  <si>
    <t>Revenue in Excess of Expense</t>
  </si>
  <si>
    <t>MARSHALL</t>
  </si>
  <si>
    <t>LYON</t>
  </si>
  <si>
    <t>Maertens</t>
  </si>
  <si>
    <t>Sharon Williams</t>
  </si>
  <si>
    <t>Williams</t>
  </si>
  <si>
    <t>Marshall</t>
  </si>
  <si>
    <t>averamarshall.org</t>
  </si>
  <si>
    <t>MELROSE</t>
  </si>
  <si>
    <t>Stordahl</t>
  </si>
  <si>
    <t>stordahlt@centracare.com</t>
  </si>
  <si>
    <t>Melrose</t>
  </si>
  <si>
    <t>www.childrensmn.org</t>
  </si>
  <si>
    <t>Children's Hospitals and Clinics</t>
  </si>
  <si>
    <t>Hennepin County Medical Center</t>
  </si>
  <si>
    <t>Larry Kryzaniak</t>
  </si>
  <si>
    <t>Abbott Northwestern Hospital</t>
  </si>
  <si>
    <t>Brian Weinreis</t>
  </si>
  <si>
    <t>Senior Reimbursement Analyst</t>
  </si>
  <si>
    <t>Phillips Eye Institute</t>
  </si>
  <si>
    <t>University of Minnesota Medical Center - Fairview</t>
  </si>
  <si>
    <t>James Thompson, M.D.</t>
  </si>
  <si>
    <t>Shriners Hospitals for Children</t>
  </si>
  <si>
    <t>Charles</t>
  </si>
  <si>
    <t>Lobeck</t>
  </si>
  <si>
    <t>clobeck@shrinenet.org</t>
  </si>
  <si>
    <t>Veterans Affairs Medical Center</t>
  </si>
  <si>
    <t>Steven</t>
  </si>
  <si>
    <t>Nate R. Meyer</t>
  </si>
  <si>
    <t>Nate R</t>
  </si>
  <si>
    <t>Meyer</t>
  </si>
  <si>
    <t>nmeyer@dchospital.com</t>
  </si>
  <si>
    <t>Ackman</t>
  </si>
  <si>
    <t>Rachel</t>
  </si>
  <si>
    <t>Community Behavioral Health Hospital - Bemidji</t>
  </si>
  <si>
    <t>PO Box 258</t>
  </si>
  <si>
    <t>Nicholson</t>
  </si>
  <si>
    <t>kristinnicholson@catholichealth.net</t>
  </si>
  <si>
    <t>Breckenridge</t>
  </si>
  <si>
    <t>Jennifer</t>
  </si>
  <si>
    <t>Lodge</t>
  </si>
  <si>
    <t>glodge1@fairview.org</t>
  </si>
  <si>
    <t>Kaylee Hoard</t>
  </si>
  <si>
    <t>Plesha</t>
  </si>
  <si>
    <t>Manager of Financial Reporting</t>
  </si>
  <si>
    <t>Jackie</t>
  </si>
  <si>
    <t>Nancy Rova, MD</t>
  </si>
  <si>
    <t>Hogie</t>
  </si>
  <si>
    <t>Julie.Hogie@hendrickshosp.org</t>
  </si>
  <si>
    <t>www.hendrickshosp.org</t>
  </si>
  <si>
    <t>Jeff.Gollaher@hendrickshosp.org</t>
  </si>
  <si>
    <t>Hoof</t>
  </si>
  <si>
    <t>leverson@rainylakemedical.com</t>
  </si>
  <si>
    <t>mmarcotte@rainylakemedical.com</t>
  </si>
  <si>
    <t>Gail</t>
  </si>
  <si>
    <t>Eike</t>
  </si>
  <si>
    <t>Stan</t>
  </si>
  <si>
    <t>Knobloch</t>
  </si>
  <si>
    <t>Donna</t>
  </si>
  <si>
    <t>Klinkner</t>
  </si>
  <si>
    <t>donnakli@mchospital.org</t>
  </si>
  <si>
    <t>ashland.ryan@mayo.edu</t>
  </si>
  <si>
    <t>Dr. Bradley Barth</t>
  </si>
  <si>
    <t>CEO/President</t>
  </si>
  <si>
    <t>Gilbertson</t>
  </si>
  <si>
    <t>gilbertsong@centracare.com</t>
  </si>
  <si>
    <t>Eiynck</t>
  </si>
  <si>
    <t>Planning Analyst</t>
  </si>
  <si>
    <t>eiynckl@centracare.com</t>
  </si>
  <si>
    <t>Janet</t>
  </si>
  <si>
    <t>McCarthy</t>
  </si>
  <si>
    <t>janet.mccarthy@childrensmn.org</t>
  </si>
  <si>
    <t>Group (nongovernmental, FOR PROFIT)</t>
  </si>
  <si>
    <t>Center for Diagnsotic Imaging (CDI)  (ALEXANDRIA)</t>
  </si>
  <si>
    <t>Alliance Imaging - Central Region (CHICAGO, IL)</t>
  </si>
  <si>
    <t>Avera Worthington Joint Venture @ Avera Hospital (WORTHINGTON)</t>
  </si>
  <si>
    <t>Central Minnesota Diagnostic, Inc (CMDI) (MILACA)</t>
  </si>
  <si>
    <t>DMS Imaging (FARGO, ND)</t>
  </si>
  <si>
    <t>Imaging Solutions, Inc  (FARGO, ND)</t>
  </si>
  <si>
    <t>Sanford USD Medical Center (SIOUX FALLS, SD)</t>
  </si>
  <si>
    <t>Shared Health Services, LLC (OWATONNA)</t>
  </si>
  <si>
    <t>Shared Medical Services (COTTAGE GROVE, WI)</t>
  </si>
  <si>
    <t>Shared Medical Technology, Inc.  (BEMIDJI)</t>
  </si>
  <si>
    <t>St. Paul Heart Clinic - United Hospital (ST. PAUL)</t>
  </si>
  <si>
    <t>St. Paul Radiology (ST. PAUL)</t>
  </si>
  <si>
    <t xml:space="preserve">Provide the names and addresses of all outpatient departments, clinics, and components not located on the hospital's premise. Please indicate which locations are billed under the hospital's Medicare and Medicaid provider numbers. Please note that all revenues and expenses for services billed under the hospital's Medicare and Medicaid provider numbers are required to be included with the hospital reporting in the HAR report.
In addition, please provide a short description of the services provided* at the offsite component, i.e. physical therapy, speech therapy, occupational therapy, ambulatory surgery, outpatient medical services, etc.
</t>
  </si>
  <si>
    <t>Total Number of PET/CT Scanners</t>
  </si>
  <si>
    <t>Number of Inpatient PET/CT Procedures</t>
  </si>
  <si>
    <t>Number of Outpatient PET/CT Procedures</t>
  </si>
  <si>
    <t>Total Number of PET/CT Procedures</t>
  </si>
  <si>
    <t>Fixed SPECT Scanners</t>
  </si>
  <si>
    <t>Mobile SPECT Scanners</t>
  </si>
  <si>
    <t>Fixed SPECT/CT Scanners</t>
  </si>
  <si>
    <t>Mobile SPECT/CT Scanners</t>
  </si>
  <si>
    <t>Total Number of SPECT/CT Scanners</t>
  </si>
  <si>
    <t>Number of Inpatient SPECT/CT Procedures</t>
  </si>
  <si>
    <t>Number of Outpatient SPECT/CT Procedures</t>
  </si>
  <si>
    <t>Total Number of SPECT/CT Procedures</t>
  </si>
  <si>
    <t>These are the totals from Ref Lab/Radiology and/or DME/Retail Pharmacy from Sections 26 &amp; 27.</t>
  </si>
  <si>
    <t>Courtesy Contact 2 Person Fax</t>
  </si>
  <si>
    <t>Courtesy Contact 2 Person e-mail</t>
  </si>
  <si>
    <t>Courtesy Contact 2 Address</t>
  </si>
  <si>
    <t>Courtesy Contact 2 Multiple Unit</t>
  </si>
  <si>
    <t>Courtesy Contact 2 City</t>
  </si>
  <si>
    <t>Courtesy Contact 2 State</t>
  </si>
  <si>
    <t>Courtesy Contact 2 Zip5</t>
  </si>
  <si>
    <t>Capital Expenditure Person First Name</t>
  </si>
  <si>
    <t>Capital Expenditure Person Last Name</t>
  </si>
  <si>
    <t>Capital Expenditure Person Title</t>
  </si>
  <si>
    <t>Capital Expenditure Person Phone</t>
  </si>
  <si>
    <t>Capital Expenditure Person Extension</t>
  </si>
  <si>
    <t>Capital Expenditure Person Fax</t>
  </si>
  <si>
    <t>Capital Expenditure Person e-mail</t>
  </si>
  <si>
    <t>Capital Expenditure Address</t>
  </si>
  <si>
    <t>Capital Expenditure Multiple Unit</t>
  </si>
  <si>
    <t>Capital Expenditure City</t>
  </si>
  <si>
    <t>Capital Expenditure State</t>
  </si>
  <si>
    <t>Capital Expenditure Zip5</t>
  </si>
  <si>
    <t>Total Acute and Non-Acute Care Hospital Admissions (ties to 8072)</t>
  </si>
  <si>
    <t>Total Acute and Non-Acute Care Hospital Patient Days (ties to 8069)</t>
  </si>
  <si>
    <t>Date of Spending Commitment</t>
  </si>
  <si>
    <t>The date the project was authorized by an Executive or Board of Directors</t>
  </si>
  <si>
    <t>Hospital Only Income Statement. Nursing Home, Clinic, Home Health, Ambulance and Other Institutions that have been listed separately in section 1 should NOT be included from this point forward in the HAR.</t>
  </si>
  <si>
    <t>Sections 18 - 20 are Non-Public.</t>
  </si>
  <si>
    <t>Total Adult Care (18+) Admissions included in Account 8069</t>
  </si>
  <si>
    <t>Total Pediatric and Adolescent Admissions (including neonatal) included in Account 8069</t>
  </si>
  <si>
    <t>Total Adult Care Patient Days included in Account 8072</t>
  </si>
  <si>
    <t>Total Pediatric and Adolescent Patient Days (including neonatal) included in Account 8072</t>
  </si>
  <si>
    <t>Kofoot</t>
  </si>
  <si>
    <t>karen.kofoot@childrensmn.org</t>
  </si>
  <si>
    <t>Stephanie</t>
  </si>
  <si>
    <t>Kraemer</t>
  </si>
  <si>
    <t>stephanie.kraemer@childrensmn.org</t>
  </si>
  <si>
    <t>Marie</t>
  </si>
  <si>
    <t>marie.davis@hcmed.org</t>
  </si>
  <si>
    <t>Dr. Bruce Arvold</t>
  </si>
  <si>
    <t>Sletten</t>
  </si>
  <si>
    <t>lsletten@scmcinc.org</t>
  </si>
  <si>
    <t>Bill</t>
  </si>
  <si>
    <t>bnelson@mlhealth.org</t>
  </si>
  <si>
    <t>John Unzen</t>
  </si>
  <si>
    <t>Unzen</t>
  </si>
  <si>
    <t>junzen@mlhealth.org</t>
  </si>
  <si>
    <t>Box A</t>
  </si>
  <si>
    <t>Albrecht</t>
  </si>
  <si>
    <t>David.Albrecht@allina.com</t>
  </si>
  <si>
    <t>Wanda</t>
  </si>
  <si>
    <t>Fjerstad</t>
  </si>
  <si>
    <t>fjerstad.wanda@mayo.edu</t>
  </si>
  <si>
    <t>Plotz</t>
  </si>
  <si>
    <t>Regulatory/Reimbursement Manager</t>
  </si>
  <si>
    <t>plotz.linda@mayo.edu</t>
  </si>
  <si>
    <t>Ben Haeg, MD</t>
  </si>
  <si>
    <t>Greg Klugherz</t>
  </si>
  <si>
    <t>Dave</t>
  </si>
  <si>
    <t>Ruder</t>
  </si>
  <si>
    <t>Director, Facilities Management</t>
  </si>
  <si>
    <t>david.ruder@med.va.gov</t>
  </si>
  <si>
    <t>Dr. Brian Ness</t>
  </si>
  <si>
    <t>River's Edge Hospital &amp; Clinic</t>
  </si>
  <si>
    <t>Wang</t>
  </si>
  <si>
    <t>Accounting Director</t>
  </si>
  <si>
    <t>Barstad</t>
  </si>
  <si>
    <t>Gablenz</t>
  </si>
  <si>
    <t>gordon.gablenz@ridgeviewmedical.org</t>
  </si>
  <si>
    <t>Beiswenger</t>
  </si>
  <si>
    <t>Debbie</t>
  </si>
  <si>
    <t>Sly</t>
  </si>
  <si>
    <t>mschramm@rice.willmar.mn.us</t>
  </si>
  <si>
    <t>Hinderks</t>
  </si>
  <si>
    <t>jhinderks@rice.willmar.mn.us</t>
  </si>
  <si>
    <t>Dr. Jeffrey Taber</t>
  </si>
  <si>
    <t>Wagner</t>
  </si>
  <si>
    <t>David Milbrandt, MD</t>
  </si>
  <si>
    <t>Vicki</t>
  </si>
  <si>
    <t>Maleski</t>
  </si>
  <si>
    <t>vickimaleski@catholichealth.net</t>
  </si>
  <si>
    <t>Joni</t>
  </si>
  <si>
    <t>Marusak</t>
  </si>
  <si>
    <t>jmarusak@dchospital.com</t>
  </si>
  <si>
    <t>Community Behavioral Health Hospital-Alexandria</t>
  </si>
  <si>
    <t>Community Behavioral Health Hospital - Annandale</t>
  </si>
  <si>
    <t>ANNANDALE</t>
  </si>
  <si>
    <t>Darla</t>
  </si>
  <si>
    <t>Sibley</t>
  </si>
  <si>
    <t>Dr. Christopher Whiting</t>
  </si>
  <si>
    <t>Adam</t>
  </si>
  <si>
    <t>Vice President of Finance</t>
  </si>
  <si>
    <t>Community Behavioral Health Hospital - Baxter</t>
  </si>
  <si>
    <t>BAXTER</t>
  </si>
  <si>
    <t>Sara</t>
  </si>
  <si>
    <t>James</t>
  </si>
  <si>
    <t>Dr. William Mayo</t>
  </si>
  <si>
    <t>Michael Rock, MD</t>
  </si>
  <si>
    <t>Fried</t>
  </si>
  <si>
    <t>tfried1@fairview.org</t>
  </si>
  <si>
    <t>Kris</t>
  </si>
  <si>
    <t>Linda</t>
  </si>
  <si>
    <t>linda.thompson@allina.com</t>
  </si>
  <si>
    <t>Sanford Canby Medical Center</t>
  </si>
  <si>
    <t>Sherri</t>
  </si>
  <si>
    <t>Wisniewski</t>
  </si>
  <si>
    <t>Canby</t>
  </si>
  <si>
    <t>Yellow Medicine</t>
  </si>
  <si>
    <t>Sanford Health</t>
  </si>
  <si>
    <t>Allison</t>
  </si>
  <si>
    <t>speterson@cloquethospital.com</t>
  </si>
  <si>
    <t>Carlton</t>
  </si>
  <si>
    <t>www.cloquethospital.com</t>
  </si>
  <si>
    <t>Reimbursement Manager</t>
  </si>
  <si>
    <t>Kathy</t>
  </si>
  <si>
    <t>OTTER TAIL</t>
  </si>
  <si>
    <t>Lake Region Healthcare Corporation</t>
  </si>
  <si>
    <t>Val</t>
  </si>
  <si>
    <t>Fergus Falls</t>
  </si>
  <si>
    <t>www.lrhc.org</t>
  </si>
  <si>
    <t>Capital Expenditure Contact (for Sections 61 and 62)</t>
  </si>
  <si>
    <t>Click here to go to the Capital Expenditure Section.</t>
  </si>
  <si>
    <t>Click here to go the the Capital Expenditure Project Specific Tab</t>
  </si>
  <si>
    <t>This is page is INSTITUTIONAL LEVEL Data.</t>
  </si>
  <si>
    <t>Net Patient Revenue (8062 + 8063)</t>
  </si>
  <si>
    <t>Do you want MHA to report your hospital's service line details (Charges, Days, Admissions) from the UB Data Project?</t>
  </si>
  <si>
    <t>Service Line Data</t>
  </si>
  <si>
    <t>Capital Exenditure Detail</t>
  </si>
  <si>
    <r>
      <t xml:space="preserve">This section is for reporting </t>
    </r>
    <r>
      <rPr>
        <b/>
        <i/>
        <u/>
        <sz val="10"/>
        <color indexed="10"/>
        <rFont val="Arial"/>
        <family val="2"/>
      </rPr>
      <t>Hospital Only</t>
    </r>
    <r>
      <rPr>
        <sz val="10"/>
        <color indexed="10"/>
        <rFont val="Arial"/>
        <family val="2"/>
      </rPr>
      <t xml:space="preserve"> </t>
    </r>
    <r>
      <rPr>
        <b/>
        <sz val="10"/>
        <color indexed="10"/>
        <rFont val="Arial"/>
        <family val="2"/>
      </rPr>
      <t>Community Benefit Expenses and Offsetting Revenues
If you choose to report institution or corporate level Community Benefit information, please use the space provided on page 26 of the formset.</t>
    </r>
  </si>
  <si>
    <t>If your hospital does not report to the UB data project, you must complete this section yourself.</t>
  </si>
  <si>
    <t xml:space="preserve">Balancing Admissions Account </t>
  </si>
  <si>
    <t xml:space="preserve">Balancing Days Account </t>
  </si>
  <si>
    <t>THIS IS A NON-PUBLIC ACCOUNT</t>
  </si>
  <si>
    <r>
      <t>Self Pay Discount Applied (percentage) [</t>
    </r>
    <r>
      <rPr>
        <i/>
        <sz val="10"/>
        <rFont val="Arial"/>
        <family val="2"/>
      </rPr>
      <t>Non-Public Data Element</t>
    </r>
    <r>
      <rPr>
        <sz val="10"/>
        <rFont val="Arial"/>
        <family val="2"/>
      </rPr>
      <t>]</t>
    </r>
  </si>
  <si>
    <t>Section 28:  Hospital Employed Staffing by Employee Classification</t>
  </si>
  <si>
    <t>Duluth</t>
  </si>
  <si>
    <t>Lisa</t>
  </si>
  <si>
    <t>St. Luke's Hospital</t>
  </si>
  <si>
    <t>John</t>
  </si>
  <si>
    <t>Strange</t>
  </si>
  <si>
    <t>www.slhduluth.com</t>
  </si>
  <si>
    <t>What is the average partial discount applied to Uninsured Patients who qualify for a partial charity care discount under your hospital’s Charity Care Policy. Include self pay discounts in this calculation that are included in your hospital’s Charity Care Policy.</t>
  </si>
  <si>
    <t>Martineau</t>
  </si>
  <si>
    <t>Elbow Lake</t>
  </si>
  <si>
    <t>Faribault</t>
  </si>
  <si>
    <t>Community Behavioral Health Hospital - Fergus Falls</t>
  </si>
  <si>
    <t>www.gracevillehealth.com</t>
  </si>
  <si>
    <t>Itasca</t>
  </si>
  <si>
    <t>www.granditasca.org</t>
  </si>
  <si>
    <t>www.hallockmn.org/healthcare</t>
  </si>
  <si>
    <t>Everson</t>
  </si>
  <si>
    <t>CentraCare Health System</t>
  </si>
  <si>
    <t>Crystal</t>
  </si>
  <si>
    <t>Brown</t>
  </si>
  <si>
    <t>Sanford Hospital Luverne</t>
  </si>
  <si>
    <t>Carol</t>
  </si>
  <si>
    <t>Lac Qui Parle</t>
  </si>
  <si>
    <t>Janzen</t>
  </si>
  <si>
    <t>kjanzen@healtheast.org</t>
  </si>
  <si>
    <t>Deb</t>
  </si>
  <si>
    <t>Jill</t>
  </si>
  <si>
    <t>Jill.Nelson@hcmed.org</t>
  </si>
  <si>
    <t>Pamela</t>
  </si>
  <si>
    <t>Loehlein</t>
  </si>
  <si>
    <t>pamela.loehlein@hcmed.org</t>
  </si>
  <si>
    <t>dmaylan1@fairview.org</t>
  </si>
  <si>
    <t>Boike</t>
  </si>
  <si>
    <t>darleneb@montevideomedical.com</t>
  </si>
  <si>
    <t>Terry A. Johnson, MD</t>
  </si>
  <si>
    <t>Ben</t>
  </si>
  <si>
    <t>benkoppelman@catholichealth.net</t>
  </si>
  <si>
    <t>Kelly</t>
  </si>
  <si>
    <t>Staff Accountant</t>
  </si>
  <si>
    <t>Community Behavioral Health Hospital - Rochester</t>
  </si>
  <si>
    <t>kokeson@lifecaremc.com</t>
  </si>
  <si>
    <t>chuss@lifecaremc.com</t>
  </si>
  <si>
    <t>loganr@murraycountymed.org</t>
  </si>
  <si>
    <t>ksellheim@semedicalcenter.org</t>
  </si>
  <si>
    <t>SPRINGFIELD</t>
  </si>
  <si>
    <t>Thoreson</t>
  </si>
  <si>
    <t>thoreson.scott@mayo.edu</t>
  </si>
  <si>
    <t>Park Nicollet Methodist Hospital</t>
  </si>
  <si>
    <t>Harris</t>
  </si>
  <si>
    <t>Analyst, Sr. - Capital</t>
  </si>
  <si>
    <t>patricia.harris@parknicollet.com</t>
  </si>
  <si>
    <t>Barr</t>
  </si>
  <si>
    <t>cbarr@healtheast.org</t>
  </si>
  <si>
    <t>Jessica</t>
  </si>
  <si>
    <t>Nafstad</t>
  </si>
  <si>
    <t>jnafstad@gillettechildrens.com</t>
  </si>
  <si>
    <t>Joel</t>
  </si>
  <si>
    <t>Criger</t>
  </si>
  <si>
    <t>Heidi Conrad</t>
  </si>
  <si>
    <t>Roberts</t>
  </si>
  <si>
    <t>rick.m.roberts@healthpartners.com</t>
  </si>
  <si>
    <t>Community Behavioral Health Hospital-St. Peter</t>
  </si>
  <si>
    <t>Shriley Jacobson</t>
  </si>
  <si>
    <t>Gordon Gablenz</t>
  </si>
  <si>
    <t>rbenson@winonahealth.org</t>
  </si>
  <si>
    <t>Linda Wagner</t>
  </si>
  <si>
    <t>www.sanfordregionalworthington.org</t>
  </si>
  <si>
    <t>Riley</t>
  </si>
  <si>
    <t>mriley3@fairview.org</t>
  </si>
  <si>
    <t>Courtesy Contact 2 Person First Name</t>
  </si>
  <si>
    <t>Courtesy Contact 2 Person Last Name</t>
  </si>
  <si>
    <t>Courtesy Contact 2 Person Title</t>
  </si>
  <si>
    <t>Courtesy Contact 2 Person Phone</t>
  </si>
  <si>
    <t>Courtesy Contact 2 Person Extension</t>
  </si>
  <si>
    <t>Project Location or Facility Name</t>
  </si>
  <si>
    <t>Total value of Projects Reported</t>
  </si>
  <si>
    <t>Projects Reported</t>
  </si>
  <si>
    <t>Retrospective Review Reporting Exceptions</t>
  </si>
  <si>
    <t>New Specialized Service</t>
  </si>
  <si>
    <t>New Specialized Service means a specialized health care procedure or treatment regimen offered by a provider that was not previously offered by the provider.</t>
  </si>
  <si>
    <t>Specialty Care</t>
  </si>
  <si>
    <t>Specialty Care includes but is not limited to cardiac, neurology, orthopedic, obstetrics, mental health, chemical dependency, and emergency services.</t>
  </si>
  <si>
    <t>Return to Project Specific tab</t>
  </si>
  <si>
    <t>Exceptions</t>
  </si>
  <si>
    <r>
      <t xml:space="preserve">Capital Expenditure Retrospective Review reporting requirements </t>
    </r>
    <r>
      <rPr>
        <b/>
        <sz val="10"/>
        <rFont val="Arial"/>
        <family val="2"/>
      </rPr>
      <t>do not apply</t>
    </r>
    <r>
      <rPr>
        <sz val="10"/>
        <rFont val="Arial"/>
        <family val="2"/>
      </rPr>
      <t xml:space="preserve"> to the following capital activities:
  1) a major spending commitment made by a research and teaching institution for purposes of conducting medical education, medical research supported or sponsored by a medical school, or by a federal or foundation grant or clinical trials;
  2) a major spending commitment for building maintenance including heating, water, electricity, and other maintenance-related expenditures; and
  3) a major spending commitment for activities, not directly related to the delivery of patient care services, including food service, laundry, housekeeping, and other service-related activities.
  4) mergers, acquisitions, and other changes in ownership or control that, in the judgment of the commissioner, do not involve a substantial expansion of service capacity or a substantial change in the nature of health care services provided.</t>
    </r>
  </si>
  <si>
    <t>return to formset</t>
  </si>
  <si>
    <t xml:space="preserve">Medical Equipment means fixed and movable equipment that is used by a provider in the provision of a health care service. </t>
  </si>
  <si>
    <t>Total Number of Projects on Capital Expend Project Specifc Tab</t>
  </si>
  <si>
    <t>Total Number of Capital Expenditure Projects</t>
  </si>
  <si>
    <t>Pam Larson</t>
  </si>
  <si>
    <t>Pam</t>
  </si>
  <si>
    <t>Larson</t>
  </si>
  <si>
    <t>Hutchinson</t>
  </si>
  <si>
    <t>Nancy</t>
  </si>
  <si>
    <t>INTERNATIONAL FALLS</t>
  </si>
  <si>
    <t>KOOCHICHING</t>
  </si>
  <si>
    <t>Nancy Treacy</t>
  </si>
  <si>
    <t>Melissa</t>
  </si>
  <si>
    <t>Marcotte</t>
  </si>
  <si>
    <t>International Falls</t>
  </si>
  <si>
    <t>Koochiching</t>
  </si>
  <si>
    <t>Avera Health</t>
  </si>
  <si>
    <t>JACKSON</t>
  </si>
  <si>
    <t>Mary</t>
  </si>
  <si>
    <t>Ruyter</t>
  </si>
  <si>
    <t>Gail Eike</t>
  </si>
  <si>
    <t>Other Patient Care Services Charges (7094+7095+7091+7092+7096)</t>
  </si>
  <si>
    <t>Physician Professional Fees</t>
  </si>
  <si>
    <t>Other Billable Professional Fees</t>
  </si>
  <si>
    <t>Reference Lab/Reference Radiology Services Charges</t>
  </si>
  <si>
    <t>DME/Retail Pharmacy Supplies Charges</t>
  </si>
  <si>
    <t>Other (Specify)</t>
  </si>
  <si>
    <t xml:space="preserve">This is service line data (e.g. administrative billing data).  </t>
  </si>
  <si>
    <t xml:space="preserve">Inpatient Charges from 7090 (hosp patient care svcs code) and 7094 and 7095 (prof svcs codes)    </t>
  </si>
  <si>
    <t xml:space="preserve"> Inpatient Charges – Hospital Patient Care Services  </t>
  </si>
  <si>
    <t xml:space="preserve"> Inpatient Charges – Professional Patient Care Services  </t>
  </si>
  <si>
    <t>Outpatient Charges from 7090 (hosp patient care svcs code) and 7094 and 7095 (prof svcs codes)</t>
  </si>
  <si>
    <t xml:space="preserve"> Outpatient Charges – Hospital Patient Care Services  </t>
  </si>
  <si>
    <t xml:space="preserve"> Outpatient Charges – Professional Patient Care Services  </t>
  </si>
  <si>
    <t>Other Patient Charges (7091+7092+7096)</t>
  </si>
  <si>
    <t>Total Patient Charges (ties to 0740).  Calculation:  (0851+0853+7112)</t>
  </si>
  <si>
    <t>Outpatient Registrations Charges</t>
  </si>
  <si>
    <t>Audit Check</t>
  </si>
  <si>
    <t>Emergency Room Registrations Charges</t>
  </si>
  <si>
    <t>Outpatient Surgery Registration Charges</t>
  </si>
  <si>
    <t>All Other Ancillary Outpatient Charges</t>
  </si>
  <si>
    <t>Total Hospital Outpatient Charges (ties to 0853)</t>
  </si>
  <si>
    <t>Project 5</t>
  </si>
  <si>
    <t>Project 6</t>
  </si>
  <si>
    <t>Project 7</t>
  </si>
  <si>
    <t>Project 8</t>
  </si>
  <si>
    <t>Project 9</t>
  </si>
  <si>
    <t>Project 10</t>
  </si>
  <si>
    <t>Capital Expenditure Issues</t>
  </si>
  <si>
    <t>Total Major Capital Expenditure Commitments</t>
  </si>
  <si>
    <t>Total Cost of Projects on Capital Expend Project Specifc Tab</t>
  </si>
  <si>
    <t>Hospital Ownership Type</t>
  </si>
  <si>
    <t>For each offsite location, are the services billed under the hospital's Medicare and Medicaid provider number?</t>
  </si>
  <si>
    <t>Offsite Name</t>
  </si>
  <si>
    <t>Street Address</t>
  </si>
  <si>
    <t>Multiple Unit</t>
  </si>
  <si>
    <t>*Services Provided</t>
  </si>
  <si>
    <t>If there there are offsite locations operating under the hospital's license, please click here and provide more information on the sites</t>
  </si>
  <si>
    <t xml:space="preserve">The total dollar amount that would have been charged by a facility for rendering health care services for which the facility did not expect payment. Charity care results from a provider’s policy to provide health care services to individuals who meet the providers established criteria of inability to pay.
Self Pay discounts should be reported under (#0762) Charity Care Adjustments if the discount is specifically included in your hospital’s Charity Care policy. If a self pay discount is included in (#0762) Charity Care, do not report the amount in (#7410) Self Pay Discounts. 
</t>
  </si>
  <si>
    <t>The cost of operating professional education and training programs and providing financial assistance to physicians, medical students, nurses, nursing students, and other health professionals.  Only include Medicare Indirect Medical Education (IME) payments if the Medicare IME reimbursements are included as offsets.  Do not include costs associated with providing continuing medical education (CME), financial assistance or tuition reimbursements that are offered as employee benefits, or the as cost of required education or employee orientation programs.</t>
  </si>
  <si>
    <t xml:space="preserve">The total cost of activities to improve community health in the following areas:
1) Providing community health education, including classes, support groups and self-help programs.
2) Offering community-based clinic services and mobile units that are outside of the primary business activities of the facility.
3) Providing health care support services in the form of enrollment assistance, information and referral.
 Do not include the cost of activities whose primary purpose is marketing or directly associated with hospital patient care or discharge planning. </t>
  </si>
  <si>
    <t>The total of value of cash and in-kind contributions made by the facility to health care organization and community groups to improve the health of the community.  In-kind contributions include goods and services donated or provided for an activity without compensation.  Do not count volunteer contributions by employees or emergency funds provided to employees.  Also, do not include the cost of promotional and marketing activities.</t>
  </si>
  <si>
    <t>The value of programs and activities that, while not directly related to health care, are designed to address root causes of health problems in the community.  Programs and activities may include physical improvements to the neighborhood and housing stock, investments in economic development, support of the operational structure of communities and community networks, environmental improvements, and advocacy for health improvements.  Do not include the value of activities that are undertaken primarily for marketing purposes.  Also, do not include investments in facility construction and improvement and the cost of routine financial investments.</t>
  </si>
  <si>
    <t>The overhead cost associated with operating a community benefit program.  This may include the cost associated with maintaining dedicated community benefit staff, conducting community benefit and community asset assessments, and designing a community benefit strategy.  Do not count the cost of staff to coordinate in-house volunteer programs, including outpatient volunteer programs.  Do not count the cost of conducting market share and marketing analyses.</t>
  </si>
  <si>
    <t>Purchased Charity Care Services consist of medical services from physicians, home health agencies, pharmacies, nursing homes, etc. purchased by a hospital to help charity care patients avoid additional, more expensive inpatient hospital services related to chronic disease management for diagnosis such as chronic heart failure, diabetes, chronic obstructive pulmonary disease, etc. Purchased charity care is also used for completion of episodic treatment such as orthopedic implant patient follow on care involving nursing home stays for therapy or home health agency services for home therapy needed for complete care.</t>
  </si>
  <si>
    <t>Emergency Room Charges</t>
  </si>
  <si>
    <t>Emergency Room Registrations</t>
  </si>
  <si>
    <t>0873</t>
  </si>
  <si>
    <t>Outpatient Surgery Registrations</t>
  </si>
  <si>
    <t>0880</t>
  </si>
  <si>
    <t>Total Hospital Outpatient Charges</t>
  </si>
  <si>
    <t>Total Outpatient Registrations</t>
  </si>
  <si>
    <t xml:space="preserve">Reclassification Worksheet </t>
  </si>
  <si>
    <t>Total Institution Reclassifications (Page 3)</t>
  </si>
  <si>
    <t>Reclasses</t>
  </si>
  <si>
    <t>Essentia Community Hospitals and Clinics (ECHC)</t>
  </si>
  <si>
    <t>banderson@cloquethospital.com</t>
  </si>
  <si>
    <t>Schulz</t>
  </si>
  <si>
    <t>lschulz@lrhc.org</t>
  </si>
  <si>
    <t>Doidge</t>
  </si>
  <si>
    <t>john.doidge@grhsonline.org</t>
  </si>
  <si>
    <t>P.O. Box 43, Mail Route 10809</t>
  </si>
  <si>
    <t>Olmsted Medical Center</t>
  </si>
  <si>
    <t>Weir</t>
  </si>
  <si>
    <t>Kevin Higgins</t>
  </si>
  <si>
    <t>www.olmstedmedicalcenter.org</t>
  </si>
  <si>
    <t>Dr. Jay Myers</t>
  </si>
  <si>
    <t>LifeCare Medical Center</t>
  </si>
  <si>
    <t>jkramer@semedicalcenter.org</t>
  </si>
  <si>
    <t>North Valley Health Center</t>
  </si>
  <si>
    <t>WARREN</t>
  </si>
  <si>
    <t>Mitch Kotrba</t>
  </si>
  <si>
    <t>Erickson</t>
  </si>
  <si>
    <t>Fargo</t>
  </si>
  <si>
    <t>Cass</t>
  </si>
  <si>
    <t>www.nvhc.net</t>
  </si>
  <si>
    <t>Dr. Robert Bochenski</t>
  </si>
  <si>
    <t>Mitch</t>
  </si>
  <si>
    <t>Kotrba</t>
  </si>
  <si>
    <t>Warren</t>
  </si>
  <si>
    <t>Armstrong</t>
  </si>
  <si>
    <t>Daniel</t>
  </si>
  <si>
    <r>
      <t xml:space="preserve">Many </t>
    </r>
    <r>
      <rPr>
        <u/>
        <sz val="10"/>
        <color indexed="12"/>
        <rFont val="Arial"/>
        <family val="2"/>
      </rPr>
      <t>hyperlinks</t>
    </r>
    <r>
      <rPr>
        <sz val="10"/>
        <rFont val="Arial"/>
        <family val="2"/>
      </rPr>
      <t xml:space="preserve"> also appear throughout the formset for ease of navigation.</t>
    </r>
  </si>
  <si>
    <r>
      <t xml:space="preserve">Minnesota Rules, chapter 4650.0115, require that you report all charity care provided.  Charity care </t>
    </r>
    <r>
      <rPr>
        <b/>
        <i/>
        <sz val="10"/>
        <rFont val="Arial"/>
        <family val="2"/>
      </rPr>
      <t>contacts</t>
    </r>
    <r>
      <rPr>
        <sz val="10"/>
        <rFont val="Arial"/>
        <family val="2"/>
      </rPr>
      <t xml:space="preserve"> should be counted as 1 contact per Outpatient visit and 1 contact per Inpatient stay.</t>
    </r>
  </si>
  <si>
    <t xml:space="preserve">The Name Box feature in Excel (a drop-down list in the lower left corner of the Tool Bar) has been utilized to provide easy access to key accounts and pages in the formset.  This should eliminate time-consuming searching within the formset for specific accounts.  </t>
  </si>
  <si>
    <t>an explanation in the explanation column or elsewhere on this sheet.</t>
  </si>
  <si>
    <t>code</t>
  </si>
  <si>
    <t>label</t>
  </si>
  <si>
    <t>definition</t>
  </si>
  <si>
    <t>7573
7574</t>
  </si>
  <si>
    <t>The sum of the following expenses:</t>
  </si>
  <si>
    <t>·        Accounting and financial reporting:  All costs related to fiscal services, such as general accounting, budgeting, cost accounting, payroll accounting, accounts payable, and plant, equipment, and inventory accounting.</t>
  </si>
  <si>
    <t>·        Malpractice:  All costs of malpractice including malpractice insurance, self-insurance expenses including program administration, and malpractice losses not covered by insurance, including deductibles and malpractice attorney fees.</t>
  </si>
  <si>
    <t>Total Plant, Equipment and Occupancy Expenses</t>
  </si>
  <si>
    <t xml:space="preserve">Other Payers: </t>
  </si>
  <si>
    <t>Other Payers: Adjustments and Uncollectibles</t>
  </si>
  <si>
    <t>Other Payers: Patient Charges</t>
  </si>
  <si>
    <t>Other Payers: Patient Days</t>
  </si>
  <si>
    <t>Other Payers: Admissions</t>
  </si>
  <si>
    <t>National Provider Identifier</t>
  </si>
  <si>
    <t>Self Pay Discount Percentage Applied</t>
  </si>
  <si>
    <t>This is a non-public item. The percentage applied to self pay patient charges based on AG agreement to apply discount of most favored payer.</t>
  </si>
  <si>
    <t>Average Partial Charity Care Discount Applied</t>
  </si>
  <si>
    <t>Community Care</t>
  </si>
  <si>
    <t>Underpayment for Services Provided under State Health Care Programs</t>
  </si>
  <si>
    <t>The cost of conducting research that is intended for the public domain and falls in one of the following three areas: clinical research, community health research, and research on innovative health care delivery.</t>
  </si>
  <si>
    <t>Major Capital Expenditure Commitments</t>
  </si>
  <si>
    <t>The number of acute care beds that are immediately available for use or could be brought online within a short period of time.  Available beds should not include:  labor rooms, bassinets, post-anesthesia beds, post-operative beds, or other non-routine beds.</t>
  </si>
  <si>
    <t>Cost of Operating Subsidized Services: The cost associated with providing hospital patient services that are operated at a significant financial loss.  Only include such services that meet all of the following criteria: a) exhibit negative margins even after the effects of charity or community care (7310) and Medicaid shortfalls (7577) have been removed; b) represent an actual community benefit; c) if discontinued at the facility, would be unavailable in the area or fall to the responsibility of other providers or government agencies.  Do not include potential payment shortfalls associated with care for Medicare patients.</t>
  </si>
  <si>
    <t>Average salaries per FTE classification</t>
  </si>
  <si>
    <t>Hospital</t>
  </si>
  <si>
    <t>Salaries</t>
  </si>
  <si>
    <t>FTEs</t>
  </si>
  <si>
    <t>Avg Salary</t>
  </si>
  <si>
    <t>% Change</t>
  </si>
  <si>
    <t>Nurse Practitioner</t>
  </si>
  <si>
    <t>Total Salaries</t>
  </si>
  <si>
    <t>Administrative Expense % of Total Operating Expense</t>
  </si>
  <si>
    <t>0630</t>
  </si>
  <si>
    <t>Administrative Expense</t>
  </si>
  <si>
    <t>0600</t>
  </si>
  <si>
    <t>Total Operating Expense</t>
  </si>
  <si>
    <t>Average Charge per Outpatient Registration</t>
  </si>
  <si>
    <t>Avg Charge</t>
  </si>
  <si>
    <t>0871</t>
  </si>
  <si>
    <t>Outpatient Registrations plus Ancillary Charges (0876)</t>
  </si>
  <si>
    <t>Outpatient Registrations</t>
  </si>
  <si>
    <t>0872</t>
  </si>
  <si>
    <t>·        Other administrative expenses:  All costs for the overall operation of the facility associated with management, administration, and legal staff functions, including the costs of governing boards, executive wages and benefits, auxiliary and other volunteer groups, purchasing, telecommunications, printing and duplicating, receiving and storing, and personnel management.  Other administrative expenses includes all wages and benefits, donations and support, direct and in-kind, for the purpose of lobbying and influencing policy makers and legislators, including membership dues, and all expenses associated with public policy development, such as response to rulemaking and interaction with government agency personnel including attorney fees for reviewing and analyzing governmental policies.  Other administrative expenses does not include the costs of public relations included in promotion and marketing expenses, the costs of legal staff already allocated to other functions, or the costs of medical records, social services, and nursing administration.</t>
  </si>
  <si>
    <r>
      <t xml:space="preserve">All costs of the facility associated with, or directly incurred in the preparation and submission of financial, statistical, or other utilization, satisfaction, or quality reports, or summary plan descriptions that are required by federal, state, and local agencies.  This would include Federal Ambulatory Surgery Association (FASA) and Accreditation Association for Ambulatory Health Care, Inc. (AAAHC). The portion of Account 0637 that is administrative expenses is to be reported in Account 0630 </t>
    </r>
    <r>
      <rPr>
        <b/>
        <i/>
        <sz val="10"/>
        <rFont val="Arial"/>
        <family val="2"/>
      </rPr>
      <t>and</t>
    </r>
    <r>
      <rPr>
        <sz val="10"/>
        <rFont val="Arial"/>
        <family val="2"/>
      </rPr>
      <t xml:space="preserve"> included in the total of Account 0637.</t>
    </r>
  </si>
  <si>
    <r>
      <t xml:space="preserve">All costs related to maintaining and operating the data processing system of the facility, including such functions as admissions, medical records, patient charges, decision support systems, and fiscal services.  The portion of Account 0650 that is administrative expenses is to be reported in Account 0630 </t>
    </r>
    <r>
      <rPr>
        <b/>
        <i/>
        <sz val="10"/>
        <rFont val="Arial"/>
        <family val="2"/>
      </rPr>
      <t>and</t>
    </r>
    <r>
      <rPr>
        <sz val="10"/>
        <rFont val="Arial"/>
        <family val="2"/>
      </rPr>
      <t xml:space="preserve"> included in the total of Account 0650.</t>
    </r>
  </si>
  <si>
    <t>THIEF RIVER FALLS</t>
  </si>
  <si>
    <t>PENNINGTON</t>
  </si>
  <si>
    <t>Christine</t>
  </si>
  <si>
    <t>TRACY</t>
  </si>
  <si>
    <t>TWO HARBORS</t>
  </si>
  <si>
    <t>LAKE</t>
  </si>
  <si>
    <t>Kragseth</t>
  </si>
  <si>
    <t>Two Harbors</t>
  </si>
  <si>
    <t>www.lvmhospital.com</t>
  </si>
  <si>
    <t>St. Luke's Hospital, Duluth</t>
  </si>
  <si>
    <t>Tyler Healthcare Center, Inc.</t>
  </si>
  <si>
    <t>TYLER</t>
  </si>
  <si>
    <t>Dale</t>
  </si>
  <si>
    <t>Kruger</t>
  </si>
  <si>
    <t>www.tylerhealthcare.org</t>
  </si>
  <si>
    <t>VIRGINIA</t>
  </si>
  <si>
    <t>John Baga, MD</t>
  </si>
  <si>
    <t>Saint Elizabeth's Medical Center</t>
  </si>
  <si>
    <t>WABASHA</t>
  </si>
  <si>
    <t>Crowley</t>
  </si>
  <si>
    <t>John Wolfe</t>
  </si>
  <si>
    <t>Wolfe</t>
  </si>
  <si>
    <t>Wabasha</t>
  </si>
  <si>
    <t>Ministry Health Care</t>
  </si>
  <si>
    <t>Dr. Brian Kelly</t>
  </si>
  <si>
    <t>Ridgeview Medical Center</t>
  </si>
  <si>
    <t>WACONIA</t>
  </si>
  <si>
    <t>CARVER</t>
  </si>
  <si>
    <t>Robert</t>
  </si>
  <si>
    <t>Andrew</t>
  </si>
  <si>
    <t>Waconia</t>
  </si>
  <si>
    <t>Carver</t>
  </si>
  <si>
    <t>www.ridgeviewmedical.org</t>
  </si>
  <si>
    <t>Tri-County Hospital</t>
  </si>
  <si>
    <t>Aagard</t>
  </si>
  <si>
    <t>Smith</t>
  </si>
  <si>
    <t>WASECA</t>
  </si>
  <si>
    <t>Shawna</t>
  </si>
  <si>
    <t>Ada</t>
  </si>
  <si>
    <t>gforbort@sisunet.org</t>
  </si>
  <si>
    <t>Eckman</t>
  </si>
  <si>
    <t>jeckman3@fairview.org</t>
  </si>
  <si>
    <t>www.sanfordhealth.org</t>
  </si>
  <si>
    <t>Carrie</t>
  </si>
  <si>
    <t>Michalski</t>
  </si>
  <si>
    <t>Deanna</t>
  </si>
  <si>
    <t>Kolanczyk</t>
  </si>
  <si>
    <t>SMDC Medical Center</t>
  </si>
  <si>
    <t>Loraine Martineau</t>
  </si>
  <si>
    <t>Kyle Chase</t>
  </si>
  <si>
    <t>Chase</t>
  </si>
  <si>
    <t>Appleton</t>
  </si>
  <si>
    <t>Graceville</t>
  </si>
  <si>
    <t>Swearingen</t>
  </si>
  <si>
    <t>Dr. Thomas Lohstreter</t>
  </si>
  <si>
    <t>dboardm1@range.fairview.org</t>
  </si>
  <si>
    <t>Mulder</t>
  </si>
  <si>
    <t>Rainy Lake Medical Center</t>
  </si>
  <si>
    <t>www.rainylakemedical.com</t>
  </si>
  <si>
    <t>Sanford Jackson Medical Center</t>
  </si>
  <si>
    <t>Rasmussen</t>
  </si>
  <si>
    <t>krasmussen@meekermemorial.org</t>
  </si>
  <si>
    <t>Steve Plaisance</t>
  </si>
  <si>
    <t>Plaisance</t>
  </si>
  <si>
    <t>splaisance@meekermemorial.com</t>
  </si>
  <si>
    <t>swensond@centracare.com</t>
  </si>
  <si>
    <t>Stan Knobloch</t>
  </si>
  <si>
    <t>Borgerson</t>
  </si>
  <si>
    <t>James Tarasovitch</t>
  </si>
  <si>
    <t>mary.maertens@avera.org</t>
  </si>
  <si>
    <t>Dr. David Hirschman And Dr. Robert Sicoli</t>
  </si>
  <si>
    <t>Chris Verdon</t>
  </si>
  <si>
    <t>Shivonne</t>
  </si>
  <si>
    <t>Data Analyst</t>
  </si>
  <si>
    <t>New River Medical Center</t>
  </si>
  <si>
    <t>Herman</t>
  </si>
  <si>
    <t>Financial Services Manager</t>
  </si>
  <si>
    <t>cmeyer@olmmed.org</t>
  </si>
  <si>
    <t>Matt</t>
  </si>
  <si>
    <t>Controller and Director of Finance</t>
  </si>
  <si>
    <t>mpeterson@olmmed.org</t>
  </si>
  <si>
    <t>Dr. David Brett</t>
  </si>
  <si>
    <t>Stearns</t>
  </si>
  <si>
    <t>Bethesda LTACH</t>
  </si>
  <si>
    <t>www.sanfordtracy.org</t>
  </si>
  <si>
    <t>Tracy</t>
  </si>
  <si>
    <t>Laurie</t>
  </si>
  <si>
    <t>Jankila</t>
  </si>
  <si>
    <t>Virginia</t>
  </si>
  <si>
    <t>tom.crowley@ministryhealth.org</t>
  </si>
  <si>
    <t>john.wolfe@ministryhealth.org</t>
  </si>
  <si>
    <t>www.ministryhealth.org</t>
  </si>
  <si>
    <t>bob.stevens@ridgeviewmedical.org</t>
  </si>
  <si>
    <t>Director of Accounting and Finance</t>
  </si>
  <si>
    <t>Winona Health Services</t>
  </si>
  <si>
    <t>Jonelle</t>
  </si>
  <si>
    <t>Duellman</t>
  </si>
  <si>
    <t>joduellman@winonahealth.org</t>
  </si>
  <si>
    <t>Dr. Anthony Nardi</t>
  </si>
  <si>
    <t>stan.knobloch@sanfordhealth.org</t>
  </si>
  <si>
    <t>Section 17: Bad Debt Write Offs</t>
  </si>
  <si>
    <t>Section 18:  Administrative Expenses (Hospital Only)</t>
  </si>
  <si>
    <t>Section 19:  Cost of Regulatory and Compliance Reporting</t>
  </si>
  <si>
    <t>Section 20:  MIS and Occupancy Expenses</t>
  </si>
  <si>
    <t>Section 21: Community Benefit Summary</t>
  </si>
  <si>
    <t>Section 22: Charity Care Summary</t>
  </si>
  <si>
    <t>Section 23:  Physician Services Schedule</t>
  </si>
  <si>
    <t>Section 24:  Other Billable Professional Services Schedule</t>
  </si>
  <si>
    <t>Section 25:  Reference Lab/Reference Radiology Services Schedule</t>
  </si>
  <si>
    <t>Section 26: DME/Retail Pharmacy Supplies Services Schedule</t>
  </si>
  <si>
    <t>Hospital Sections 23 - 26 should be filled out as applicable to each specific hospital.</t>
  </si>
  <si>
    <t>Section 26: If Account 0740: "Total Hospital Charges from Patient Care" includes revenues received by the hospital for DME/Retail Pharmacy supplies services provided by the hospital for patients that are neither admitted inpatients or registered outpatients of the hospital, you may itemize the amounts on this schedule.  See the instructions or call MHA staff for further information.</t>
  </si>
  <si>
    <t>Section 25:  If Account 0740: "Total Hospital Charges from Patient Care" includes revenues received by the hospital for reference lab/reference radiology services provided by the hospital's lab for patients that are neither admitted inpatients or registered outpatients of the hospital, you may itemize the amounts on this schedule.  See the instructions or call MHA staff for further information.</t>
  </si>
  <si>
    <t>Section 24:  If Account 0740: "Total Hospital Charges From Patient Care" includes revenues received by the hospital for professional services provided by other billable professionals employed by the hospital, you may itemize the amounts on this schedule.  See the instructions or call MHA staff for further information.</t>
  </si>
  <si>
    <t>Section 23:  If Account 0740:  "Total Hospital Charges From Patient Care" includes revenues received by the hospital for professional services provided by physicians employed by the hospital and billed on the HCFA 1500 or billed under the option 2 billing on the UB, you may itemize the amounts on this schedule.  The information provided on this schedule may be used by the Department of Human Services in calculating the Medical Care Surcharge.  See the instructions or call MHA staff for further information.</t>
  </si>
  <si>
    <t>Section 27:  Hospital Employed Staffing by Employee Classification</t>
  </si>
  <si>
    <t>Section 29:  Consultant/Contract Staffing by Employee Classification</t>
  </si>
  <si>
    <t>Section 30:  Physicians with Admitting Privileges</t>
  </si>
  <si>
    <t>Section 31: Teaching Hospital Medical Education Expenses</t>
  </si>
  <si>
    <t>Section 32:  Research Hospital Research Expenses</t>
  </si>
  <si>
    <t>This section is for hospital employed staff only.  Consultants or contracting employees are to be reported in Section 29.</t>
  </si>
  <si>
    <t>Section 33:  Emergency Services/Department</t>
  </si>
  <si>
    <t>Section 34:  Summary of Outpatient Registrations</t>
  </si>
  <si>
    <t>Section 35:  Total Admissions by Hospital Service</t>
  </si>
  <si>
    <t>Section 36:  Top Ten Hospital DRGs by Total Discharges</t>
  </si>
  <si>
    <t>Section 37: Patient Days by Hospital Service</t>
  </si>
  <si>
    <t>Section 38:  Acute Admissions by Primary Payer</t>
  </si>
  <si>
    <t>Section 39:  Calculations based on Acute Care Admissions</t>
  </si>
  <si>
    <t>Section 40:  Acute Patient Days by Primary Payer</t>
  </si>
  <si>
    <t>Section 41:  Calculations Based on Acute Patient Days</t>
  </si>
  <si>
    <t>Section 42:  Daily Census</t>
  </si>
  <si>
    <t>Section 43:  Number of Swing Beds</t>
  </si>
  <si>
    <t>Section 44:  Swing Bed Patient Days</t>
  </si>
  <si>
    <t>Section 45:  Swing Bed Admissions by Origin</t>
  </si>
  <si>
    <t>Section 46:  Swing Bed Discharges by Destination</t>
  </si>
  <si>
    <t>Section 47: Total Subacute/Transitional Care Patient Days-(Exclude care provided in an approved swing bed.)</t>
  </si>
  <si>
    <t>Section 48:  Subacute/Transitional Care Beds</t>
  </si>
  <si>
    <t>Section 49:  Subacute/Transitional Care Admissions by Origin</t>
  </si>
  <si>
    <t>Section 50:  Subacute/Transitional Care Discharges by Destination</t>
  </si>
  <si>
    <t>Section 51: Licensed Beds and Bassinets</t>
  </si>
  <si>
    <t>Section 52: Change in Licensed Beds or Bassinets</t>
  </si>
  <si>
    <t>Section 53: Available Beds in Dedicated Specialty Units</t>
  </si>
  <si>
    <t>Section 54: Available Bassinets</t>
  </si>
  <si>
    <t>Section 55:  Facilities and Services Within the Hospital</t>
  </si>
  <si>
    <t>Section 56: Capital Expenditure Commitment Summary</t>
  </si>
  <si>
    <t>Section 57: Capital Expenditure Commitment Detail</t>
  </si>
  <si>
    <t>Section 58:  Charges by Hospital Service</t>
  </si>
  <si>
    <t>Section 59: Admissions by Hospital Service</t>
  </si>
  <si>
    <t>Section 60:  Admissions by Age</t>
  </si>
  <si>
    <t>Section 61:  Total Patient Days by Hospital Service</t>
  </si>
  <si>
    <t>Section 62: Patient Days by Age</t>
  </si>
  <si>
    <t>Section 63:  Top Ten Hospital DRGs by Total Discharges</t>
  </si>
  <si>
    <t>MA/MinnesotaCare Adjustments (Non-Managed Care)</t>
  </si>
  <si>
    <t>PMAP/MinnesotaCare Managed Care Adjustments</t>
  </si>
  <si>
    <t>Full Charity Care Discount Applied (Uninsured)</t>
  </si>
  <si>
    <t>Partial Charity Care Discount Applied (Uninsured)</t>
  </si>
  <si>
    <t>Portions of sections 19 and 20 should be allocated in section 18.</t>
  </si>
  <si>
    <t>This is the portion of Physician and/or Other Billable Professional services classified as inpatient from Sections 23 &amp; 24.</t>
  </si>
  <si>
    <t>This is the portion of Physician and/or Other Billable Professional services classified as outpatient from Sections 23 &amp; 24.</t>
  </si>
  <si>
    <t>Underpayments for Services Provided under State Health Care Programs:  Estimates of payment shortfalls for services provided under the following State Health Care Programs, where state government directly sets payment rates: Medicaid, PMAP, and MinnesotaCare.  
For the purposes of reporting under section 21, “underpayments for services provided under State Health Care Programs” are calculated by subtracting payments for State Health Care Programs (the sum of patient charges and contractual adjustments) from the product of patient charges for State Health Care Programs and the cost-to-charge ratio.  This field is a calculated field, no user input is necessary.</t>
  </si>
  <si>
    <t>The cost for medical care that a hospital has determined is charity care as defined under Minnesota Rules, part 4650.0115, or for which the hospital determines after billing for the services that there is a demonstrated inability to pay. Any costs forgiven under a hospital's community care or charity care plan or under Minnesota Statutes, section 62J.83 may be counted in the hospital's calculation of “community care.”  “Community care” does not include bad debt expenses and discounted charges available to the uninsured.  
For the purposes of reporting under section 21, “community care” will be charity care (0762) adjusted by a cost to charge ratio.  This field is a calculated field, no user input is necessary.</t>
  </si>
  <si>
    <t>return to section 57</t>
  </si>
  <si>
    <t>MA/MinnesotaCare Admissions (Non-Managed Care)</t>
  </si>
  <si>
    <t>PMAP/MinnesotaCare Managed Care Admissions</t>
  </si>
  <si>
    <t>MA/MinnesotaCare Patient Days (Non-Managed Care)</t>
  </si>
  <si>
    <t>PMAP/MinnesotaCare Managed Care Patient Days</t>
  </si>
  <si>
    <t>Section 64: Offsite Location List</t>
  </si>
  <si>
    <t>Limited Liability Company (nongovernmental, FOR PROFIT)</t>
  </si>
  <si>
    <t>Contractual Adjustments</t>
  </si>
  <si>
    <t>Provision for Bad Debts (Ties to 0739)</t>
  </si>
  <si>
    <t>Provision for Bad Debts (ties to 8100)</t>
  </si>
  <si>
    <t>Total Adjustments and Uncollectibles (ties to 0760)</t>
  </si>
  <si>
    <t>The figures in accounts 5502, 5506, 5503, 5504, 5507, 7121, and 5512 are calculated based on Hospital percentages.  The formulas used are shown in each cell.  These cells are not locked and you are able to overwrite them if you have more accurate data.</t>
  </si>
  <si>
    <t>The figures in accounts 7062, 7063, 7064, 7065, 7066, and 7123 are calculated based on Hospital percentages.  The formulas used are shown in each cell.  These cells are not locked and you are able to overwrite them if you have more accurate data.</t>
  </si>
  <si>
    <t>DME/Retail Pharmacy Supplies Bad Debts included in Account 8100</t>
  </si>
  <si>
    <t>Reference Lab/Reference Radiology Bad Debts included in Account 8100</t>
  </si>
  <si>
    <t>Charity care is a required field in the HAR and cannot be reported in 8100 Bad Debt Expense.</t>
  </si>
  <si>
    <t>The amount of actual write offs for bad debt. Please break out actual bad debt write offs from insured (7568) and uninsured (7569) patients. Amounts in these categories will be used to estimate the insured and uninsured portions of (#8100) Provision for Bad Debts.</t>
  </si>
  <si>
    <r>
      <t xml:space="preserve">All Net Revenues, Expenses, Other Operating and Non-Operating Revenues, and Revenue in Excess of Expense listed on page 3 should tie to the hospital’s Audited Financial Statement. </t>
    </r>
    <r>
      <rPr>
        <b/>
        <sz val="10"/>
        <rFont val="Arial"/>
        <family val="2"/>
      </rPr>
      <t xml:space="preserve"> </t>
    </r>
    <r>
      <rPr>
        <b/>
        <u/>
        <sz val="10"/>
        <rFont val="Arial"/>
        <family val="2"/>
      </rPr>
      <t>Nursing Home, Free-Standing Clinic, Home Health, Hospice, and Ambulance revenues and expenses must then be excluded from the remaining portion of the report.</t>
    </r>
    <r>
      <rPr>
        <sz val="10"/>
        <rFont val="Arial"/>
        <family val="2"/>
      </rPr>
      <t xml:space="preserve">  Patient care services that are not considered to be hospital-related for reporting purposes are listed on page 3.  This includes patient charges, discounts, direct and indirect expenses, other operating revenues, salaries, FTEs, bad debts, charity care, etc.  </t>
    </r>
  </si>
  <si>
    <t>Schile</t>
  </si>
  <si>
    <t>Essentia Health Ada</t>
  </si>
  <si>
    <t>ryan.hill@essentiahealth.org</t>
  </si>
  <si>
    <t>Enright</t>
  </si>
  <si>
    <t>shawna.enright@essentiahealth.org</t>
  </si>
  <si>
    <t>www.essentiahealth.org</t>
  </si>
  <si>
    <t xml:space="preserve">1027 Washington Avenue, , </t>
  </si>
  <si>
    <t>--</t>
  </si>
  <si>
    <t>Steve Smith</t>
  </si>
  <si>
    <t>jcook@appletonareahealth.org</t>
  </si>
  <si>
    <t>Anne Kells</t>
  </si>
  <si>
    <t>Anne</t>
  </si>
  <si>
    <t>Kells</t>
  </si>
  <si>
    <t>akells@appletonareahealth.org</t>
  </si>
  <si>
    <t>Swift</t>
  </si>
  <si>
    <t>www.appletonareahealth.com</t>
  </si>
  <si>
    <t>Sandberg</t>
  </si>
  <si>
    <t>---</t>
  </si>
  <si>
    <t>www.sibleymedical.org</t>
  </si>
  <si>
    <t>Myster</t>
  </si>
  <si>
    <t>jennifer.myster@allina.com</t>
  </si>
  <si>
    <t>Shaw</t>
  </si>
  <si>
    <t>Zhang</t>
  </si>
  <si>
    <t>sherri.wisniewski@sanfordhealth.org</t>
  </si>
  <si>
    <t>allison.nelson@sanfordhealth.org</t>
  </si>
  <si>
    <t>Mayo Clinic Health System - Cannon Falls</t>
  </si>
  <si>
    <t>Regulatory/Reimbursement Analyst</t>
  </si>
  <si>
    <t>Janet Chestnut</t>
  </si>
  <si>
    <t>Sanford Bagley Medical Center</t>
  </si>
  <si>
    <t>Andre Spence, MD</t>
  </si>
  <si>
    <t>Accounting Analyst</t>
  </si>
  <si>
    <t>Tammy</t>
  </si>
  <si>
    <t>Loosbrock</t>
  </si>
  <si>
    <t>tammy.loosbrock@sanfordhealth.org</t>
  </si>
  <si>
    <t>www.sanfordluverne.org</t>
  </si>
  <si>
    <t>Dianne Kennedy, MD</t>
  </si>
  <si>
    <t>www.riversedgehealth.org</t>
  </si>
  <si>
    <t>Cloquet Memorial Hospital Association</t>
  </si>
  <si>
    <t>rbreuer@cloquethospital.com</t>
  </si>
  <si>
    <t>Interim CFO</t>
  </si>
  <si>
    <t>Brett Whyte, MD</t>
  </si>
  <si>
    <t>Onamia</t>
  </si>
  <si>
    <t>Mille Lacs</t>
  </si>
  <si>
    <t>Dr Arden Virnig MD</t>
  </si>
  <si>
    <t>Kimber</t>
  </si>
  <si>
    <t>Wraalstad</t>
  </si>
  <si>
    <t>www.nshorehospital.com</t>
  </si>
  <si>
    <t>Solheim</t>
  </si>
  <si>
    <t>jsolheim@cuyunamed.org</t>
  </si>
  <si>
    <t>Carl P.</t>
  </si>
  <si>
    <t>cvaagenes@dchospital.com</t>
  </si>
  <si>
    <t>David J. Odland M.D.</t>
  </si>
  <si>
    <t>Sanford Westbrook Medical Center</t>
  </si>
  <si>
    <t>Andrew Kopperud, MD</t>
  </si>
  <si>
    <t>www.ebch.org</t>
  </si>
  <si>
    <t>Mayo Clinic Health System - Fairmont</t>
  </si>
  <si>
    <t>Robert F.</t>
  </si>
  <si>
    <t>Bartingale</t>
  </si>
  <si>
    <t>Site Administrator</t>
  </si>
  <si>
    <t>bartingale.robert@mayo.edu</t>
  </si>
  <si>
    <t>www.mayoclinichealthsystem.org</t>
  </si>
  <si>
    <t>gerken.amy@mayo.edu</t>
  </si>
  <si>
    <t>Mankato</t>
  </si>
  <si>
    <t>Government Reimbursement Supervisor</t>
  </si>
  <si>
    <t>400 Stinson Blvd NE</t>
  </si>
  <si>
    <t>Deborah</t>
  </si>
  <si>
    <t>Mayland-Poyzer</t>
  </si>
  <si>
    <t>Dan Fromm</t>
  </si>
  <si>
    <t>Sr. Government Reimbursement Analyst</t>
  </si>
  <si>
    <t>Melissa Marcotte</t>
  </si>
  <si>
    <t>Mavis.Haugom@essentiahealth.org</t>
  </si>
  <si>
    <t>Tomlinson</t>
  </si>
  <si>
    <t>jtomlinson@gillettechildrens.com</t>
  </si>
  <si>
    <t>Salic</t>
  </si>
  <si>
    <t>jessicalsalic@gillettechildrens.com</t>
  </si>
  <si>
    <t>Duane Westburg, MD</t>
  </si>
  <si>
    <t>kyle.chase@glacialridge.org</t>
  </si>
  <si>
    <t>Val Hoffman</t>
  </si>
  <si>
    <t>val.hoffman@granitefallshealthcare.com</t>
  </si>
  <si>
    <t>granitefallshealthcare.com</t>
  </si>
  <si>
    <t>Prairie Ridge Hospital &amp; Health Services</t>
  </si>
  <si>
    <t>Associate</t>
  </si>
  <si>
    <t>www.prairiehealth.org</t>
  </si>
  <si>
    <t>Dr. David Bjork</t>
  </si>
  <si>
    <t>lmartineau@prairiehealth.org</t>
  </si>
  <si>
    <t>Ralph Powell, MD</t>
  </si>
  <si>
    <t>Gish</t>
  </si>
  <si>
    <t>Kevin.Gish@essentiahealth.org</t>
  </si>
  <si>
    <t>Jay Schmidt, MD</t>
  </si>
  <si>
    <t>Smulder@hutchhealth.com</t>
  </si>
  <si>
    <t>www,hutchhealth.com</t>
  </si>
  <si>
    <t>LHoof@hutchhealth.com</t>
  </si>
  <si>
    <t>Financial Systems Analyst</t>
  </si>
  <si>
    <t>cnelson@hutchhealth.com</t>
  </si>
  <si>
    <t>Mayo Clinic Health System - Mankato</t>
  </si>
  <si>
    <t>Kutcher, M.d.</t>
  </si>
  <si>
    <t>kutcher.gregory@mayo.edu</t>
  </si>
  <si>
    <t>James J. Tarasovitch</t>
  </si>
  <si>
    <t>Beau</t>
  </si>
  <si>
    <t>Hultquist</t>
  </si>
  <si>
    <t>hultquist.beau@mayo.edu</t>
  </si>
  <si>
    <t>Grand Itasca Clinic and Hospital</t>
  </si>
  <si>
    <t>Youso</t>
  </si>
  <si>
    <t>mike.youso@granditasca.org</t>
  </si>
  <si>
    <t>mary.ruyter@sanfordhealth.org</t>
  </si>
  <si>
    <t>www.sanfordjackson.org</t>
  </si>
  <si>
    <t>Marie Paul Hart, MD</t>
  </si>
  <si>
    <t>Gail.Eike@SanfordHealth.org</t>
  </si>
  <si>
    <t>jmhsdawson.com</t>
  </si>
  <si>
    <t>FirstLight Health System</t>
  </si>
  <si>
    <t>Todd Christensen</t>
  </si>
  <si>
    <t>Darryn</t>
  </si>
  <si>
    <t>McGarvey</t>
  </si>
  <si>
    <t>Hallock</t>
  </si>
  <si>
    <t>Mayo Clinic Health System - Lake City</t>
  </si>
  <si>
    <t>http://mayoclinichealthsystem.org/locations/lake-city</t>
  </si>
  <si>
    <t>Steven C. Adamson, MD</t>
  </si>
  <si>
    <t>Mariah</t>
  </si>
  <si>
    <t>Davenport</t>
  </si>
  <si>
    <t>mjdavenport@lrhc.org</t>
  </si>
  <si>
    <t>Brett</t>
  </si>
  <si>
    <t>Longtin</t>
  </si>
  <si>
    <t>bllongtin@lrhc.org</t>
  </si>
  <si>
    <t>Lake View Memorial Hospital</t>
  </si>
  <si>
    <t>Washington</t>
  </si>
  <si>
    <t>CentraCare Health System - Long Prairie</t>
  </si>
  <si>
    <t>Carol Borgerson</t>
  </si>
  <si>
    <t>cborgerson@mlhmn.org</t>
  </si>
  <si>
    <t>www.mlhmn.org</t>
  </si>
  <si>
    <t xml:space="preserve">Andrew Gasparini, MD </t>
  </si>
  <si>
    <t>Mahnomen</t>
  </si>
  <si>
    <t>Meeker Memorial Hospital</t>
  </si>
  <si>
    <t>paulsona@centracare.com</t>
  </si>
  <si>
    <t>SVP President</t>
  </si>
  <si>
    <t>sara.criger@allina.com</t>
  </si>
  <si>
    <t>Manager, Regulatory Analysis</t>
  </si>
  <si>
    <t>Michael Seim, MD</t>
  </si>
  <si>
    <t>Children's Health Care dba Children's Hospitals and Clinics of Minnesota</t>
  </si>
  <si>
    <t>pwilliams@mvhc.org</t>
  </si>
  <si>
    <t>Jodi</t>
  </si>
  <si>
    <t>Sanders</t>
  </si>
  <si>
    <t>sandersj@centracare.com</t>
  </si>
  <si>
    <t>Hammer</t>
  </si>
  <si>
    <t>Director of Finance &amp; Administrative Services</t>
  </si>
  <si>
    <t>mmeyer@ci.redwood-falls.mn.us</t>
  </si>
  <si>
    <t>Bryan</t>
  </si>
  <si>
    <t>Lydick</t>
  </si>
  <si>
    <t>bryan.lydick@redwoodareahospital.org</t>
  </si>
  <si>
    <t>Sanford Bemidji Medical Center</t>
  </si>
  <si>
    <t>Craig O. Boyer</t>
  </si>
  <si>
    <t>sanfordhealth.org</t>
  </si>
  <si>
    <t>Sele</t>
  </si>
  <si>
    <t>Sr. Reimbursement Analyst</t>
  </si>
  <si>
    <t>http://www.northmemorial.com</t>
  </si>
  <si>
    <t>Dr. Amy Kolar</t>
  </si>
  <si>
    <t>Consultant</t>
  </si>
  <si>
    <t>Lokken</t>
  </si>
  <si>
    <t>clokken@bigforkvalley.org</t>
  </si>
  <si>
    <t>Northfield Hospital &amp; Clinics</t>
  </si>
  <si>
    <t>Narverud</t>
  </si>
  <si>
    <t>narverudj@northfieldhospital.org</t>
  </si>
  <si>
    <t>Sanford Medical Center Thief River Falls</t>
  </si>
  <si>
    <t>http://www.sanfordhealth.org/</t>
  </si>
  <si>
    <t>Jawad Khan, MD</t>
  </si>
  <si>
    <t>thomas.wang@sanfordhealth.org</t>
  </si>
  <si>
    <t>Higgins</t>
  </si>
  <si>
    <t>khiggins@olmmed.org</t>
  </si>
  <si>
    <t>kevin.benson@oahs.us</t>
  </si>
  <si>
    <t>Lawrence Strate</t>
  </si>
  <si>
    <t>Holtz</t>
  </si>
  <si>
    <t>Perham Health</t>
  </si>
  <si>
    <t>www.perhamhealth.org</t>
  </si>
  <si>
    <t>Keeler</t>
  </si>
  <si>
    <t>Pipestone</t>
  </si>
  <si>
    <t>Mayo Clinic Health System - New Prague</t>
  </si>
  <si>
    <t>mayoclinichealthsystem.org</t>
  </si>
  <si>
    <t>Dr. Mark Ahlquist</t>
  </si>
  <si>
    <t>Stephen J.</t>
  </si>
  <si>
    <t>Rick Miller</t>
  </si>
  <si>
    <t>Director of Revenue &amp; Reimbursement</t>
  </si>
  <si>
    <t>CMichalski@riverviewhealth.org</t>
  </si>
  <si>
    <t>Betty Arvidson</t>
  </si>
  <si>
    <t>Eric</t>
  </si>
  <si>
    <t>Dr. Fashoro</t>
  </si>
  <si>
    <t>Betty</t>
  </si>
  <si>
    <t>Arvidson</t>
  </si>
  <si>
    <t>barvidson@riverviewhealth.org</t>
  </si>
  <si>
    <t>www.lifecaremedicalcenter.org</t>
  </si>
  <si>
    <t>Erika Miles, MD</t>
  </si>
  <si>
    <t>Dr. Luke Albrecht, MD</t>
  </si>
  <si>
    <t>Mayo Clinic Health System - Springfield</t>
  </si>
  <si>
    <t>Financial Planning Specialist</t>
  </si>
  <si>
    <t>Dr. Brian Clarkowski</t>
  </si>
  <si>
    <t>Chad</t>
  </si>
  <si>
    <t>Cooper</t>
  </si>
  <si>
    <t>stgabriels.com</t>
  </si>
  <si>
    <t>Dr. Liqat Sabir</t>
  </si>
  <si>
    <t>Mayo Clinic Health System - Red Wing</t>
  </si>
  <si>
    <t>wwww.mayoclinichealthsystem.org</t>
  </si>
  <si>
    <t>Jay</t>
  </si>
  <si>
    <t>Ross</t>
  </si>
  <si>
    <t>jayross@catholichealth.net</t>
  </si>
  <si>
    <t>Eric Lohn</t>
  </si>
  <si>
    <t>http://www.mayoclinic.org/saintmaryshospital/</t>
  </si>
  <si>
    <t>Annie Sadosty, MD</t>
  </si>
  <si>
    <t>Peter</t>
  </si>
  <si>
    <t>Jacobson</t>
  </si>
  <si>
    <t>Peter.Jacobson@EssentiaHealth.org</t>
  </si>
  <si>
    <t>Laura.Irish@EssentiaHealth.org</t>
  </si>
  <si>
    <t>christiansond@centracare.com</t>
  </si>
  <si>
    <t>Reimbursement Director</t>
  </si>
  <si>
    <t>Christopher Wanner, M.D.</t>
  </si>
  <si>
    <t>Sanford Tracy Medical Center</t>
  </si>
  <si>
    <t>Abdul Khan, MD</t>
  </si>
  <si>
    <t>Stephen E. Davis, M.D.</t>
  </si>
  <si>
    <t>Aaron Johnson, MD</t>
  </si>
  <si>
    <t>Becky</t>
  </si>
  <si>
    <t>Krenik</t>
  </si>
  <si>
    <t>becky.krenik@allina.com</t>
  </si>
  <si>
    <t>Dr. David Romans</t>
  </si>
  <si>
    <t>Mayo Clinic Health System - Waseca</t>
  </si>
  <si>
    <t>http://mayoclinichealthsystem.org/locations/waseca</t>
  </si>
  <si>
    <t>Mayo Clinic Health System - St. James</t>
  </si>
  <si>
    <t>Sanford Medical Center Wheaton</t>
  </si>
  <si>
    <t>www.sanfordwheaton.org</t>
  </si>
  <si>
    <t>Shane.Ayres@Sanfordhealth.org</t>
  </si>
  <si>
    <t>Anthony</t>
  </si>
  <si>
    <t>Hoffarth</t>
  </si>
  <si>
    <t>Sanford Worthington Medical Center</t>
  </si>
  <si>
    <t>Linda.Wagner@sanfordhealth.org</t>
  </si>
  <si>
    <t>Martin Jackson</t>
  </si>
  <si>
    <t>www.selectmedical.com</t>
  </si>
  <si>
    <t>Select Medical Corporation</t>
  </si>
  <si>
    <t>No ER Department</t>
  </si>
  <si>
    <t>Golden Valley</t>
  </si>
  <si>
    <t>Rena</t>
  </si>
  <si>
    <t>Garni</t>
  </si>
  <si>
    <t>rgarni1@fairview.org</t>
  </si>
  <si>
    <t>Maple Grove Hospital</t>
  </si>
  <si>
    <t>MAPLE GROVE</t>
  </si>
  <si>
    <t>www.maplegrovehospital.com</t>
  </si>
  <si>
    <t>Jeffrey Elder, MD</t>
  </si>
  <si>
    <t>Accountant/Payroll</t>
  </si>
  <si>
    <t>www.shrinershospitals.org</t>
  </si>
  <si>
    <t xml:space="preserve">No Emergency Room </t>
  </si>
  <si>
    <t>http://www.minneapolis.va.gov/</t>
  </si>
  <si>
    <t>Glennon Park</t>
  </si>
  <si>
    <t>Veterans Affairs Health Care System</t>
  </si>
  <si>
    <t>Atlas</t>
  </si>
  <si>
    <t>Anagnos</t>
  </si>
  <si>
    <t>Health System Specialist</t>
  </si>
  <si>
    <t>atlas.anagnos@va.gov</t>
  </si>
  <si>
    <t>www.stcloud.va.gov</t>
  </si>
  <si>
    <t>US Public Health Service - Red Lake</t>
  </si>
  <si>
    <t>RED LAKE</t>
  </si>
  <si>
    <t>Highway 1</t>
  </si>
  <si>
    <t>Nora</t>
  </si>
  <si>
    <t>Thunder</t>
  </si>
  <si>
    <t>US Public Health Service</t>
  </si>
  <si>
    <t>US Public Health Service - Cass Lake</t>
  </si>
  <si>
    <t>CASS LAKE</t>
  </si>
  <si>
    <t>Rural Route3</t>
  </si>
  <si>
    <t>CASS</t>
  </si>
  <si>
    <t>Luella</t>
  </si>
  <si>
    <t>PrairieCare</t>
  </si>
  <si>
    <t>Physician Bad Debts included in Account 8100. 
Calculation: (8100/0760)*5503</t>
  </si>
  <si>
    <t>Other Billable Professional Bad Debts included in Account 8100. Calculation: (8100/0760)*7064</t>
  </si>
  <si>
    <t>915 East 1st Street</t>
  </si>
  <si>
    <t>Total Medicare Patient Charges</t>
  </si>
  <si>
    <t>Medicare</t>
  </si>
  <si>
    <t>Total MA/PMAP Patient Charges</t>
  </si>
  <si>
    <t>MA
PMAP</t>
  </si>
  <si>
    <t>MNCare</t>
  </si>
  <si>
    <t>Total MinnesotaCare Patient Charges</t>
  </si>
  <si>
    <t>Total Commerical Insurers, Nonprofit Health Plans, and Private (Non-Public Programs) Patient Charges</t>
  </si>
  <si>
    <t>Total Medicare Adjustments</t>
  </si>
  <si>
    <t>Total MA/PMAP Adjustments</t>
  </si>
  <si>
    <t>Total MinnesotaCare Adjustments</t>
  </si>
  <si>
    <t>Total Commerical Insurers, Nonprofit Health Plans, and Private (Non-Public Programs) Patient Adjustments</t>
  </si>
  <si>
    <t>Total Medicare Admissions</t>
  </si>
  <si>
    <t>Total MA/PMAP Admissions</t>
  </si>
  <si>
    <t>Total MinnesotaCare Admissions</t>
  </si>
  <si>
    <t>Commercial Insurers, Nonprofit Health Plans, Private (Non-Public Prog) Admissions</t>
  </si>
  <si>
    <t>Total Medicare Patient Days</t>
  </si>
  <si>
    <t>Commercial Insurers, Nonprofit Health Plans, Private (Non-Public Prog) Days</t>
  </si>
  <si>
    <t>Total MA/PMAP Days</t>
  </si>
  <si>
    <t>Total MinnesotaCare Days</t>
  </si>
  <si>
    <t>Imaging Technician</t>
  </si>
  <si>
    <t>PMAP/MinnesotaCare Managed Care Patient Charges</t>
  </si>
  <si>
    <t>This information is required by Minnesota Statutes, section 62J.17, subdivision 5a in order for the Minnesota Department of Health (MDH) to complete a retrospective review of commitments made for each project totaling over $1 million. If you have questions about completing this information, please contact health.hccis@state.mn.us.</t>
  </si>
  <si>
    <t>CER</t>
  </si>
  <si>
    <t>For MDH Staff</t>
  </si>
  <si>
    <t xml:space="preserve"> Project Address</t>
  </si>
  <si>
    <t>Project City</t>
  </si>
  <si>
    <t>Actual Commitment Date</t>
  </si>
  <si>
    <t>Definition of Spending Commitment Date</t>
  </si>
  <si>
    <t>Project Cost</t>
  </si>
  <si>
    <t>Distance to the location of the nearest equivalent service or technology</t>
  </si>
  <si>
    <t>Miles</t>
  </si>
  <si>
    <t>Title and General Description of the Project</t>
  </si>
  <si>
    <r>
      <t>Retrospective Review Exceptions
(please indicate if this project falls</t>
    </r>
    <r>
      <rPr>
        <b/>
        <i/>
        <sz val="10"/>
        <color indexed="16"/>
        <rFont val="Arial"/>
        <family val="2"/>
      </rPr>
      <t xml:space="preserve">
</t>
    </r>
    <r>
      <rPr>
        <b/>
        <sz val="10"/>
        <color indexed="16"/>
        <rFont val="Arial"/>
        <family val="2"/>
      </rPr>
      <t>in any of the following categories)</t>
    </r>
  </si>
  <si>
    <t>Exceptions Definitions</t>
  </si>
  <si>
    <t>Medical Education</t>
  </si>
  <si>
    <t>What is the General Purpose of the Project?</t>
  </si>
  <si>
    <t>Building Maintenance</t>
  </si>
  <si>
    <t>Non-Patient Care Services</t>
  </si>
  <si>
    <t>Change in Ownership Resulting in
Non-Expansion in Service Capacity</t>
  </si>
  <si>
    <t>Please select elements of your project from as many drop down menus as apply.</t>
  </si>
  <si>
    <t>Project Type</t>
  </si>
  <si>
    <t>Project Subtype 1</t>
  </si>
  <si>
    <t>Project Subtype 2</t>
  </si>
  <si>
    <t>Project Subtype 3</t>
  </si>
  <si>
    <t>Please provide details regarding improved access to care.</t>
  </si>
  <si>
    <t>Are equivalent services available within 30 miles for your patient population?</t>
  </si>
  <si>
    <t>Does the project involve new or increased capacity?</t>
  </si>
  <si>
    <t>What was the capacity level prior to expansion or added equipment?</t>
  </si>
  <si>
    <t>Please provide any additional information regarding how this project improves access to care.</t>
  </si>
  <si>
    <t>Please list the closest providers (name and town/city) of equivalent services or technology currently available within 10 miles.</t>
  </si>
  <si>
    <t>Please provide details regarding improved patient quality and/or clinical effectiveness of care.</t>
  </si>
  <si>
    <t>Does the project result in improved patient quality and/or more effective clinical care than prior to the expenditure?</t>
  </si>
  <si>
    <t>Are any improvements in quality or clinical effectiveness supported by evidence?</t>
  </si>
  <si>
    <t>Please provide any additional information describing how the project improves patient quality or clinical effectiveness of care.</t>
  </si>
  <si>
    <t>Please list the source(s) of evidence for improved quality and/or clinical effectiveness.</t>
  </si>
  <si>
    <t>Please provide a description of alternatives considered and why more or less cost effective options were discarded.</t>
  </si>
  <si>
    <t>Please describe any lawful collaborative arrangements, including the type of collaboration, the partnership name, the names of the partners, a description of their involvement and any other information that will facilitate a complete review of this project.</t>
  </si>
  <si>
    <t>Total MA/PMAP Charges</t>
  </si>
  <si>
    <t>Total MinnesotaCare Charges</t>
  </si>
  <si>
    <t>Total Commercial Insurers Adjustments</t>
  </si>
  <si>
    <t>Total Commercial Insurers Charges</t>
  </si>
  <si>
    <r>
      <rPr>
        <sz val="10"/>
        <color indexed="10"/>
        <rFont val="Arial"/>
        <family val="2"/>
      </rPr>
      <t>Valid Repsonses and VLOOKUP Valid Values for</t>
    </r>
    <r>
      <rPr>
        <b/>
        <sz val="10"/>
        <color indexed="10"/>
        <rFont val="Arial"/>
        <family val="2"/>
      </rPr>
      <t xml:space="preserve"> </t>
    </r>
  </si>
  <si>
    <t>HCCIS.HOSPITAL_CAP_EXP_RR_TYPE_TBL.PROJECT_TYPE_ID</t>
  </si>
  <si>
    <t>ProjType</t>
  </si>
  <si>
    <t>Subtype1</t>
  </si>
  <si>
    <t>Subtype3</t>
  </si>
  <si>
    <t>Diagnostic Imaging Center</t>
  </si>
  <si>
    <t>Anesthesia</t>
  </si>
  <si>
    <t>Inpatient Hospital</t>
  </si>
  <si>
    <t>Angiography or Arteriography</t>
  </si>
  <si>
    <t>Building and Space &amp; Medical Equipment</t>
  </si>
  <si>
    <t>Outpatient Hospital or Hospital-Based Clinic(s)</t>
  </si>
  <si>
    <t>Clinical Practice Space</t>
  </si>
  <si>
    <t>Health Information Technology</t>
  </si>
  <si>
    <t>Inpatient &amp; Outpatient Hosptial</t>
  </si>
  <si>
    <t>Computed Tomography (CT) - Additional</t>
  </si>
  <si>
    <t>Non-Patient Care</t>
  </si>
  <si>
    <t>Outpatient Surgery Center</t>
  </si>
  <si>
    <t>Computed Tomography (CT) - Replacement</t>
  </si>
  <si>
    <t>Remote Access</t>
  </si>
  <si>
    <t>Physician Clinic(s)</t>
  </si>
  <si>
    <t>Computer, Phone, or Monitoring</t>
  </si>
  <si>
    <t>Yes, services are available within 30 miles</t>
  </si>
  <si>
    <t>Dialysis</t>
  </si>
  <si>
    <t>No, services are not available within 30 miles</t>
  </si>
  <si>
    <t>Infusion</t>
  </si>
  <si>
    <t>Capacity</t>
  </si>
  <si>
    <t>Subtype2</t>
  </si>
  <si>
    <t>Inpatient Bed Expansion (double occupancy)</t>
  </si>
  <si>
    <t>Yes, Capacity will be Increased</t>
  </si>
  <si>
    <t>Ambulatory Care</t>
  </si>
  <si>
    <t>Inpatient Bed Expansion (single occupancy)</t>
  </si>
  <si>
    <t>No Increase in Capacity</t>
  </si>
  <si>
    <t>Magnetic Resonance Imaging (MRI) - Additional</t>
  </si>
  <si>
    <t>Chemical Dependency/Detoxification</t>
  </si>
  <si>
    <t>Magnetic Resonance Imaging (MRI) - Replacement</t>
  </si>
  <si>
    <t>Prior Capacity (PriorCap)</t>
  </si>
  <si>
    <t>Critical Care (ICU or NICU)</t>
  </si>
  <si>
    <t>Operating Room</t>
  </si>
  <si>
    <t>0-20% occupied or used</t>
  </si>
  <si>
    <t>Emergency Services</t>
  </si>
  <si>
    <t>Other Health Information Technology</t>
  </si>
  <si>
    <t>20-50% occupied or used</t>
  </si>
  <si>
    <t>Geriatrics</t>
  </si>
  <si>
    <t>50-80% occupied or used</t>
  </si>
  <si>
    <t>Indirect Patient Care</t>
  </si>
  <si>
    <t>Other Surgical Equipment</t>
  </si>
  <si>
    <t>Over 80% occupied or used</t>
  </si>
  <si>
    <t>Laboratory</t>
  </si>
  <si>
    <t>PET/CT - New</t>
  </si>
  <si>
    <t>PET/CT - Replacement</t>
  </si>
  <si>
    <t>Multiple Specialty Areas</t>
  </si>
  <si>
    <t>Positron Emission Tomography (PET) - Additional</t>
  </si>
  <si>
    <t>Positron Emission Tomography (PET) - Replacement</t>
  </si>
  <si>
    <t>Impact</t>
  </si>
  <si>
    <t>Yes, project will improve patient quality and/or clinical effectiveness</t>
  </si>
  <si>
    <t>Robotic Surgery</t>
  </si>
  <si>
    <t>No, project will not improve patient quality and/or clinical effectiveness</t>
  </si>
  <si>
    <t>Oncology</t>
  </si>
  <si>
    <t>Single-Photon Emission CT (SPECT) - Additional</t>
  </si>
  <si>
    <t>Single-Photon Emission CT (SPECT) - Replacement</t>
  </si>
  <si>
    <t>Evidence</t>
  </si>
  <si>
    <t>Other Medical/Surgical Care</t>
  </si>
  <si>
    <t>SPECT/CT - Additional</t>
  </si>
  <si>
    <t>Yes, quality and/or effectiveness is supported by evidence</t>
  </si>
  <si>
    <t>Other Patient Care</t>
  </si>
  <si>
    <t>SPECT/CT - Replacement</t>
  </si>
  <si>
    <t>No, quality and/or effectiveness is not supported by evidence</t>
  </si>
  <si>
    <t>Other Specialty Care</t>
  </si>
  <si>
    <t>Other Women's &amp; Children's Patient Care</t>
  </si>
  <si>
    <t>Pediatrics</t>
  </si>
  <si>
    <t>Peri-Operative Care</t>
  </si>
  <si>
    <t>Pharmacy</t>
  </si>
  <si>
    <t>Primary Care/Family Medicine</t>
  </si>
  <si>
    <t>Radiology</t>
  </si>
  <si>
    <t>Urgent Care</t>
  </si>
  <si>
    <t>ccooper@riverwoodhealthcare.org</t>
  </si>
  <si>
    <t>www.riverwoodhealthcare.org</t>
  </si>
  <si>
    <t>Reimbursement Process Manager</t>
  </si>
  <si>
    <t>----</t>
  </si>
  <si>
    <t>Executive Director</t>
  </si>
  <si>
    <t>todd.sandberg@ridgeviewmedical.org</t>
  </si>
  <si>
    <t>darla.anderson@ridgeviewmedical.org</t>
  </si>
  <si>
    <t>Kevin Boren</t>
  </si>
  <si>
    <t>Anthony.Hoffarth@essentiahealth.org</t>
  </si>
  <si>
    <t>Jay Ross</t>
  </si>
  <si>
    <t>Larsen</t>
  </si>
  <si>
    <t>Principal</t>
  </si>
  <si>
    <t>dan.larsen@claconnect.com</t>
  </si>
  <si>
    <t>Dr. Justin Quo</t>
  </si>
  <si>
    <t>scbh.org</t>
  </si>
  <si>
    <t>Rees</t>
  </si>
  <si>
    <t>adam.rees@essentiahealth.org</t>
  </si>
  <si>
    <t>Brainerd</t>
  </si>
  <si>
    <t>Pilot</t>
  </si>
  <si>
    <t>david.pilot@essentiahealth.org</t>
  </si>
  <si>
    <t>Division Accountant</t>
  </si>
  <si>
    <t>Caitlin</t>
  </si>
  <si>
    <t>Gerdes</t>
  </si>
  <si>
    <t>caitlin.gerdes@allina.com</t>
  </si>
  <si>
    <t>Taha</t>
  </si>
  <si>
    <t>Valibhai</t>
  </si>
  <si>
    <t>taha.valibhai@allina.com</t>
  </si>
  <si>
    <t>Sisk</t>
  </si>
  <si>
    <t>Lori.Sisk@sanfordhealth.org</t>
  </si>
  <si>
    <t>Christian.Glenn@mayo.edu</t>
  </si>
  <si>
    <t>Dr. Chad Fey</t>
  </si>
  <si>
    <t>10 5th St SE</t>
  </si>
  <si>
    <t>Gerald Pietz</t>
  </si>
  <si>
    <t>Cassandra</t>
  </si>
  <si>
    <t>Pender</t>
  </si>
  <si>
    <t>cassandra.pender@allina.com</t>
  </si>
  <si>
    <t>Dr. Michael Schwemm</t>
  </si>
  <si>
    <t>Roger</t>
  </si>
  <si>
    <t>Newcome</t>
  </si>
  <si>
    <t>Manager of Reimbursement</t>
  </si>
  <si>
    <t>Roger.Newcome@allina.com</t>
  </si>
  <si>
    <t>Crystal M Bothun</t>
  </si>
  <si>
    <t>Crystal M</t>
  </si>
  <si>
    <t>Bothun</t>
  </si>
  <si>
    <t>cmbothun@jmhsmn.org</t>
  </si>
  <si>
    <t>Dr. Bud Belk</t>
  </si>
  <si>
    <t>Nathan J.</t>
  </si>
  <si>
    <t>Cavallin</t>
  </si>
  <si>
    <t>nathan.cavallin@slhduluth.com</t>
  </si>
  <si>
    <t>Chris</t>
  </si>
  <si>
    <t>Debra</t>
  </si>
  <si>
    <t>debra.carl@slhduluth.com</t>
  </si>
  <si>
    <t>Dr. Nick Itzin</t>
  </si>
  <si>
    <t>Michael Rock, M.D.</t>
  </si>
  <si>
    <t>Lau</t>
  </si>
  <si>
    <t>Reimbursement Associate</t>
  </si>
  <si>
    <t>slau@eidebailly.com</t>
  </si>
  <si>
    <t>800 Medical Center Drive</t>
  </si>
  <si>
    <t>Dr. Lonnie Berger</t>
  </si>
  <si>
    <t>Kim.Bodensteiner@essentiahealth.org</t>
  </si>
  <si>
    <t>Helen</t>
  </si>
  <si>
    <t>Strike</t>
  </si>
  <si>
    <t>President Unity</t>
  </si>
  <si>
    <t>helen.strike@allina.com</t>
  </si>
  <si>
    <t>Angela</t>
  </si>
  <si>
    <t>angela.erickson@grhsonline.org</t>
  </si>
  <si>
    <t>Wade</t>
  </si>
  <si>
    <t>Snyder</t>
  </si>
  <si>
    <t>wsnyder@selectmedical.com</t>
  </si>
  <si>
    <t>Mechanicsburg</t>
  </si>
  <si>
    <t>PA</t>
  </si>
  <si>
    <t>Cumberland</t>
  </si>
  <si>
    <t>Essentia Health - Graceville</t>
  </si>
  <si>
    <t>Vera Schumann</t>
  </si>
  <si>
    <t>Vera</t>
  </si>
  <si>
    <t>Schumann</t>
  </si>
  <si>
    <t>darryn.mcgarvey@CLAconnect.com</t>
  </si>
  <si>
    <t>jeff.gollaher@hendricksosp.org</t>
  </si>
  <si>
    <t>Tom Fink</t>
  </si>
  <si>
    <t>Steichen</t>
  </si>
  <si>
    <t>Sr. Govt. Reimbursement Analyst</t>
  </si>
  <si>
    <t>ksteich1@fairview.org</t>
  </si>
  <si>
    <t>Dr. Julie Houle</t>
  </si>
  <si>
    <t>Hutchinson Health</t>
  </si>
  <si>
    <t>plarson@HutchHealth.com</t>
  </si>
  <si>
    <t>Karen Krenzke, MD</t>
  </si>
  <si>
    <t>Owadini Bandara, MD</t>
  </si>
  <si>
    <t>Dr. Brant Hacker</t>
  </si>
  <si>
    <t>Todd Ostendorf</t>
  </si>
  <si>
    <t>Doug Davenport</t>
  </si>
  <si>
    <t>Elizabeth</t>
  </si>
  <si>
    <t>Bache-Wiig</t>
  </si>
  <si>
    <t>Ben.Bache-Wiig@allina.com</t>
  </si>
  <si>
    <t>Jane.Zhang@allina.com</t>
  </si>
  <si>
    <t>Jon L.</t>
  </si>
  <si>
    <t>Pryor, Md</t>
  </si>
  <si>
    <t>Jon.Pryor@hcmed.org</t>
  </si>
  <si>
    <t>701 Park Avenue South</t>
  </si>
  <si>
    <t>www.hcmc.org</t>
  </si>
  <si>
    <t>Rosendahl</t>
  </si>
  <si>
    <t>andrew.rosendahl@childrensmn.org</t>
  </si>
  <si>
    <t>Conrad</t>
  </si>
  <si>
    <t>Daniel.Conrad@allina.com</t>
  </si>
  <si>
    <t>Daniel M. Fromm</t>
  </si>
  <si>
    <t>Sr Government Reimbursement Analyst</t>
  </si>
  <si>
    <t>Maggie Kendall</t>
  </si>
  <si>
    <t>Maggie</t>
  </si>
  <si>
    <t>Kendall</t>
  </si>
  <si>
    <t>Patrick</t>
  </si>
  <si>
    <t>Leann Stomberg</t>
  </si>
  <si>
    <t>Mary Ellen</t>
  </si>
  <si>
    <t>Wells</t>
  </si>
  <si>
    <t>maryellen.wells@centracare.com</t>
  </si>
  <si>
    <t>www.fl-hs.org</t>
  </si>
  <si>
    <t>CAO</t>
  </si>
  <si>
    <t>klimp.mary@mayo.edu</t>
  </si>
  <si>
    <t>Toby</t>
  </si>
  <si>
    <t>Freier</t>
  </si>
  <si>
    <t>Toby.Freier@allina.com</t>
  </si>
  <si>
    <t>Underdahl</t>
  </si>
  <si>
    <t>President / CEO</t>
  </si>
  <si>
    <t>underdahls@northfieldhospital.org</t>
  </si>
  <si>
    <t>Nathan</t>
  </si>
  <si>
    <t>Blad</t>
  </si>
  <si>
    <t>bladn@rchospital.com</t>
  </si>
  <si>
    <t>Kevin Benson</t>
  </si>
  <si>
    <t>Maynard</t>
  </si>
  <si>
    <t>Dennis</t>
  </si>
  <si>
    <t>Miley</t>
  </si>
  <si>
    <t>jennifer.holtz@centracare.com</t>
  </si>
  <si>
    <t>chuck.hofius@perhamhealth.org</t>
  </si>
  <si>
    <t>Timothy Studer, D.O.</t>
  </si>
  <si>
    <t>Dave Keeler</t>
  </si>
  <si>
    <t>Dave.Keeler@pcmchealth.org</t>
  </si>
  <si>
    <t>Daniel Fromm</t>
  </si>
  <si>
    <t>Dr. Greg Schoen</t>
  </si>
  <si>
    <t>Gudgell</t>
  </si>
  <si>
    <t>sgudgell@mayo.edu</t>
  </si>
  <si>
    <t>Melissa Meyer</t>
  </si>
  <si>
    <t>tweir@olmmed.org</t>
  </si>
  <si>
    <t>Kedrick Adkins</t>
  </si>
  <si>
    <t>Essentia Health - Sandstone</t>
  </si>
  <si>
    <t>Hedrix</t>
  </si>
  <si>
    <t>McMahan</t>
  </si>
  <si>
    <t>Murray</t>
  </si>
  <si>
    <t>Robyn Van</t>
  </si>
  <si>
    <t>Heuvelen</t>
  </si>
  <si>
    <t>vangeuvelenr@murraycountymed.org</t>
  </si>
  <si>
    <t>Catherine Lenagh</t>
  </si>
  <si>
    <t>Cindy</t>
  </si>
  <si>
    <t>Forté</t>
  </si>
  <si>
    <t>Gov't Regulatory Analyst</t>
  </si>
  <si>
    <t>cindy.forte@parknicollet.com</t>
  </si>
  <si>
    <t>6500 Excelsior Blvd</t>
  </si>
  <si>
    <t>Director, Revenue Rptg &amp; Reg. Analysis</t>
  </si>
  <si>
    <t>craig.larson@parknicollet.com</t>
  </si>
  <si>
    <t>Joers</t>
  </si>
  <si>
    <t>bjoers@gillettechildrens.com</t>
  </si>
  <si>
    <t>O'Connor</t>
  </si>
  <si>
    <t>tom.o'connor@allina.com</t>
  </si>
  <si>
    <t>Rohrich</t>
  </si>
  <si>
    <t>grohrich@riversedgehealth.org</t>
  </si>
  <si>
    <t>Rob</t>
  </si>
  <si>
    <t>Suite 300</t>
  </si>
  <si>
    <t>Steven P. Snow, MD</t>
  </si>
  <si>
    <t>Essentia Health Virginia</t>
  </si>
  <si>
    <t>joel.beiswenger@tchc.org</t>
  </si>
  <si>
    <t>Kim Aagard</t>
  </si>
  <si>
    <t>debbie.sly@tchc.org</t>
  </si>
  <si>
    <t>www.tchc.org</t>
  </si>
  <si>
    <t>kim.aagard@tchc.org</t>
  </si>
  <si>
    <t>Dawn</t>
  </si>
  <si>
    <t>Balsdon</t>
  </si>
  <si>
    <t>dbalsdon@eidebailly.com</t>
  </si>
  <si>
    <t>mitchell.kotrba@northvalleyhealth.org</t>
  </si>
  <si>
    <t>JoAnn</t>
  </si>
  <si>
    <t>Foltz</t>
  </si>
  <si>
    <t>joann.foltz@sanfordhealth.org</t>
  </si>
  <si>
    <t>Jan Brosnahan</t>
  </si>
  <si>
    <t>michael.hammer@sanfordhealth.org</t>
  </si>
  <si>
    <t>jherman6@fairview.org</t>
  </si>
  <si>
    <t>RN Salary 2021</t>
  </si>
  <si>
    <t>RN FTE 2031</t>
  </si>
  <si>
    <t>LPN Salary 2022</t>
  </si>
  <si>
    <t>LPN FTE 2032</t>
  </si>
  <si>
    <t>Nurse Anest Salary 2121</t>
  </si>
  <si>
    <t>Nruse Anest FTE 2131</t>
  </si>
  <si>
    <t>NP Salary 2026</t>
  </si>
  <si>
    <t>NP FTE 2036</t>
  </si>
  <si>
    <t>NA Salary 2023</t>
  </si>
  <si>
    <t>NA FTE 2033</t>
  </si>
  <si>
    <t>Pharmacist Salary 2027</t>
  </si>
  <si>
    <t>Pharmacist FTE 2037</t>
  </si>
  <si>
    <t>Physician Salary 2024</t>
  </si>
  <si>
    <t>Physician FTE 2034</t>
  </si>
  <si>
    <t>Phys Assist Salary 2028</t>
  </si>
  <si>
    <t>Phys Assist FTE 2038</t>
  </si>
  <si>
    <t>Occup Therapist Salary 2122</t>
  </si>
  <si>
    <t>Occup Therapist FTE 2132</t>
  </si>
  <si>
    <t>Phys Therapist Salary 2123</t>
  </si>
  <si>
    <t>Phys Therapist FTE 2133</t>
  </si>
  <si>
    <t>Lab Tech Salary 2125</t>
  </si>
  <si>
    <t>Lab Tech FTE 2135</t>
  </si>
  <si>
    <t>Other Salary 2128</t>
  </si>
  <si>
    <t>Other FTE 2138</t>
  </si>
  <si>
    <t>Total Salary 2030</t>
  </si>
  <si>
    <t>Total FTE 2040</t>
  </si>
  <si>
    <t>Licensed Beds 4504</t>
  </si>
  <si>
    <t>Previous Project MDH Reference ID</t>
  </si>
  <si>
    <t>Report Year</t>
  </si>
  <si>
    <t>Project Location</t>
  </si>
  <si>
    <t>Commitment Date</t>
  </si>
  <si>
    <t>Commitment Dollars</t>
  </si>
  <si>
    <t>Brief Description</t>
  </si>
  <si>
    <t>PLYMOUTH, MN 55441</t>
  </si>
  <si>
    <t>Reference MDH System Name</t>
  </si>
  <si>
    <t>Reference MDH System ID</t>
  </si>
  <si>
    <t>Reference MDH Project ID</t>
  </si>
  <si>
    <t>Reporting Entity</t>
  </si>
  <si>
    <t>Reporting Entity City</t>
  </si>
  <si>
    <t>Original Reporting Form</t>
  </si>
  <si>
    <t>Original Project Number</t>
  </si>
  <si>
    <t>Reported Commitment Date</t>
  </si>
  <si>
    <t>Reported Commitment Dollars</t>
  </si>
  <si>
    <t>Project Location Name</t>
  </si>
  <si>
    <t>Project Location Address</t>
  </si>
  <si>
    <t>Project Location City</t>
  </si>
  <si>
    <t>Project Description</t>
  </si>
  <si>
    <t>Allina Health System</t>
  </si>
  <si>
    <t>MINNEAPOLIS, MN 55407</t>
  </si>
  <si>
    <t>800 E. 28th Street</t>
  </si>
  <si>
    <t>EDINA, MN 55435</t>
  </si>
  <si>
    <t>BUFFALO, MN 55313</t>
  </si>
  <si>
    <t>4050 Coon Rapids Blvd</t>
  </si>
  <si>
    <t>1324 5th Street North</t>
  </si>
  <si>
    <t>333 North Smith Avenue</t>
  </si>
  <si>
    <t>ST PAUL</t>
  </si>
  <si>
    <t>333 N Smith Ave</t>
  </si>
  <si>
    <t>SAINT PAUL</t>
  </si>
  <si>
    <t>550 Osborne Road NE</t>
  </si>
  <si>
    <t>FRIDLEY, MN 55432</t>
  </si>
  <si>
    <t>1406 6th Ave N</t>
  </si>
  <si>
    <t>CentraCare Health Plaza</t>
  </si>
  <si>
    <t>1900 CentraCare Circle</t>
  </si>
  <si>
    <t>Cook Hospital and C&amp;NC Unit</t>
  </si>
  <si>
    <t>Cook Hospital</t>
  </si>
  <si>
    <t>407 East Third Street</t>
  </si>
  <si>
    <t>Fairview Hospitals and Health Care System</t>
  </si>
  <si>
    <t>Emergency Department Remodel at Southdale Hospital</t>
  </si>
  <si>
    <t>6401 France Avenue South</t>
  </si>
  <si>
    <t>500 Harvard Street SE</t>
  </si>
  <si>
    <t>2450 Riverside Avenue</t>
  </si>
  <si>
    <t>Gillette Children's Hospital</t>
  </si>
  <si>
    <t>HealthEast</t>
  </si>
  <si>
    <t>HealthPartners</t>
  </si>
  <si>
    <t>regions hospital</t>
  </si>
  <si>
    <t>640 n jackson street</t>
  </si>
  <si>
    <t>MCHS - Mankato</t>
  </si>
  <si>
    <t>715 Delmore Drive</t>
  </si>
  <si>
    <t>1025 East Marsh Street</t>
  </si>
  <si>
    <t>MANKATO, MN.  56001</t>
  </si>
  <si>
    <t>201 West Center Street</t>
  </si>
  <si>
    <t>1216 Second Street SW</t>
  </si>
  <si>
    <t>Mary Brigh Building</t>
  </si>
  <si>
    <t>3300 Oakdale Ave N</t>
  </si>
  <si>
    <t>ST LOUIS PARK</t>
  </si>
  <si>
    <t>ST. PETER</t>
  </si>
  <si>
    <t>200 Bunker Hill Drive</t>
  </si>
  <si>
    <t>1300 Anne Street NW</t>
  </si>
  <si>
    <t>3001 Sanford Parkway</t>
  </si>
  <si>
    <t>1 Veterans Drive</t>
  </si>
  <si>
    <t>Project Number</t>
  </si>
  <si>
    <t>Unique ID</t>
  </si>
  <si>
    <t>Project</t>
  </si>
  <si>
    <t>Please check here to ensure this project has not be reported in a previous year.</t>
  </si>
  <si>
    <t>Return to Capital Expend Project Specific tab</t>
  </si>
  <si>
    <t>Hospital Specific Reclassifications (Pages 4-7)</t>
  </si>
  <si>
    <r>
      <t>Underpayment for Services Provided under State Health Care Programs.</t>
    </r>
    <r>
      <rPr>
        <sz val="10"/>
        <color indexed="8"/>
        <rFont val="Arial"/>
        <family val="2"/>
      </rPr>
      <t xml:space="preserve">  Calculation: (((7253+7256)*(600/(740+770))-(7253+7256+7263+7266))</t>
    </r>
  </si>
  <si>
    <t>MA/MinnesotaCare Patient Charges (Non-Managed Care)</t>
  </si>
  <si>
    <t>Abbott Northwestern West Health</t>
  </si>
  <si>
    <t>2805 Campus Drive, Suite 115</t>
  </si>
  <si>
    <t>Penny George Institute Health and Healing Clinic at West Health</t>
  </si>
  <si>
    <t>Courage Kenny Rehabilitation Institute - Golden Valley</t>
  </si>
  <si>
    <t>3915 Golden Valley Road</t>
  </si>
  <si>
    <t>GOLDEN VALLEY, MN 55422</t>
  </si>
  <si>
    <t>Activity Based Locomotor Exercise (ABLE) and Adaptive Fitness Programs Expansion</t>
  </si>
  <si>
    <t>800 E 28th Street</t>
  </si>
  <si>
    <t>Replacement of Cardiac MRI</t>
  </si>
  <si>
    <t>320 East Main Street</t>
  </si>
  <si>
    <t>CRMC Operating Room, Specialty Clinic and Business Support Services Project.</t>
  </si>
  <si>
    <t>Northland Specialty Expansion Project NSEP</t>
  </si>
  <si>
    <t>911 Northland Dr</t>
  </si>
  <si>
    <t>Develop and construct a Specialty Medical Office Building (SMOB) on the Fairview Northland Campus in Princeton.  The building will be developed and owned by Fairview and will be 25,557 gross square feet. The project will include a remodeling of the hospital front lobby on the main floor and rehab space on the lower floor to provide a connection to the SMOB. In addition, the project also includes remodeling 2,527 square feet of hospital space to expand the pre and post operative area in surgery services.  This project will add 7 pre-op bays and 2 PACU beds.</t>
  </si>
  <si>
    <t>Fairview Ridges Hospital CT</t>
  </si>
  <si>
    <t>201 E. Nicollet Blvd.</t>
  </si>
  <si>
    <t>BURNSVILLE, MN 55337</t>
  </si>
  <si>
    <t>Fairview Ridges Hospital CT - This project is to replace an existing CT 16-slice scanner. The existing equipment is over 10 years old and has surpassed it life capabilitites. This also includes $40,000 for a chiller fo the scanner.</t>
  </si>
  <si>
    <t>Southdale Spacelab EP4 replacement</t>
  </si>
  <si>
    <t>This project will replace the current fluoroscopy system in one of the two electrophysiology rooms in the Southdale Hospital cardiac catheterization lab.  This system was installed approximately nine years ago and has been the primary room used for all ablation cases.</t>
  </si>
  <si>
    <t>Spacelabs equipment replacement</t>
  </si>
  <si>
    <t>This project entails the complete replacement of the Spacelabs Ultraview equipment within Fairview Southdale and the current mounting with variable height mounting which has been recommended for replacement by EOHS to prevent injury to clinical caregivers.</t>
  </si>
  <si>
    <t>Rainy Lake Clinic</t>
  </si>
  <si>
    <t>1400 Highway 71</t>
  </si>
  <si>
    <t>A Primary Care Clinic with three providers was relocated to new and expanded space.  A Specialty Clinic also opened providing OB/GYN, surgical, rheumatology and orthopedic services.</t>
  </si>
  <si>
    <t>200 E University Avenue</t>
  </si>
  <si>
    <t>The Electronic Medical Record Implementation will replace several aging, standalone clinical systems with one integrated solution.</t>
  </si>
  <si>
    <t>The 3T MRI project will annex existing space from 6 other rooms in the hospital to create square footage neccesssary to add the second MRI room and related ancillary rooms</t>
  </si>
  <si>
    <t>205 E University Avenue</t>
  </si>
  <si>
    <t>Therapy Pool- A therapy pool will be installed into the 205 building on the Gillette campus.</t>
  </si>
  <si>
    <t>10 4th Ave SE</t>
  </si>
  <si>
    <t>GLENWOOD MN</t>
  </si>
  <si>
    <t>Building a new Lab, PT, addition to X-Ray and remodeling of the current areas.</t>
  </si>
  <si>
    <t>Hendricks Community Hospital</t>
  </si>
  <si>
    <t>503 East Lincoln St</t>
  </si>
  <si>
    <t>Campus expansion &amp; renovation</t>
  </si>
  <si>
    <t>The Be Well Clinic - Provide Clinic Space and Care to Hennepin County Employees</t>
  </si>
  <si>
    <t>Traumatic Brain Injury and Physical Medical and Rehabilitation Expansion</t>
  </si>
  <si>
    <t>Infrastructure Support Network Equipment</t>
  </si>
  <si>
    <t>Wireless Network Upgrade</t>
  </si>
  <si>
    <t>Ultrasound Machines placed in the Emergency Department</t>
  </si>
  <si>
    <t>MVNA and Hospice of the Twin Cities transition to HCMC</t>
  </si>
  <si>
    <t>This large project involves moving key departments from their current location on the main hospital campus to remodeled space at Madison East.</t>
  </si>
  <si>
    <t>First Light Health System</t>
  </si>
  <si>
    <t>FirstLight Health System - Pine Clinic</t>
  </si>
  <si>
    <t>1425 Main St. N.</t>
  </si>
  <si>
    <t>PINE CITY</t>
  </si>
  <si>
    <t>Clinic expansion allows additonal providers and the expansion of services to include urgency visits.  Also increases therapy services space</t>
  </si>
  <si>
    <t>Lake Region Healthcare</t>
  </si>
  <si>
    <t>111 W. Vernon Ave</t>
  </si>
  <si>
    <t>Medical Office Building, including same day surgical services</t>
  </si>
  <si>
    <t>Replacement of Mercy Cath Lab #3</t>
  </si>
  <si>
    <t>da Vinci robot</t>
  </si>
  <si>
    <t>Varian Truebeam Linear Accelerator for Radiation Oncology</t>
  </si>
  <si>
    <t>Meadowbrook Clinic- Methodist Hospital</t>
  </si>
  <si>
    <t>3931 Louisiana Ave S</t>
  </si>
  <si>
    <t>Meadowbrook General Surgery Remodel and Refresh</t>
  </si>
  <si>
    <t>Park Nicollet -Methodist Hospital</t>
  </si>
  <si>
    <t>Methodist Hospital Modernization Project :  Private Bed Plan and Surgery Modernization</t>
  </si>
  <si>
    <t>Essentia Health - Duluth</t>
  </si>
  <si>
    <t>502 East Second Street</t>
  </si>
  <si>
    <t>Miller Behavioral Health Adult Unit Remodel</t>
  </si>
  <si>
    <t>CentraCare Health - Monticello</t>
  </si>
  <si>
    <t>CentraCare Health- Monticello</t>
  </si>
  <si>
    <t>1013 Hart Blvd</t>
  </si>
  <si>
    <t>Our OB unit had been closed for over a year. A commitment was made to remodel and reopen.</t>
  </si>
  <si>
    <t>3 - CT Replacements</t>
  </si>
  <si>
    <t>7N &amp; 7W Remodel: Renovation to the existing patient wing to include finish updates, lighting updates, and additional handwash sinks in the patient rooms.</t>
  </si>
  <si>
    <t>MRI 1.5T Replacement and MRI Chiller Replacement</t>
  </si>
  <si>
    <t>PMO - Nurse Call Integrated Communication System Project: Replace old unsupported nurse call equipment with upgraded ability to be integrated into communications systems</t>
  </si>
  <si>
    <t>2000 North Avenlue</t>
  </si>
  <si>
    <t>Hospital Addition -- Finished Upper level with 3 procedure rooms and associated prep and recovery rooms with registration/waiting for new procedure rooms and existing surgery area.  Unfinished Lower Level for future expansion</t>
  </si>
  <si>
    <t>Olmsted Medical Center-Musculoskeletal Relocation to the Hospital</t>
  </si>
  <si>
    <t>1650 4th ST SE</t>
  </si>
  <si>
    <t>Musculoskeletal Relocation to the Hospital.  In November of 2014 OMC committed to build out space at the hospital campus that had previsusly been used by our OB/GYN department to be used going forward for our Orthopedics Program.  The Orthopedics Program had been located at our SE Clinic location.  However, the relocation to the Hospital campus fits our strategy of co-locating our surgical specialties at the Hospital campus.</t>
  </si>
  <si>
    <t>Regina Hospital</t>
  </si>
  <si>
    <t>1175 Ninninger Road</t>
  </si>
  <si>
    <t>ED Expansion</t>
  </si>
  <si>
    <t>RICE MEMORIAL HOSPITAL</t>
  </si>
  <si>
    <t>301 BECKER AVE SW</t>
  </si>
  <si>
    <t>BEHAVIORAL HEALTH EXPANSION</t>
  </si>
  <si>
    <t>REHABILITATION CENTER CONSTRUCTION</t>
  </si>
  <si>
    <t>Replacement of 627 obsolete IV pumps at St. Cloud Hospital with 800 infusion pumps.</t>
  </si>
  <si>
    <t>Passage Home</t>
  </si>
  <si>
    <t>121 Park Ave</t>
  </si>
  <si>
    <t>The proposal is to add to the current lease arrangement to expand the number of available licensed beds for men and men with children that are in need of outpatient clinic addiction services.  The expansion proposal is a three story 14,850 square foot addition to the existing Passages adult residential facility at 121 Park Ave, St. Cloud. This facility is operated in connection with Recovery Plus Addiction Services.  The proposed addition will add:â€¢ 30 additional beds for increased capacity, including accommodations that are appropriate for housing men with dependent childrenâ€¢ A commercial kitchenâ€¢ Expanded dining space (to accommodate 65 clients)  â€¢ Space to accommodate a Recovery Resource Center for telephone recovery coaching calls, job skills training seminars, life skills training and support for clients in early recovery â€¢ Space to accommodate a centralized staffed 24 hrs/day 7 days a week Intake Call Center for various Behavioral Health Care Services.</t>
  </si>
  <si>
    <t>Purchase and installation of a second Biplane Endovascular system in Surgery</t>
  </si>
  <si>
    <t>Medical Unit 2 Remodel</t>
  </si>
  <si>
    <t>Remodel 19 patient rooms and adjacent support spaces on medical unit 2 - 5 south.</t>
  </si>
  <si>
    <t>Remodel Coborn Cancer Center (Phase I) .  This will include remodeling the front entry, relocating the library and scheduling area, expanding nurse reception stations, improving signage and lighting of the front entry, and improving central waiting and wayfinding.</t>
  </si>
  <si>
    <t>1455 St. Francis Avenue</t>
  </si>
  <si>
    <t>SHAKOPEE, MN 55379</t>
  </si>
  <si>
    <t>Care South Inpatient Medical/Surgical Unit Remodel</t>
  </si>
  <si>
    <t>815 SE 2nd Street</t>
  </si>
  <si>
    <t>Install EPIC System</t>
  </si>
  <si>
    <t>915 East Fist Street</t>
  </si>
  <si>
    <t>Surgery Expansion Project: Addition to hospital facility for expanded, modernized operating rooms. Purchase of new, modern, additional equipment to outfit this new area.</t>
  </si>
  <si>
    <t>Mayo Clinic Hospital - Rochester</t>
  </si>
  <si>
    <t>71R120940 - Relocation of Surgical Cast Room</t>
  </si>
  <si>
    <t>7R131440 - Four Operating Rooms Off Core 700</t>
  </si>
  <si>
    <t>71R - Critical Care and Anesthesiolody Offices MB2</t>
  </si>
  <si>
    <t>7R140700 - Hybrid Operating Room off of Core 800 MB1</t>
  </si>
  <si>
    <t>Essential Electrical System Upgrade</t>
  </si>
  <si>
    <t>IV Pumps for EH system</t>
  </si>
  <si>
    <t>Replacement of Hospira Symbiq infusion pumps</t>
  </si>
  <si>
    <t>SMMC ED Observation/BH rooms</t>
  </si>
  <si>
    <t>SMMC ED Observation/Behavioral Health rooms</t>
  </si>
  <si>
    <t>Birthplace Remodel</t>
  </si>
  <si>
    <t>Mark 7 Arterion Injection</t>
  </si>
  <si>
    <t>Relocate helipad from ground location to rooftop</t>
  </si>
  <si>
    <t>build hybrid operating room</t>
  </si>
  <si>
    <t>Regions hospital</t>
  </si>
  <si>
    <t>relocate to expand the employee clinic and fitness center</t>
  </si>
  <si>
    <t>renovate old inpatient unit to better serve ooutpatients</t>
  </si>
  <si>
    <t>renovate kitchen areas</t>
  </si>
  <si>
    <t>Stevens Community Medical  Center</t>
  </si>
  <si>
    <t>400 East 1st Street</t>
  </si>
  <si>
    <t>Replacement of out-dated operating room space.  Previous operating rooms were built in 1977.</t>
  </si>
  <si>
    <t>310 North Smith Ave</t>
  </si>
  <si>
    <t>Stereotactic Radiosurgery/Cyberknife</t>
  </si>
  <si>
    <t>The Mother Baby Center (TMBC) - St. Paul</t>
  </si>
  <si>
    <t>Nasseff Specialty Center - main component of this project will be construction.</t>
  </si>
  <si>
    <t>United Orthopedic Nursing Unit Remodel</t>
  </si>
  <si>
    <t>Replacement of 16-Slice CT at Unity Hospital</t>
  </si>
  <si>
    <t>Essentia Health Virginia, LLC</t>
  </si>
  <si>
    <t>901 9th St North</t>
  </si>
  <si>
    <t>Chiller Replacement</t>
  </si>
  <si>
    <t>Riverside NICU Remodel</t>
  </si>
  <si>
    <t>NICU Expansion and Remodel - Remodel existing UMMCH NICU facilities and add 13-bed expansion to 11th floor, East Building</t>
  </si>
  <si>
    <t>Bed Replacement, University of MN - University</t>
  </si>
  <si>
    <t>Replace 226 Beds at the University (52 Beds in the ICU and 174 Beds throughout the hospital).</t>
  </si>
  <si>
    <t>Chem Analyzer Replacement, University of MN - University</t>
  </si>
  <si>
    <t>Replacement of Chemistry analyzers at UMMC.</t>
  </si>
  <si>
    <t>Dual Console DaVinci Si, University of MN - University</t>
  </si>
  <si>
    <t>Purchase Dual Console DaVinci Si unit (and trade in S).</t>
  </si>
  <si>
    <t>Single Console Da Vinci, University of MN - University</t>
  </si>
  <si>
    <t>Purhasing a new Da Vinci Model Si robot system, after trading in Model S.</t>
  </si>
  <si>
    <t>Single and Dual Console DaVinci XI Units, University of MN - University</t>
  </si>
  <si>
    <t>Trade in recently purchased Si units (2) for (2) DaVinci Xi units.</t>
  </si>
  <si>
    <t>IR Replacement, University of MN - University</t>
  </si>
  <si>
    <t>Renovate two Exam Rooms, Physician Area and add second C-Arm for U of M Health East Hospital Interventional Imaging</t>
  </si>
  <si>
    <t>Maternal Fetal Medicine Clinic Remodel, University of MN - University</t>
  </si>
  <si>
    <t>Maternal Fetal Medicine Clinic Remodel</t>
  </si>
  <si>
    <t>Olympus Lease, University of MN - University</t>
  </si>
  <si>
    <t>Olympus Lease of equipment.</t>
  </si>
  <si>
    <t>Fairview Lakes Hospital CT</t>
  </si>
  <si>
    <t>5200 Fairview Blvd</t>
  </si>
  <si>
    <t>Fairview Lakes Hospital CT Replacement</t>
  </si>
  <si>
    <t>Fairview Lakes Hospital MRI</t>
  </si>
  <si>
    <t>Fairview Lakes additional MRI suite.</t>
  </si>
  <si>
    <t xml:space="preserve">201 9th Street West  </t>
  </si>
  <si>
    <t xml:space="preserve">201 9TH ST W, , </t>
  </si>
  <si>
    <t>Casey</t>
  </si>
  <si>
    <t>cjohnson2@riverwoodhealthcare.org</t>
  </si>
  <si>
    <t>jturner@riverwoodhealthcare.org</t>
  </si>
  <si>
    <t>Jim Tarasovitch</t>
  </si>
  <si>
    <t>Jon</t>
  </si>
  <si>
    <t>Kuhnau</t>
  </si>
  <si>
    <t>Corporate Accountant</t>
  </si>
  <si>
    <t>jlkuhnau@dchospital.com</t>
  </si>
  <si>
    <t xml:space="preserve">  </t>
  </si>
  <si>
    <t xml:space="preserve">1610 8th Ave. E.  </t>
  </si>
  <si>
    <t xml:space="preserve">3301 7th Avenue North  </t>
  </si>
  <si>
    <t>Ridgeview Sibley Medical Center</t>
  </si>
  <si>
    <t>VP Administrator</t>
  </si>
  <si>
    <t>Dr. Matthew Herold</t>
  </si>
  <si>
    <t>Essentia Health Northern Pines</t>
  </si>
  <si>
    <t>Olson</t>
  </si>
  <si>
    <t>Dan.Olson@Sanfordhealth.org</t>
  </si>
  <si>
    <t>Craig Boyer</t>
  </si>
  <si>
    <t>Sigelman</t>
  </si>
  <si>
    <t>jill.sigelman@claconnect.com</t>
  </si>
  <si>
    <t>Helean</t>
  </si>
  <si>
    <t>Robertson</t>
  </si>
  <si>
    <t>Kurt</t>
  </si>
  <si>
    <t>Waldbillig</t>
  </si>
  <si>
    <t>kwaldbillig@scbh.org</t>
  </si>
  <si>
    <t>Richard R. Horecka, MD</t>
  </si>
  <si>
    <t>Aaron</t>
  </si>
  <si>
    <t>Saude</t>
  </si>
  <si>
    <t>ASaude@bigforkvalley.org</t>
  </si>
  <si>
    <t xml:space="preserve">523 North Third Street    </t>
  </si>
  <si>
    <t>Rebecca Holcomb, MD</t>
  </si>
  <si>
    <t xml:space="preserve">523 N Third St, </t>
  </si>
  <si>
    <t xml:space="preserve">2400 St. Francis Drive    </t>
  </si>
  <si>
    <t>FISA Senior Analyst</t>
  </si>
  <si>
    <t>jessicacarlson@catholichealth.net</t>
  </si>
  <si>
    <t>4784 Amber Valley Parkway</t>
  </si>
  <si>
    <t xml:space="preserve">2400 ST FRANCIS DR, , , , </t>
  </si>
  <si>
    <t>Heather Johnson</t>
  </si>
  <si>
    <t>Dr. Christine Delmonico</t>
  </si>
  <si>
    <t>Belland</t>
  </si>
  <si>
    <t>pbellan2@fairview.org</t>
  </si>
  <si>
    <t>Director of Government Reimbursement</t>
  </si>
  <si>
    <t>Gary.Shaw@allina.com</t>
  </si>
  <si>
    <t>http://www.allinahealth.org/Cambridge-Medical-Center/</t>
  </si>
  <si>
    <t>Teresa</t>
  </si>
  <si>
    <t>Debevec</t>
  </si>
  <si>
    <t>www.allinahealth.org/Mercy-Hospital/</t>
  </si>
  <si>
    <t>kbauer@cuyunamed.org</t>
  </si>
  <si>
    <t>Essentia Health - Deer River</t>
  </si>
  <si>
    <t>Green</t>
  </si>
  <si>
    <t>Vuchetich</t>
  </si>
  <si>
    <t>Gunderson</t>
  </si>
  <si>
    <t>Deb.Gunderson@EssentiaHealth.org</t>
  </si>
  <si>
    <t>Jorgensen</t>
  </si>
  <si>
    <t>john.strange@slhduluth.com</t>
  </si>
  <si>
    <t>Nicholas Van Deelen</t>
  </si>
  <si>
    <t>chris.johnson@slhduluth.com</t>
  </si>
  <si>
    <t>Steven.Jorgensen@Essentiahealth.org</t>
  </si>
  <si>
    <t>Diane Del</t>
  </si>
  <si>
    <t>Santro</t>
  </si>
  <si>
    <t>Sr. Govt Analyst II</t>
  </si>
  <si>
    <t>ddelsan1@fairview.org</t>
  </si>
  <si>
    <t>Ely-Bloomenson Community Hospital</t>
  </si>
  <si>
    <t>Dr. Brian Bartlett</t>
  </si>
  <si>
    <t>Senior Financial Analyst</t>
  </si>
  <si>
    <t>Director - Finance</t>
  </si>
  <si>
    <t>Brett Longtin</t>
  </si>
  <si>
    <t xml:space="preserve">900 Hilligoss Blvd SE    </t>
  </si>
  <si>
    <t xml:space="preserve">900 Hilligoss Blvd SE, , , , </t>
  </si>
  <si>
    <t>Dr. Darren Swanson</t>
  </si>
  <si>
    <t xml:space="preserve">900 Hilligoss Blvd SE, </t>
  </si>
  <si>
    <t>Sybil</t>
  </si>
  <si>
    <t>Ona</t>
  </si>
  <si>
    <t>sybil.ona@allina.com</t>
  </si>
  <si>
    <t>www.allinahealth.org/Unity-Hospital</t>
  </si>
  <si>
    <t>Mitchell N. Palmer, M.D.</t>
  </si>
  <si>
    <t>10 4th Ave. SE</t>
  </si>
  <si>
    <t>Glenwood</t>
  </si>
  <si>
    <t>MarESmith@selectmedical.com</t>
  </si>
  <si>
    <t xml:space="preserve">1010 South Birch Avenue     </t>
  </si>
  <si>
    <t xml:space="preserve">220 South 6th Street Ste 300, , , </t>
  </si>
  <si>
    <t xml:space="preserve">1010 S Birch Ave, , </t>
  </si>
  <si>
    <t>Interim President</t>
  </si>
  <si>
    <t>http://www.allinahealth.org/Regina-Hospital/</t>
  </si>
  <si>
    <t>Dr. Rudy Alvey</t>
  </si>
  <si>
    <t xml:space="preserve">503 East Lincoln Street  </t>
  </si>
  <si>
    <t>Tabb McCluskey, DO</t>
  </si>
  <si>
    <t xml:space="preserve"> Dr. Davis Sand</t>
  </si>
  <si>
    <t>Fahd Arafat, MD</t>
  </si>
  <si>
    <t xml:space="preserve">621 South Fourth Street  </t>
  </si>
  <si>
    <t xml:space="preserve">621 South Fourth Street, , </t>
  </si>
  <si>
    <t xml:space="preserve">815 2nd Street Southeast    </t>
  </si>
  <si>
    <t>Boyles</t>
  </si>
  <si>
    <t>leeboyles@catholichealth.net</t>
  </si>
  <si>
    <t>Madelia Community Hospital, Inc.</t>
  </si>
  <si>
    <t>Regulatory &amp; Reimbursement Analyst</t>
  </si>
  <si>
    <t>Brian Bartlett</t>
  </si>
  <si>
    <t>Dr. Kevin</t>
  </si>
  <si>
    <t>Croston</t>
  </si>
  <si>
    <t>kevin.croston@northmemorial.com</t>
  </si>
  <si>
    <t>csele@gregbrockconsulting.com</t>
  </si>
  <si>
    <t>St. Michael</t>
  </si>
  <si>
    <t>jill.ross@northmemorial.com</t>
  </si>
  <si>
    <t>Julius</t>
  </si>
  <si>
    <t>Nammeh</t>
  </si>
  <si>
    <t>Fixed Asset/Lease Coordinator</t>
  </si>
  <si>
    <t>jnnammeh@healtheast.org</t>
  </si>
  <si>
    <t>Peyerl</t>
  </si>
  <si>
    <t>Finance Controller</t>
  </si>
  <si>
    <t>john.peyerl@avera.org</t>
  </si>
  <si>
    <t>http://www.allinahealth.org/Abbott-Northwestern-Hospital/</t>
  </si>
  <si>
    <t>Christopher Kapsner, MD</t>
  </si>
  <si>
    <t>James Miner, MD</t>
  </si>
  <si>
    <t>Bonar</t>
  </si>
  <si>
    <t>bob.bonar@childrensmn.org</t>
  </si>
  <si>
    <t>Jason.Maynard@allina.com</t>
  </si>
  <si>
    <t>http://www.allinahealth.org/Phillips-Eye-Institute/</t>
  </si>
  <si>
    <t>Sandy</t>
  </si>
  <si>
    <t>Trocke</t>
  </si>
  <si>
    <t>strocke@shrinenet.org</t>
  </si>
  <si>
    <t>mkendall@shrinenet.org</t>
  </si>
  <si>
    <t>Darlene</t>
  </si>
  <si>
    <t>hammerk@centracare.com</t>
  </si>
  <si>
    <t>Delfs</t>
  </si>
  <si>
    <t>Gordy Forbort</t>
  </si>
  <si>
    <t>Gordy</t>
  </si>
  <si>
    <t>www.allinahealth.org/New-Ulm-Medical-Center/</t>
  </si>
  <si>
    <t>Scott Edin</t>
  </si>
  <si>
    <t>www.mlhealth.org</t>
  </si>
  <si>
    <t>Dr. Allan Ross, MD</t>
  </si>
  <si>
    <t>Mark Gillen</t>
  </si>
  <si>
    <t>http://www.allinahealth.org/Owatonna-Hospital/</t>
  </si>
  <si>
    <t>CentraCare Health - Paynesville</t>
  </si>
  <si>
    <t xml:space="preserve">916 Fourth Ave S.W.  </t>
  </si>
  <si>
    <t>ryan.hill@pcmchealth.org</t>
  </si>
  <si>
    <t>916 Fourth Ave SW</t>
  </si>
  <si>
    <t xml:space="preserve">916 Fourth Ave. SW, </t>
  </si>
  <si>
    <t>Government Reimbursement Analysis</t>
  </si>
  <si>
    <t>Dr. Joshua Friese</t>
  </si>
  <si>
    <t>Don</t>
  </si>
  <si>
    <t>Pavelka</t>
  </si>
  <si>
    <t>dpavelka@olmmed.org</t>
  </si>
  <si>
    <t>Kenneth</t>
  </si>
  <si>
    <t>Ackerman</t>
  </si>
  <si>
    <t>Assoc - Administrator Hospital</t>
  </si>
  <si>
    <t>ackerman.kenneth@mayo.edu</t>
  </si>
  <si>
    <t>COO</t>
  </si>
  <si>
    <t>Michael.Hedrix@essentiahealth.org</t>
  </si>
  <si>
    <t>CentraCare Health - Sauk Centre</t>
  </si>
  <si>
    <t>Mike.McMahan@allina.com</t>
  </si>
  <si>
    <t>http://www.stfrancis-shakopee.com/</t>
  </si>
  <si>
    <t>Goebel</t>
  </si>
  <si>
    <t>goebeld@murraycountymed.org</t>
  </si>
  <si>
    <t>Dr. Peter Charvat</t>
  </si>
  <si>
    <t>barry.bahl@va.gov</t>
  </si>
  <si>
    <t>Joseph Schmitz</t>
  </si>
  <si>
    <t>Timothy</t>
  </si>
  <si>
    <t>Atchley</t>
  </si>
  <si>
    <t>timothy.atchley@va.gov</t>
  </si>
  <si>
    <t>Connelly</t>
  </si>
  <si>
    <t>CMO</t>
  </si>
  <si>
    <t>steven.connelly@parknicollet.com</t>
  </si>
  <si>
    <t>PO BOx 650</t>
  </si>
  <si>
    <t>Megan</t>
  </si>
  <si>
    <t>Remark</t>
  </si>
  <si>
    <t>megan.m.remark@healthpartners.com</t>
  </si>
  <si>
    <t>Kurt Isenberger, MD</t>
  </si>
  <si>
    <t>www.allinahealth.org/United-Hospital/</t>
  </si>
  <si>
    <t>Robert Christensen, MD</t>
  </si>
  <si>
    <t>Theodore</t>
  </si>
  <si>
    <t>Wegleitner</t>
  </si>
  <si>
    <t>Wayne</t>
  </si>
  <si>
    <t>Sr Financial Analyst</t>
  </si>
  <si>
    <t>nathan.p.wayne@healthpartners.com</t>
  </si>
  <si>
    <t>www.lakeviewhealth.org</t>
  </si>
  <si>
    <t>Michelle</t>
  </si>
  <si>
    <t>Kraft</t>
  </si>
  <si>
    <t>michelle.a.kraft@lakeview.org</t>
  </si>
  <si>
    <t>brian.carlson@sanfordhealth.org</t>
  </si>
  <si>
    <t>stacy.barstad@sanfordhealth.org</t>
  </si>
  <si>
    <t>Greg</t>
  </si>
  <si>
    <t>Ruberg</t>
  </si>
  <si>
    <t>Greg.Ruberg@slhduluth.com</t>
  </si>
  <si>
    <t>Laurie.Kragseth@slhduluth.com</t>
  </si>
  <si>
    <t xml:space="preserve">901 9th St. N.  </t>
  </si>
  <si>
    <t>Milbridge</t>
  </si>
  <si>
    <t>Brent</t>
  </si>
  <si>
    <t>Wordelman</t>
  </si>
  <si>
    <t>brent.wordelman@ridgeviewmedical.org</t>
  </si>
  <si>
    <t>Dr. David Larson</t>
  </si>
  <si>
    <t>Neubauer</t>
  </si>
  <si>
    <t>brian.neubauer@northvalleyhealth.org</t>
  </si>
  <si>
    <t>Borowski</t>
  </si>
  <si>
    <t>borowski.thomas@mayo.edu</t>
  </si>
  <si>
    <t>Dr. Garry Mislan</t>
  </si>
  <si>
    <t>Kenneth Flowe, MD</t>
  </si>
  <si>
    <t>Community Adolescent Behavioral Health Services</t>
  </si>
  <si>
    <t>Korey</t>
  </si>
  <si>
    <t>Boelter</t>
  </si>
  <si>
    <t>korey.boelter@claconnect.com</t>
  </si>
  <si>
    <t>Imaging Tech Salary 2178</t>
  </si>
  <si>
    <t>Imaging Tech FTE 2188</t>
  </si>
  <si>
    <t>All Other Patient Specialists</t>
  </si>
  <si>
    <t>This information is provided for reference only. The following Capital Expenditure Commitments have been previously reported by your facility and do not need to be re-reported on the 2016 HAR unless there has been a significant change to the project in scope and/or budget. If you have questions about this information please contact health.hccis@state.mn.us.</t>
  </si>
  <si>
    <t>If an update to the project listed below is being reported on the 2016 HAR please include the MDH Reference ID in the Title and General Description narrative portion of the 2016 HAR. Report only additional commitment dollars and the explanation for the change to the project.</t>
  </si>
  <si>
    <t>This worksheet has been provided to aid in the completion of the HAR 2016.  Utilizing this worksheet is not required, but may assist in expediting the audit process.</t>
  </si>
  <si>
    <t>BROOKLYN PARK</t>
  </si>
  <si>
    <t>9400 Zane Ave N</t>
  </si>
  <si>
    <t>Upgrade Siemens Trio 3T MRI to Prisma Fit</t>
  </si>
  <si>
    <t>2855 Campus Drive, Suite 325</t>
  </si>
  <si>
    <t>ANGMA WestHealth Expansion</t>
  </si>
  <si>
    <t>EP3 Replacement/Upgrade</t>
  </si>
  <si>
    <t>Minnesota Perinatal Physicians and Midwest Fetal Care Center Clinic Minneap</t>
  </si>
  <si>
    <t>902 E 26th Street, Suite 1700</t>
  </si>
  <si>
    <t>Relocate and expand the Minneapolis based Perinatal and Fetal care clinic</t>
  </si>
  <si>
    <t>Nuclear Medicine Camera replacement</t>
  </si>
  <si>
    <t>2855 Campus Drive, Suite 200</t>
  </si>
  <si>
    <t>CT Scanner replacement</t>
  </si>
  <si>
    <t>Replacement of Cath Lab equipment in CV8</t>
  </si>
  <si>
    <t>Abbott Northwestern Hospital-CKRI St. Croix-Stillwater</t>
  </si>
  <si>
    <t>1460 Curve Crest Blvd</t>
  </si>
  <si>
    <t>Renovation of Courage Kenny Rehabilitation Institute -St. Croix Stillwater</t>
  </si>
  <si>
    <t>Force CT Scanner</t>
  </si>
  <si>
    <t>2855 Campus Drive, Suite 660</t>
  </si>
  <si>
    <t>ANW Relocation of Adolescent Partial Hospital program and creation of ANW Mental Clinic on WestHealth Campus</t>
  </si>
  <si>
    <t>Emergency Department Remodel</t>
  </si>
  <si>
    <t>Riverwood Healthcare Center</t>
  </si>
  <si>
    <t>Excellian/Epic computer system implementation</t>
  </si>
  <si>
    <t>303 Catlin</t>
  </si>
  <si>
    <t>CT Scanner</t>
  </si>
  <si>
    <t>Canby Community Hospital District #1</t>
  </si>
  <si>
    <t>112 St. Olaf Ave S.</t>
  </si>
  <si>
    <t>CANBY, MN 56220</t>
  </si>
  <si>
    <t>Sanford Canby Medical Center Emergency and Outpatient Services Expansion and RenovationThe project consists of a 4,800 square feet addition and a remodel of 2,000 square feet of existing space.</t>
  </si>
  <si>
    <t>North Shore Health</t>
  </si>
  <si>
    <t>515 5th Avenue West</t>
  </si>
  <si>
    <t>North Shore Health Building Expansion and Renovation - Expand and renovate building to include single rooms with private bathrooms for Hospital inpatientsand care center residents, modify ER from one open room with curtain dividers to 4 private rooms, increasing space for outpatient services, addition of flexible space for procedures/surgeries.</t>
  </si>
  <si>
    <t>MCHS - Fairmont - ED Expansion and Renovation</t>
  </si>
  <si>
    <t>Title: Expansion and renovation of the emergency department.  The project wil remodel 3,100 square feet of existing space in the emergency room that has not seen a substantial remodeling in the last 15 years.  The project will also add 4,800 of new square feet to the emergency room.</t>
  </si>
  <si>
    <t>Southdale Hospital-Replacement of FSH's Imaging IR2-CV Service</t>
  </si>
  <si>
    <t>Replacement of Interventional Radiology Room 2 (IR2) Equipment and Room Update at Fairview Southdale Hospital.</t>
  </si>
  <si>
    <t>Southdale Hospital - Replace and updgrade Southdale CV Cath Lab</t>
  </si>
  <si>
    <t>This project includes replacement of the invasive imaging equipment, surgical lights, support equipment like displays and electrical/medical gas boom plus construction.</t>
  </si>
  <si>
    <t>Southdale Hospital - daVinci XI Robotic Surgical System</t>
  </si>
  <si>
    <t>Replacement of daVinci XI Robotic Surgical System at Fairview Southdale Hospital.</t>
  </si>
  <si>
    <t>1400 Hwy 71</t>
  </si>
  <si>
    <t>INTERNATIONAL FALLS, MN 56649</t>
  </si>
  <si>
    <t>Hospital Renovation - Med Surg floor, Surgical Services, Registration, Lobby, ED waiting area; project includes patient care services as well as non-patient care services.</t>
  </si>
  <si>
    <t>Therapy Relocation and expansion as well as Mechanical/Electrical/Plumbing Upgrades.  The project includes patient care services as well as non-patient care services.</t>
  </si>
  <si>
    <t>Main Campus - 4th Floor Space</t>
  </si>
  <si>
    <t>Main Campus - IP Unit</t>
  </si>
  <si>
    <t>435 Phalen Blvd. East</t>
  </si>
  <si>
    <t>435 Phalen Rehab</t>
  </si>
  <si>
    <t>10 River Park Plaza</t>
  </si>
  <si>
    <t>River Plaza Rehab</t>
  </si>
  <si>
    <t>1805 Hennepin Avenue North</t>
  </si>
  <si>
    <t>Third Floor Addition.  The addition will add approx 13,400 square feet to the existinghospital.</t>
  </si>
  <si>
    <t>Servers and Storage Additions</t>
  </si>
  <si>
    <t>Network Infrastructure Upgrade</t>
  </si>
  <si>
    <t>EPIC Server Upgrade</t>
  </si>
  <si>
    <t>ED Triage Area Remodel</t>
  </si>
  <si>
    <t>701 Parks Ave. S.</t>
  </si>
  <si>
    <t>HCMC Level 1 Trauma Center Helipad</t>
  </si>
  <si>
    <t>Mayo Clinic Enterprise Wide</t>
  </si>
  <si>
    <t>Multiple</t>
  </si>
  <si>
    <t>Plummer Project (EPIC) - Electronic Medical/Health Record (EMR)</t>
  </si>
  <si>
    <t>Incremental MRI Scanner</t>
  </si>
  <si>
    <t>1025 Marsh St</t>
  </si>
  <si>
    <t>Title :  Incremental MRI scanner.  This project involves building an addition to the hospital facility to house a 3 Tesla MRI scanner.  The addition will be built in the courtyard between the cafeteria building and the radiology department.  A new patient changing room will be built in existing HIM space.To conserve space and maximize staffing, the two MRI suites will share a single control room.</t>
  </si>
  <si>
    <t>Inpatient Behavioral Health Unit Remodeling</t>
  </si>
  <si>
    <t>Title is Inpatient behavioral health remodeling.  This project consists of remodeling the Mankato Inpatient Behavioral Health Unit to update the unit to current standards.</t>
  </si>
  <si>
    <t xml:space="preserve">Lake Region Hospital and Nursing Home </t>
  </si>
  <si>
    <t>927 West Churchill Street</t>
  </si>
  <si>
    <t>Women's Center Space Remodel</t>
  </si>
  <si>
    <t>Same day surgery/PACU upgrade.</t>
  </si>
  <si>
    <t>612 S Sibley Avenue</t>
  </si>
  <si>
    <t>Third Floor Renovations:the Behavioral Health Remodel is a 6400 SF remodel of and expansion to the existing behavioral health unit. The scope of work includes a rearrangement of spaces and update to outdated equipment, facilities and finishes as well as a mechanical systems upgrade.</t>
  </si>
  <si>
    <t>North Metro Reconfiguration</t>
  </si>
  <si>
    <t>TMBC phase II build out</t>
  </si>
  <si>
    <t>Methodist Hospital Heart and Vascular Center</t>
  </si>
  <si>
    <t>Methodist Hospital Heart and Vascular Center Electrophysiology Room 2 Equipment Replacement</t>
  </si>
  <si>
    <t>Mayo Clinic Health System - Albert Lea and Austin</t>
  </si>
  <si>
    <t>MCHS - Albert Lea and Austin</t>
  </si>
  <si>
    <t>404 West Fountain Street</t>
  </si>
  <si>
    <t>ALBERT LEA, MN</t>
  </si>
  <si>
    <t>Purchase of a replacement MRI scanner and construction costs</t>
  </si>
  <si>
    <t>New MRI Purchase</t>
  </si>
  <si>
    <t>Central Patient Monitoring System</t>
  </si>
  <si>
    <t>Title: PMO - Central Patient Monitoring System Project. The current patient monitoring network infrastructure hardware and software (Windows XP) versions are at the end of life. Upgrade and replacement of hardware and software is required.</t>
  </si>
  <si>
    <t>Hill Rom Beds</t>
  </si>
  <si>
    <t>3300 Oakdale Avenue North</t>
  </si>
  <si>
    <t>Hill Rom Patient Beds:  Purchased patient beds to replace older beds.</t>
  </si>
  <si>
    <t>Cath Lab 1, 2, 3, &amp; 4, Equip Replacement</t>
  </si>
  <si>
    <t>North Memorial Medical Center.  3300 Oakdale Avenue North</t>
  </si>
  <si>
    <t>ROBBINSDALE, MN</t>
  </si>
  <si>
    <t>Replacement or upgrade of Imagine equipment in rooms CVL 1, 2, 3 and 4 to Philips XPER CLARITY software, unistrut recertification, submission of radiation shielding plan.   Addition of new Philips ultrasound.  Addition of Zero Gravity.   In room CVL 4 replaced and FD10 with and FD20 to support increased peripheral and structural heart procedures.</t>
  </si>
  <si>
    <t>Ambulance Replacement</t>
  </si>
  <si>
    <t>4501 68th Av N</t>
  </si>
  <si>
    <t>BROOKLYN CENTER</t>
  </si>
  <si>
    <t>New Hope Clinic</t>
  </si>
  <si>
    <t>8100 42nd Ave</t>
  </si>
  <si>
    <t>NEW HOPE, MN 55428</t>
  </si>
  <si>
    <t>Build out of New Primary Care Clinic</t>
  </si>
  <si>
    <t>Minnetonka Medical Center</t>
  </si>
  <si>
    <t>15450 Minnesota 7, Suite #100</t>
  </si>
  <si>
    <t>MINNETONKA</t>
  </si>
  <si>
    <t>Minnetonka Medical Center Imaging:  MRI was installed</t>
  </si>
  <si>
    <t>PCMC Expansion Project</t>
  </si>
  <si>
    <t>916 4th Ave SW</t>
  </si>
  <si>
    <t>PIPESTONE, MN</t>
  </si>
  <si>
    <t>PCMC Expansion Project consist of two phases.  The first phase involves construction of a newclinic.  The second phase consists of construction of a new inpatient wing.  The construction bid is $23,323,000.  The total costs including architect fees, equipment and financing costs will be approximately $31,000,000.</t>
  </si>
  <si>
    <t>1175 Nininger Road</t>
  </si>
  <si>
    <t>CT Replacement</t>
  </si>
  <si>
    <t>RC Hospital and Clinics</t>
  </si>
  <si>
    <t>100 Healthy Way</t>
  </si>
  <si>
    <t>Added Fixed MRI Scanner</t>
  </si>
  <si>
    <t>200 State Avenue</t>
  </si>
  <si>
    <t>Clinic Renovation.  The clinic space is owned by LifeCare Medical Center however it is leased to an unrelated party, Altru Health Systems.</t>
  </si>
  <si>
    <t>Replacement of CT Scanner</t>
  </si>
  <si>
    <t>Courage Kenny Rehab Institute Renovation and Expansion</t>
  </si>
  <si>
    <t>400 4th Ave NW</t>
  </si>
  <si>
    <t>SLEEPY EYE, MN</t>
  </si>
  <si>
    <t>Meditech EMR System &amp; Implementation</t>
  </si>
  <si>
    <t>Goredcki Guest House Addition.  Adding 16 new rooms to patient guest house.</t>
  </si>
  <si>
    <t>Telemetry Remodel.  Converting 16 semi private rooms to private room om south end of hospital.</t>
  </si>
  <si>
    <t>First Floor Addition/Emergency Trauma Center Remodel</t>
  </si>
  <si>
    <t>In-Patient Pharmacy Remodel</t>
  </si>
  <si>
    <t>Hospital expansion at front entrance</t>
  </si>
  <si>
    <t>Relocate Post Anesthesia Care Unit (PACU)</t>
  </si>
  <si>
    <t>Sterile Processing Department (SPD) Facility Relocation &amp; Equipment Upgrades</t>
  </si>
  <si>
    <t>Remodel Birthing Center Suites</t>
  </si>
  <si>
    <t>MULTPILE</t>
  </si>
  <si>
    <t>Plummer Project (EPIC) - Electronic Mdical/Health Record (EMR)</t>
  </si>
  <si>
    <t>Eisenberg Building</t>
  </si>
  <si>
    <t>7R150670 Eisenberg Building 7th Floor Renovation</t>
  </si>
  <si>
    <t>Mary Brigh</t>
  </si>
  <si>
    <t>7R150830 Mary Brigh East Tower Additional Floors</t>
  </si>
  <si>
    <t>Jacobson Building</t>
  </si>
  <si>
    <t>190 Secibd Street NW</t>
  </si>
  <si>
    <t>7R151060 Jacobson Building Operating Rooms</t>
  </si>
  <si>
    <t>Mary Bright Building</t>
  </si>
  <si>
    <t>7R150570 Mary Brigh East Operating Rooms</t>
  </si>
  <si>
    <t>Eisenbert Building</t>
  </si>
  <si>
    <t>7R140230 Eisenberg 10-3 Intensive Care Unit</t>
  </si>
  <si>
    <t>Francis Building</t>
  </si>
  <si>
    <t>7R151150 Patient Lifts Installation for Francis 5C</t>
  </si>
  <si>
    <t>CPC2014398 DaVinici XI System</t>
  </si>
  <si>
    <t>Endoscopes/Single Balloon Videoscope</t>
  </si>
  <si>
    <t>Olympus 190 series Endoscopes/Single Balloon Videoscope</t>
  </si>
  <si>
    <t>Cath Lab Equipment Replacement</t>
  </si>
  <si>
    <t>Cath Lab rooms equipment replacement</t>
  </si>
  <si>
    <t>Centracare Health System - Sauk Centre</t>
  </si>
  <si>
    <t>425 Elm St N</t>
  </si>
  <si>
    <t>SAUK CENTRE, MN 56378</t>
  </si>
  <si>
    <t>We will be building a 7600 square foot addition to our clinic which will contain 15 exam rooms 2 procedure rooms and 5 physician offices along with waiting areas and work areas</t>
  </si>
  <si>
    <t>replace ventilator fleet</t>
  </si>
  <si>
    <t>replace ventilators</t>
  </si>
  <si>
    <t>update observation unit</t>
  </si>
  <si>
    <t>Distinct observation unit</t>
  </si>
  <si>
    <t>remodel Er crisis unit</t>
  </si>
  <si>
    <t>remodel Pod G</t>
  </si>
  <si>
    <t>replace linear accelerator</t>
  </si>
  <si>
    <t>Image center and Rehad at neuroscience building</t>
  </si>
  <si>
    <t>295 phalen blvd</t>
  </si>
  <si>
    <t>build new imaging and rehab center</t>
  </si>
  <si>
    <t>New cath lab</t>
  </si>
  <si>
    <t>new cath lab</t>
  </si>
  <si>
    <t>Replace Biplane imaging table</t>
  </si>
  <si>
    <t>SAINT PAULL</t>
  </si>
  <si>
    <t>Replace biplane table in interventional radiology</t>
  </si>
  <si>
    <t>Contruction and equipment for Ambulance arrival</t>
  </si>
  <si>
    <t>7th Floor Spine and Med/Surg remodel</t>
  </si>
  <si>
    <t>United Xi daVinci robot and trade-in of River Falls robot</t>
  </si>
  <si>
    <t>Purchase 1.5T MRI for imaging department.  United Medical Imaging - 2nd MRI (1.5T) Project</t>
  </si>
  <si>
    <t>Replace 4 slice CT with multi-slice CT</t>
  </si>
  <si>
    <t>United Hospital Medical Imaging - Apple Valley</t>
  </si>
  <si>
    <t>14655 Galaxie Avenue</t>
  </si>
  <si>
    <t>APPLE VALLEY</t>
  </si>
  <si>
    <t>Relocate the Abbott Heart Hospital MRI to United Hospital - Apple Valley Imaging</t>
  </si>
  <si>
    <t>Title Hubbard 2 Replacement of X-Ray equipment in the CV Lab procedure room Hubbard 2-</t>
  </si>
  <si>
    <t>Same Day Surgery Center</t>
  </si>
  <si>
    <t>500 S Maple St</t>
  </si>
  <si>
    <t>Ridgeview Same Day Surgery Center remodel.  Ridgeview has commited funds to remodel and renovate the same day surgery center within the hospital.</t>
  </si>
  <si>
    <t>2150 Hospital Drive PO Box 339</t>
  </si>
  <si>
    <t>Surgery Department and Outreach Clinic Building</t>
  </si>
  <si>
    <t>UMMC Labor Delivery and NICU Modernization</t>
  </si>
  <si>
    <t>Labor, Delivery, and NICU Modernization of the 7th Floor South Bldg and the 4th Floor NICU East Bldg, both on the West Bank.</t>
  </si>
  <si>
    <t>Minneapolis VAMC</t>
  </si>
  <si>
    <t>Ortho Expansion and Renovation</t>
  </si>
  <si>
    <t>Construct Clinic Space, Phase I</t>
  </si>
  <si>
    <t>IT Infrastructure Improvements</t>
  </si>
  <si>
    <t>MINNEAPOLIS VAMC</t>
  </si>
  <si>
    <t>Upgrade Air Handling Equipment</t>
  </si>
  <si>
    <t>Realign Rad Onc</t>
  </si>
  <si>
    <t>Minneapolis VA Medical Center</t>
  </si>
  <si>
    <t>Renovate to Create Hybrid OR</t>
  </si>
  <si>
    <t>Furnishing, fixtures, and equipment for 50-bed hospital licensed 9/8/15; replaces 30-bed hospital</t>
  </si>
  <si>
    <t>NULL</t>
  </si>
  <si>
    <t>Mgr - Controller</t>
  </si>
  <si>
    <t>Essentia Health</t>
  </si>
  <si>
    <t>Dr. Darrin Swanson</t>
  </si>
  <si>
    <t>Ryan.hill@essentiahealth.org</t>
  </si>
  <si>
    <t>1027 Washington Ave</t>
  </si>
  <si>
    <t>Detroit Lakes</t>
  </si>
  <si>
    <t xml:space="preserve">200 Bunker Hill Drive      </t>
  </si>
  <si>
    <t xml:space="preserve">200 Bunker Hill Drive, </t>
  </si>
  <si>
    <t xml:space="preserve">200 Bunker Hill Drive, , , , , </t>
  </si>
  <si>
    <t xml:space="preserve">200 Bunker Hill Drive, , ,, , </t>
  </si>
  <si>
    <t xml:space="preserve">815 2nd Street SE, , , , </t>
  </si>
  <si>
    <t xml:space="preserve">404 W. Fountain Street   </t>
  </si>
  <si>
    <t xml:space="preserve">200 First Street SW,, </t>
  </si>
  <si>
    <t xml:space="preserve">111 E. 17th Avenue  </t>
  </si>
  <si>
    <t>Johnston</t>
  </si>
  <si>
    <t>nancy.a.johnston@state.mn.us</t>
  </si>
  <si>
    <t>lzook@rehc.org</t>
  </si>
  <si>
    <t>1900 N Sunrise Dr</t>
  </si>
  <si>
    <t>shirley.jacobson@state.mn.us</t>
  </si>
  <si>
    <t xml:space="preserve">400 Annandale Blvd  </t>
  </si>
  <si>
    <t xml:space="preserve">30 South Behl Street      </t>
  </si>
  <si>
    <t xml:space="preserve">30 S Behl St., , , , </t>
  </si>
  <si>
    <t xml:space="preserve">601 West Chandler Street     </t>
  </si>
  <si>
    <t xml:space="preserve">601 W CHANDLER ST, , , ,, , </t>
  </si>
  <si>
    <t xml:space="preserve">5211 Highway 110  </t>
  </si>
  <si>
    <t>Administrator/COO</t>
  </si>
  <si>
    <t>laura.ackman@essentiahealth.org</t>
  </si>
  <si>
    <t>Accounting Analyst I</t>
  </si>
  <si>
    <t>Michael.Vuchetich@essentiahealth.org</t>
  </si>
  <si>
    <t xml:space="preserve">532 E. First Street, </t>
  </si>
  <si>
    <t>essentiahealth.org</t>
  </si>
  <si>
    <t xml:space="preserve">Rachel.Plesha@EssentiaHealth.org </t>
  </si>
  <si>
    <t>Accounting Analyst II</t>
  </si>
  <si>
    <t xml:space="preserve">Laura.Carlson@EssentiaHealth.org </t>
  </si>
  <si>
    <t xml:space="preserve">203 Fourth Street NW      </t>
  </si>
  <si>
    <t xml:space="preserve">220 S. 6th Street, Suite 300, </t>
  </si>
  <si>
    <t>helean.robertson@sanfordhealth.org</t>
  </si>
  <si>
    <t>jane.miller@sanfordhealth.org</t>
  </si>
  <si>
    <t xml:space="preserve">600 Main Ave. South     </t>
  </si>
  <si>
    <t>ben.koppelman@catholichealth.net</t>
  </si>
  <si>
    <t xml:space="preserve">109 North Main Street, </t>
  </si>
  <si>
    <t>600 Main Ave. South</t>
  </si>
  <si>
    <t>Baudette</t>
  </si>
  <si>
    <t xml:space="preserve">14241 Grand Oaks Drive  </t>
  </si>
  <si>
    <t xml:space="preserve">1300 Anne Street NW    </t>
  </si>
  <si>
    <t>Joseph Corser, MD</t>
  </si>
  <si>
    <t xml:space="preserve">800 Bemidji Avenue North, Suite 200  </t>
  </si>
  <si>
    <t xml:space="preserve">1815 Wisconsin Avenue </t>
  </si>
  <si>
    <t>Finance Director Senior Services</t>
  </si>
  <si>
    <t xml:space="preserve">1815 Wisconsin Ave., , , , , </t>
  </si>
  <si>
    <t>Enderson</t>
  </si>
  <si>
    <t>denderson@scbh.org</t>
  </si>
  <si>
    <t xml:space="preserve">258 Pinetree Drive    </t>
  </si>
  <si>
    <t>258 PINETREE DR, PO Box 258, PO Box 258</t>
  </si>
  <si>
    <t xml:space="preserve">515 S. Moore St.     </t>
  </si>
  <si>
    <t>rickash@uhd.org</t>
  </si>
  <si>
    <t>Patrick Justin</t>
  </si>
  <si>
    <t xml:space="preserve">515 S Moore Street, P.O. Box 160, , </t>
  </si>
  <si>
    <t>Justin</t>
  </si>
  <si>
    <t>pjustin@uhd.org</t>
  </si>
  <si>
    <t>President Essentia Health Central Region</t>
  </si>
  <si>
    <t xml:space="preserve">109 North Main St, , </t>
  </si>
  <si>
    <t>Associate Accounting SR</t>
  </si>
  <si>
    <t>kimberly.welliver@essentiahealth.org</t>
  </si>
  <si>
    <t>Cynthia Thormodson</t>
  </si>
  <si>
    <t>Oberstar, Md</t>
  </si>
  <si>
    <t>joberstar@prairie-care.com</t>
  </si>
  <si>
    <t>Randy Drager</t>
  </si>
  <si>
    <t>Drager</t>
  </si>
  <si>
    <t>rdrager@prairie-care.com</t>
  </si>
  <si>
    <t>9400 Zane Ave</t>
  </si>
  <si>
    <t>Brooklyn Park</t>
  </si>
  <si>
    <t>www.prairie-care.com</t>
  </si>
  <si>
    <t>Joel Oberstar, MD</t>
  </si>
  <si>
    <t xml:space="preserve">303 Catlin Street    </t>
  </si>
  <si>
    <t>Milbrandt</t>
  </si>
  <si>
    <t>steven.milbrandt@allina.com</t>
  </si>
  <si>
    <t xml:space="preserve">PO Box 43, Mail Route 10809, </t>
  </si>
  <si>
    <t>www.allinahealth.org/buffalo-hospital</t>
  </si>
  <si>
    <t>MR 10809 P.O.Box 43</t>
  </si>
  <si>
    <t xml:space="preserve">201 East Nicollet Boulevard    </t>
  </si>
  <si>
    <t xml:space="preserve">400 Stinson Blvd. NE, , , , , </t>
  </si>
  <si>
    <t>Sr Financial Analyst II</t>
  </si>
  <si>
    <t xml:space="preserve">701 Dellwood Street South   </t>
  </si>
  <si>
    <t xml:space="preserve">P.O. Box 43, Mail Route 10809, </t>
  </si>
  <si>
    <t xml:space="preserve">112 Saint Olaf Avenue South  </t>
  </si>
  <si>
    <t xml:space="preserve">112 SAINT OLAF AVE S, , </t>
  </si>
  <si>
    <t xml:space="preserve">32021 County 24 Boulevard </t>
  </si>
  <si>
    <t xml:space="preserve">200 1st St SW, , , , </t>
  </si>
  <si>
    <t xml:space="preserve">32021 County 24 Boulevard, </t>
  </si>
  <si>
    <t xml:space="preserve">512 Skyline Boulevard     </t>
  </si>
  <si>
    <t xml:space="preserve">512 SKYLINE BLVD, , , , , </t>
  </si>
  <si>
    <t xml:space="preserve">10 5th St SE    </t>
  </si>
  <si>
    <t>tdebevec@cook.sisunet.org</t>
  </si>
  <si>
    <t xml:space="preserve">10 5th St SE, , </t>
  </si>
  <si>
    <t>Mathew Holmes, MD</t>
  </si>
  <si>
    <t xml:space="preserve">4050 Coon Rapids Blvd. NW    </t>
  </si>
  <si>
    <t xml:space="preserve">MR 10809, P.O. Box 43, </t>
  </si>
  <si>
    <t xml:space="preserve">323 South Minnesota Street      </t>
  </si>
  <si>
    <t>323 S Minnesota Street</t>
  </si>
  <si>
    <t xml:space="preserve">320 East Main Street  </t>
  </si>
  <si>
    <t>John H.</t>
  </si>
  <si>
    <t xml:space="preserve">320 East Main Street, , </t>
  </si>
  <si>
    <t>Paul Allegra</t>
  </si>
  <si>
    <t xml:space="preserve">1282 Walnut Street      </t>
  </si>
  <si>
    <t>Stacey</t>
  </si>
  <si>
    <t>slee@jmhsmn.org</t>
  </si>
  <si>
    <t xml:space="preserve">1282 Walnut Street, , </t>
  </si>
  <si>
    <t>Jacob</t>
  </si>
  <si>
    <t>Redepenning</t>
  </si>
  <si>
    <t>jredepenning@jmhsmn.org</t>
  </si>
  <si>
    <t xml:space="preserve">115 10th Ave NE   </t>
  </si>
  <si>
    <t>Marsha</t>
  </si>
  <si>
    <t>Marsha.Green@EssentiaHealth.org</t>
  </si>
  <si>
    <t>Adamich</t>
  </si>
  <si>
    <t>tim.adamich@essentiahealth.org</t>
  </si>
  <si>
    <t>Steven Pitschka, MD</t>
  </si>
  <si>
    <t>Essentia Health St. Mary's - Detroit Lakes</t>
  </si>
  <si>
    <t xml:space="preserve">1027 Washington Avenue   </t>
  </si>
  <si>
    <t xml:space="preserve">502 E. Second Street  </t>
  </si>
  <si>
    <t>Steven.Jorgensen@EssentiaHealth.org</t>
  </si>
  <si>
    <t xml:space="preserve">532 E 1st St, </t>
  </si>
  <si>
    <t xml:space="preserve">915 East 1st Street  </t>
  </si>
  <si>
    <t xml:space="preserve">915 E 1ST ST, , </t>
  </si>
  <si>
    <t>Carl-Medlin</t>
  </si>
  <si>
    <t xml:space="preserve">407 East Third Street  </t>
  </si>
  <si>
    <t>Deanna.Kolanczyk@essentiahealth.org</t>
  </si>
  <si>
    <t xml:space="preserve"> </t>
  </si>
  <si>
    <t xml:space="preserve">6401 France Avenue South    </t>
  </si>
  <si>
    <t xml:space="preserve">1411 HIGHWAY 79 E </t>
  </si>
  <si>
    <t>Lawrence</t>
  </si>
  <si>
    <t>Blue</t>
  </si>
  <si>
    <t>lblue@prairiehealth.org</t>
  </si>
  <si>
    <t xml:space="preserve">4310 17th Ave S, , </t>
  </si>
  <si>
    <t>Lake Region Healthcare - Fergus Falls</t>
  </si>
  <si>
    <t xml:space="preserve">1411 HIGHWAY 79 E, </t>
  </si>
  <si>
    <t xml:space="preserve">328 West Conan Street     </t>
  </si>
  <si>
    <t xml:space="preserve">328 West Conan Street, , , , , </t>
  </si>
  <si>
    <t>Rice, Sam P MD</t>
  </si>
  <si>
    <t xml:space="preserve">800 Medical Center Drive     </t>
  </si>
  <si>
    <t>800 Medical Center Drive, PO Box 800, PO Box 800</t>
  </si>
  <si>
    <t xml:space="preserve">200 State Avenue     </t>
  </si>
  <si>
    <t>Stephen.Pribyl@allina.com</t>
  </si>
  <si>
    <t>www.allinahealth.org/District-One-Hospital</t>
  </si>
  <si>
    <t>Katie Vogt, MD</t>
  </si>
  <si>
    <t xml:space="preserve">712 South Cascade </t>
  </si>
  <si>
    <t xml:space="preserve">1801 West Aicott Avenue  </t>
  </si>
  <si>
    <t>Essentia Health - Fosston</t>
  </si>
  <si>
    <t xml:space="preserve">550 Osborne Road NE    </t>
  </si>
  <si>
    <t xml:space="preserve">1805 Hennepin Avenue N      </t>
  </si>
  <si>
    <t xml:space="preserve">1805 Hennepin Ave. N., , , ,, , </t>
  </si>
  <si>
    <t>kirk.stensrud@glacialridge.org</t>
  </si>
  <si>
    <t>sue.ankeny@rsmus.com</t>
  </si>
  <si>
    <t xml:space="preserve">605 N Hood St, , </t>
  </si>
  <si>
    <t>10 4th Ave. SE, PO Box 160</t>
  </si>
  <si>
    <t xml:space="preserve">1300 Hidden Lakes Parkway      </t>
  </si>
  <si>
    <t>Cannon</t>
  </si>
  <si>
    <t>mcannon@selectmedical.com</t>
  </si>
  <si>
    <t xml:space="preserve">4714 Gettysburg Road, , </t>
  </si>
  <si>
    <t xml:space="preserve">115 West 2nd Street  </t>
  </si>
  <si>
    <t>Rosenberg</t>
  </si>
  <si>
    <t>julie.rosenberg@essentiahealth.org</t>
  </si>
  <si>
    <t>Amanda</t>
  </si>
  <si>
    <t>Groebner</t>
  </si>
  <si>
    <t>amanda.groebner@essentiahealth.org</t>
  </si>
  <si>
    <t>115 West 2nd Street</t>
  </si>
  <si>
    <t xml:space="preserve">515 - 5TH AVENUE WEST    </t>
  </si>
  <si>
    <t>kimber.wraalstad@northshorehealthgm.org</t>
  </si>
  <si>
    <t>vera.schumann@northshorehealthgm.org</t>
  </si>
  <si>
    <t>kelly.swearingen@northshorehealthgm.org</t>
  </si>
  <si>
    <t xml:space="preserve">1601 Golf Course Road   </t>
  </si>
  <si>
    <t>Mike.Youso@granditasca.org</t>
  </si>
  <si>
    <t xml:space="preserve">1601 Golf Course Rd, </t>
  </si>
  <si>
    <t>Dr. Paul Palecek, M.D.</t>
  </si>
  <si>
    <t>Corey</t>
  </si>
  <si>
    <t>Interim Controller</t>
  </si>
  <si>
    <t>corey.smith@granditasca.org</t>
  </si>
  <si>
    <t>111 SE Third Street</t>
  </si>
  <si>
    <t xml:space="preserve">345 Tenth Avenue    </t>
  </si>
  <si>
    <t>Kooiman</t>
  </si>
  <si>
    <t>tom.kooiman@granitefallshealthcare.com</t>
  </si>
  <si>
    <t xml:space="preserve">345 Tenth Avenue, , , , , </t>
  </si>
  <si>
    <t>Urbaniak</t>
  </si>
  <si>
    <t>cindy.urbaniak@kmhc.net</t>
  </si>
  <si>
    <t>Elizabeth LaPlant</t>
  </si>
  <si>
    <t>Kayla</t>
  </si>
  <si>
    <t>Disch</t>
  </si>
  <si>
    <t>Senior</t>
  </si>
  <si>
    <t>kayla.disch@claconnect.com</t>
  </si>
  <si>
    <t xml:space="preserve">220 South 6th Street Ste 300, ,, </t>
  </si>
  <si>
    <t>LaPlant</t>
  </si>
  <si>
    <t>liz.laplant@kmhc.net</t>
  </si>
  <si>
    <t xml:space="preserve">1175 Nininger Road     </t>
  </si>
  <si>
    <t>thomas.thompson@allina.com</t>
  </si>
  <si>
    <t>Karen Gustafson- Interim CFO</t>
  </si>
  <si>
    <t>Julie Hogie, Business Office Manager</t>
  </si>
  <si>
    <t xml:space="preserve">750 East 34th Street    </t>
  </si>
  <si>
    <t xml:space="preserve">400 Stinson Blvd NE  3rd floor, , </t>
  </si>
  <si>
    <t xml:space="preserve">750 East 34th Street, , </t>
  </si>
  <si>
    <t xml:space="preserve">1095 Highway 15 South     </t>
  </si>
  <si>
    <t xml:space="preserve">1095 Highway 15 South, , , , </t>
  </si>
  <si>
    <t xml:space="preserve">1095 Highway 15 South,, , , </t>
  </si>
  <si>
    <t xml:space="preserve">1400 Highway 71    </t>
  </si>
  <si>
    <t>Bonnie</t>
  </si>
  <si>
    <t>berickson@rainylakemedical.com</t>
  </si>
  <si>
    <t xml:space="preserve">1400 HWY 71, , , , , </t>
  </si>
  <si>
    <t xml:space="preserve">1430 North Highway      </t>
  </si>
  <si>
    <t>Director of Fiscal Services</t>
  </si>
  <si>
    <t xml:space="preserve">500 West Grant Street     </t>
  </si>
  <si>
    <t>Trevor</t>
  </si>
  <si>
    <t>Coons</t>
  </si>
  <si>
    <t>Operations Manager</t>
  </si>
  <si>
    <t>coons.trevor@mayo.edu</t>
  </si>
  <si>
    <t xml:space="preserve">612 South Sibley Avenue    </t>
  </si>
  <si>
    <t xml:space="preserve">20 Ninth Street Southeast  </t>
  </si>
  <si>
    <t xml:space="preserve">20 Ninth Street Southeast, , </t>
  </si>
  <si>
    <t xml:space="preserve">1600 North Kniss Avenue      </t>
  </si>
  <si>
    <t xml:space="preserve">121 Drew Avenue Southeast   </t>
  </si>
  <si>
    <t xml:space="preserve">900 Second Avenue     </t>
  </si>
  <si>
    <t>Erik</t>
  </si>
  <si>
    <t>Bjerke</t>
  </si>
  <si>
    <t>ebjerke@mlhmn.org</t>
  </si>
  <si>
    <t xml:space="preserve">900 2ND AVE, , , , , </t>
  </si>
  <si>
    <t xml:space="preserve">900 2ND AVE, ,, , , </t>
  </si>
  <si>
    <t xml:space="preserve">414 West Jefferson    </t>
  </si>
  <si>
    <t>Dale.Kruger@SanfordHealth.org</t>
  </si>
  <si>
    <t>Lori Guenther</t>
  </si>
  <si>
    <t xml:space="preserve">220 South Sixth Street, Suite 300, </t>
  </si>
  <si>
    <t>Dale.Kruger@sanfordhealth.org</t>
  </si>
  <si>
    <t xml:space="preserve">414 W Jefferson Ave, , , , </t>
  </si>
  <si>
    <t>Guenther</t>
  </si>
  <si>
    <t>Lori.Guenther@mahnomenhealthcenter.com</t>
  </si>
  <si>
    <t xml:space="preserve">1025 Marsh Street  </t>
  </si>
  <si>
    <t xml:space="preserve">9875 Hospital Drive     </t>
  </si>
  <si>
    <t>Aaron Bloomquist</t>
  </si>
  <si>
    <t xml:space="preserve">5585 Odean Ave NE, </t>
  </si>
  <si>
    <t xml:space="preserve">3300 Oakdale Ave North, , , </t>
  </si>
  <si>
    <t xml:space="preserve">12915 63rd Ave N   </t>
  </si>
  <si>
    <t xml:space="preserve">1575 Beam Avenue      </t>
  </si>
  <si>
    <t>Hospital COO</t>
  </si>
  <si>
    <t xml:space="preserve">1700 UNIVERSITY AVE MIDWAY CORP, , , , , , </t>
  </si>
  <si>
    <t xml:space="preserve">1700 University Ave , </t>
  </si>
  <si>
    <t xml:space="preserve">300 South Bruce Street  </t>
  </si>
  <si>
    <t>300 South Bruce Street</t>
  </si>
  <si>
    <t>Dr Timothy Hindbjorgen</t>
  </si>
  <si>
    <t>Sharon</t>
  </si>
  <si>
    <t>Vice President of Finance and Information Services</t>
  </si>
  <si>
    <t>sharon.williams@avera.org</t>
  </si>
  <si>
    <t>CentraCare Health - Melrose</t>
  </si>
  <si>
    <t>525 Main Street West</t>
  </si>
  <si>
    <t>Adam Paulson</t>
  </si>
  <si>
    <t xml:space="preserve">11 North 5th Avenue West, , </t>
  </si>
  <si>
    <t>Dr. Dante Beretta</t>
  </si>
  <si>
    <t>Kari van der</t>
  </si>
  <si>
    <t>Hagen</t>
  </si>
  <si>
    <t>Government Reimbursement Accountant</t>
  </si>
  <si>
    <t>kari.vanderhagen@centracare.com</t>
  </si>
  <si>
    <t>1406 Sixth Ave North,</t>
  </si>
  <si>
    <t>Reimbursement Coordinator</t>
  </si>
  <si>
    <t>1406 6th Ave No,</t>
  </si>
  <si>
    <t xml:space="preserve">11 N 5TH AVE W, , </t>
  </si>
  <si>
    <t xml:space="preserve">800 East 28th Street    </t>
  </si>
  <si>
    <t xml:space="preserve">PO Box 43, Mail Route 10809, , , </t>
  </si>
  <si>
    <t xml:space="preserve">701 Park Avenue   </t>
  </si>
  <si>
    <t xml:space="preserve">701 Park Avenue South, , </t>
  </si>
  <si>
    <t xml:space="preserve">2525 Chicago Avenue South    </t>
  </si>
  <si>
    <t>Senior Cost Report Accountant</t>
  </si>
  <si>
    <t xml:space="preserve">5901 Lincoln Drive </t>
  </si>
  <si>
    <t>Edina</t>
  </si>
  <si>
    <t>Mgr, Reimbursement/Enrollment</t>
  </si>
  <si>
    <t>Dir Revenue Cycle Management</t>
  </si>
  <si>
    <t>Dir, Finance Planning/Analysis</t>
  </si>
  <si>
    <t xml:space="preserve">2215 Park Avenue    </t>
  </si>
  <si>
    <t xml:space="preserve">2450 Riverside Avenue </t>
  </si>
  <si>
    <t>Doherty</t>
  </si>
  <si>
    <t>jdohert3@fairview.org</t>
  </si>
  <si>
    <t xml:space="preserve">2025 East River Parkway Twin Cities Unit    </t>
  </si>
  <si>
    <t xml:space="preserve">One Veterans Drive     </t>
  </si>
  <si>
    <t>Thielen</t>
  </si>
  <si>
    <t>Acting Medical Center Director</t>
  </si>
  <si>
    <t>Kurt.Thielen@va.gov</t>
  </si>
  <si>
    <t>Niemi</t>
  </si>
  <si>
    <t>Rahkia.Niemi@va.gov</t>
  </si>
  <si>
    <t xml:space="preserve">1 VETERANS DR, , , , , </t>
  </si>
  <si>
    <t>Carpenter</t>
  </si>
  <si>
    <t>Secretary to the Director</t>
  </si>
  <si>
    <t>Donna.Carpenter@va.gov</t>
  </si>
  <si>
    <t xml:space="preserve">824 N. 11th St.    </t>
  </si>
  <si>
    <t xml:space="preserve">1013 Hart Boulevard  </t>
  </si>
  <si>
    <t>Kris Hammer</t>
  </si>
  <si>
    <t>centracare.com</t>
  </si>
  <si>
    <t xml:space="preserve">1013 Hart Boulevard, , , </t>
  </si>
  <si>
    <t xml:space="preserve">4572 County Road 61 </t>
  </si>
  <si>
    <t>mdelfs@mercymooselake.org</t>
  </si>
  <si>
    <t xml:space="preserve">301 South Hwy 65     </t>
  </si>
  <si>
    <t xml:space="preserve">400 East First Street     </t>
  </si>
  <si>
    <t>jbreuer@scmcinc.org</t>
  </si>
  <si>
    <t>Kerrie Erickson</t>
  </si>
  <si>
    <t xml:space="preserve">400 East First Street PO Box 660, , , , , </t>
  </si>
  <si>
    <t>kerickson@scmcinc.org</t>
  </si>
  <si>
    <t xml:space="preserve">301 Second Street Northeast     </t>
  </si>
  <si>
    <t xml:space="preserve">1324 Fifth Street N.   </t>
  </si>
  <si>
    <t xml:space="preserve">Jeffrey Messenger </t>
  </si>
  <si>
    <t xml:space="preserve">2000 North Avenue     </t>
  </si>
  <si>
    <t xml:space="preserve">2000 North Ave., , , , , </t>
  </si>
  <si>
    <t>Nancy Anderson</t>
  </si>
  <si>
    <t>andersonna@rchospital.com</t>
  </si>
  <si>
    <t xml:space="preserve">200 North Elm Street   </t>
  </si>
  <si>
    <t>200 North Elm Street , Box A, Box A, Box A</t>
  </si>
  <si>
    <t>450 Eastvold Avenue</t>
  </si>
  <si>
    <t>Rogers</t>
  </si>
  <si>
    <t>David.Rogers@oahs.us</t>
  </si>
  <si>
    <t>Barnhardt</t>
  </si>
  <si>
    <t>debr.barnhardt@oahs.us</t>
  </si>
  <si>
    <t xml:space="preserve">2250 NW 26th Street   </t>
  </si>
  <si>
    <t xml:space="preserve">600 Pleasant Avenue     </t>
  </si>
  <si>
    <t xml:space="preserve">200 West First Street     </t>
  </si>
  <si>
    <t>dennis.miley@centracare.com</t>
  </si>
  <si>
    <t>Jennifer Holtz</t>
  </si>
  <si>
    <t xml:space="preserve">200 West 1st Street, </t>
  </si>
  <si>
    <t>Paynesville</t>
  </si>
  <si>
    <t xml:space="preserve">1000 Coney Street West   </t>
  </si>
  <si>
    <t>Justine</t>
  </si>
  <si>
    <t>Ostlie</t>
  </si>
  <si>
    <t>justine.ostlie@perhamhealth.org</t>
  </si>
  <si>
    <t>Dr. Myles Zephier</t>
  </si>
  <si>
    <t xml:space="preserve">911 Northland Drive    </t>
  </si>
  <si>
    <t xml:space="preserve">400 Stinson Blvd NE, </t>
  </si>
  <si>
    <t xml:space="preserve">701 Hewitt Boulevard  </t>
  </si>
  <si>
    <t xml:space="preserve">100 Fallwood Road   </t>
  </si>
  <si>
    <t xml:space="preserve">333 South Washington St, , </t>
  </si>
  <si>
    <t xml:space="preserve">100 Fallwood Road, , , </t>
  </si>
  <si>
    <t xml:space="preserve">3300 Oakdale Avenue North     </t>
  </si>
  <si>
    <t xml:space="preserve">1650 Fourth Street Southeast    </t>
  </si>
  <si>
    <t xml:space="preserve">210 9TH ST SE, </t>
  </si>
  <si>
    <t xml:space="preserve">1216 Second Street Southwest     </t>
  </si>
  <si>
    <t xml:space="preserve">251 Wood Lake Drive SE  </t>
  </si>
  <si>
    <t xml:space="preserve">715 Delmore Drive      </t>
  </si>
  <si>
    <t xml:space="preserve">715 Delmore Drive, , , , , , </t>
  </si>
  <si>
    <t xml:space="preserve">109 Court Avenue South  </t>
  </si>
  <si>
    <t>Sicora</t>
  </si>
  <si>
    <t>Richard.Sicora@EssentiaHealth.org</t>
  </si>
  <si>
    <t xml:space="preserve">425 North Elm Street    </t>
  </si>
  <si>
    <t>Delano Christianson</t>
  </si>
  <si>
    <t xml:space="preserve">425 Elm St North, , </t>
  </si>
  <si>
    <t xml:space="preserve">425 North Elm Street, , , </t>
  </si>
  <si>
    <t xml:space="preserve">1455 St. Francis Avenue   </t>
  </si>
  <si>
    <t xml:space="preserve">2042 Juniper Avenue   </t>
  </si>
  <si>
    <t xml:space="preserve">2042 JUNIPER AVE, , , </t>
  </si>
  <si>
    <t>Dr. David Geier</t>
  </si>
  <si>
    <t xml:space="preserve">2042 JUNIPER AVE, ,, </t>
  </si>
  <si>
    <t xml:space="preserve">400 Fourth Avenue Northwest     </t>
  </si>
  <si>
    <t>400 Fourth Avenue Northwest, P.O. Box 323, P.O. Box 323</t>
  </si>
  <si>
    <t>Dr. Venkata Murthy</t>
  </si>
  <si>
    <t xml:space="preserve">625 North Jackson Avenue    </t>
  </si>
  <si>
    <t>1406 6th Avenue North</t>
  </si>
  <si>
    <t>kraemerd@centracare.com</t>
  </si>
  <si>
    <t xml:space="preserve">4801 Veterans Drive      </t>
  </si>
  <si>
    <t xml:space="preserve">1101 Moulton &amp; Parsons Drive    </t>
  </si>
  <si>
    <t xml:space="preserve">6500 Excelsior Boulevard     </t>
  </si>
  <si>
    <t xml:space="preserve">559 Capitol Blvd.      </t>
  </si>
  <si>
    <t xml:space="preserve">200 East University Avenue     </t>
  </si>
  <si>
    <t>Heidi</t>
  </si>
  <si>
    <t>Sundman-Hetchler</t>
  </si>
  <si>
    <t>heidilhetchler@gillettechildrens.com</t>
  </si>
  <si>
    <t>Sr. Financial Analyst</t>
  </si>
  <si>
    <t xml:space="preserve">69 West Exchange Street      </t>
  </si>
  <si>
    <t xml:space="preserve">640 Jackson Street      </t>
  </si>
  <si>
    <t xml:space="preserve">640 JACKSON ST,, , , , , </t>
  </si>
  <si>
    <t xml:space="preserve">640 JACKSON ST, , , , , , </t>
  </si>
  <si>
    <t>Velleux</t>
  </si>
  <si>
    <t>eric.d.velleux@healthpartners.com</t>
  </si>
  <si>
    <t xml:space="preserve">333 North Smith Avenue    </t>
  </si>
  <si>
    <t>Karen Gustafson - Interim</t>
  </si>
  <si>
    <t>Intermediate Reimbursement Analyst</t>
  </si>
  <si>
    <t>Dr. Scott Donner</t>
  </si>
  <si>
    <t xml:space="preserve">1900 N. Sunrise Drive    </t>
  </si>
  <si>
    <t>Lori Zook</t>
  </si>
  <si>
    <t xml:space="preserve">1900 N SUNRISE DR,,, , </t>
  </si>
  <si>
    <t xml:space="preserve">2000 Klein Street  </t>
  </si>
  <si>
    <t xml:space="preserve">49725 County Road 83   </t>
  </si>
  <si>
    <t>Lisa Bjerga</t>
  </si>
  <si>
    <t>Bjerga, CPA</t>
  </si>
  <si>
    <t>CFO - Interim</t>
  </si>
  <si>
    <t>lisabjerga@lakewoodhealthsystem.com</t>
  </si>
  <si>
    <t xml:space="preserve">927 West Churchill Street     </t>
  </si>
  <si>
    <t>theodore.t.wegleitner@healthpartners.com</t>
  </si>
  <si>
    <t xml:space="preserve">927 Churchill St W, , </t>
  </si>
  <si>
    <t>Dr. Bjorn Peterson</t>
  </si>
  <si>
    <t xml:space="preserve">251 5th Street E.     </t>
  </si>
  <si>
    <t xml:space="preserve">251 5th St. E, </t>
  </si>
  <si>
    <t xml:space="preserve">325 11th Avenue     </t>
  </si>
  <si>
    <t xml:space="preserve">325 11th Avenue, , , , , , </t>
  </si>
  <si>
    <t>Thomas Peterson, MD</t>
  </si>
  <si>
    <t xml:space="preserve">240 Willow Street   </t>
  </si>
  <si>
    <t>Jonathan</t>
  </si>
  <si>
    <t>Moe</t>
  </si>
  <si>
    <t>jonathan.moe@avera.org</t>
  </si>
  <si>
    <t>rob.schile@CLAconnect.com</t>
  </si>
  <si>
    <t>220 South Sixth Street, Suite 300, Suite 300</t>
  </si>
  <si>
    <t>Daniel.milbridge@essentiahealth.org</t>
  </si>
  <si>
    <t>Accounting</t>
  </si>
  <si>
    <t>kathy.jankila@essentiahealth.org</t>
  </si>
  <si>
    <t>901 9th St. No</t>
  </si>
  <si>
    <t xml:space="preserve">1200 Fifth Grant Boulevard West     </t>
  </si>
  <si>
    <t xml:space="preserve">1200 Fifth Grant Boulevard West, </t>
  </si>
  <si>
    <t xml:space="preserve">500 South Maple Street   </t>
  </si>
  <si>
    <t xml:space="preserve">500 S MAPLE ST, , , , , </t>
  </si>
  <si>
    <t xml:space="preserve">500 South Maple Street, , , , , </t>
  </si>
  <si>
    <t xml:space="preserve">415 N. Jefferson Street      </t>
  </si>
  <si>
    <t xml:space="preserve">300 West Good Samaritan Drive </t>
  </si>
  <si>
    <t xml:space="preserve">4310 17th Ave S, ,, </t>
  </si>
  <si>
    <t xml:space="preserve">300 West Good Samaritan Drive, </t>
  </si>
  <si>
    <t xml:space="preserve">501 N State Street    </t>
  </si>
  <si>
    <t xml:space="preserve">920 Bell Avenue      </t>
  </si>
  <si>
    <t xml:space="preserve">401 12th Street North     </t>
  </si>
  <si>
    <t xml:space="preserve">301 Becker Avenue Southwest     </t>
  </si>
  <si>
    <t>fenskeb@rice.willmar.mn.us</t>
  </si>
  <si>
    <t xml:space="preserve">301 Becker Avenue Southwest, , , , , </t>
  </si>
  <si>
    <t xml:space="preserve">301 BECKER AVE SW, , , , , </t>
  </si>
  <si>
    <t>1701 Technology Drive</t>
  </si>
  <si>
    <t xml:space="preserve">2150 Hospital Drive   </t>
  </si>
  <si>
    <t>Shelby</t>
  </si>
  <si>
    <t>Medina</t>
  </si>
  <si>
    <t>shelby.medina@sanfordhealth.org</t>
  </si>
  <si>
    <t>Kimberly.armstrong@sanfordhealth.org</t>
  </si>
  <si>
    <t xml:space="preserve">855 Mankato Ave. </t>
  </si>
  <si>
    <t>Mgr of Financial Operations</t>
  </si>
  <si>
    <t xml:space="preserve">PO Box 5600, , , </t>
  </si>
  <si>
    <t>Dir of Reimb/Payor Contracting</t>
  </si>
  <si>
    <t xml:space="preserve">1925 Woodwinds Drive      </t>
  </si>
  <si>
    <t xml:space="preserve">1018 Sixth Avenue      </t>
  </si>
  <si>
    <t xml:space="preserve">5200 Fairview Boulevard    </t>
  </si>
  <si>
    <t>Hospital Annual Report (HAR) 2017</t>
  </si>
  <si>
    <t>2017 Fiscal Year End Date</t>
  </si>
  <si>
    <t>FY 2017</t>
  </si>
  <si>
    <t>Total Number of Hospital Licensed Beds (as of the last day of FY 2017)</t>
  </si>
  <si>
    <t>Total Number of Hospital Licensed Bassinets (as of the last day of FY 2017)</t>
  </si>
  <si>
    <t>Did your Facility have any Major Capital Expenditure Commitments in FY 2017 that were over $1 million dollars each?</t>
  </si>
  <si>
    <t>A Reclassifications Worksheet has been provided to aid in the completions of the HAR 2017.  Utilizing this worksheet is not required, but may assist in expediting the audit process.</t>
  </si>
  <si>
    <t>To securely transmit the HAR 2017 and other electronic documents, please go to https://portal.mnhospitals.org/ and follow the instructions on the web page.</t>
  </si>
  <si>
    <t>Click here to return to the Charge Summary Section in the 2017 HAR.</t>
  </si>
  <si>
    <t>Click here to return to the Admissions Summary Section in the 2017 HAR.</t>
  </si>
  <si>
    <t>Click here to return to the Patient Days Summary Section in the 2017 HAR.</t>
  </si>
  <si>
    <t>2017 FY Total Discharges</t>
  </si>
  <si>
    <t>2017 FYE Total Charges</t>
  </si>
  <si>
    <t>Click here to go to the next section in the 2017 HAR.</t>
  </si>
  <si>
    <t>2017 Report Year</t>
  </si>
  <si>
    <t>Please click here to return to the 2017 HAR tab</t>
  </si>
  <si>
    <t>Based on FY 2016 Data</t>
  </si>
  <si>
    <t>2016 Average Salary</t>
  </si>
  <si>
    <t>2016 Average Charge</t>
  </si>
  <si>
    <t>Based HAR 2017 Reporting Data</t>
  </si>
  <si>
    <t xml:space="preserve">This section pulls the relevant data elements to estimate the Medical Care Surcharge that will be based on the FY 2017 HAR. </t>
  </si>
  <si>
    <t>Capital Expenditure Reports reported prior to Fiscal Year 2017</t>
  </si>
  <si>
    <t>Hospital Annual Report 2017</t>
  </si>
  <si>
    <t>Definitions of codes used in the 2017 HAR formset</t>
  </si>
  <si>
    <t xml:space="preserve">The 2017 HAR Formset reflects the changes to accounting for Bad Debt and it is now classified as a Contractual Adjustment, not an Operating Expense. 
The provision for actual or expected doubtful accounts resulting from the extension of credit. This includes the total dollar amount charged for health care services that were provided for which there was an expectation of payment. Do not include charity care or self pay discounts in this category; only include the portion of the charge for which there was an expectation of payment. 
In determining whether to classify charity care as bad debt expense, the facility must consider the following points:
A. The facility must presume that the patient is able and willing to pay until and unless the facility has reason to consider this a charity care case under its charity care policy and the facility classifies this as a charity care case; and
B. The facility may include as bad debt expense unpaid deductibles, co-insurance, co-payments, and charges for non-covered services and any other unpaid patient responsibilities.
</t>
  </si>
  <si>
    <t>2017 HCCIS Hospital List (based on 2016 reporting)</t>
  </si>
  <si>
    <t>Purchase of DaVinci Xi</t>
  </si>
  <si>
    <t>CV-8 Cath Lab Suite upgrade to Hybrid Room</t>
  </si>
  <si>
    <t>CV9 Imaging</t>
  </si>
  <si>
    <t>Additional funding for 74-283 Activity Based Locomotor Exercise(ABLE) and Adaptive Fitness Programs Expansion</t>
  </si>
  <si>
    <t>Additional funds for 74-299 Emergency Department remodel project</t>
  </si>
  <si>
    <t>Sibley Medical Center_x000D_</t>
  </si>
  <si>
    <t>601 W Chandler St</t>
  </si>
  <si>
    <t>ARLINGTON, MN</t>
  </si>
  <si>
    <t>EMR Upgrade</t>
  </si>
  <si>
    <t>Cambridge</t>
  </si>
  <si>
    <t>701 South Dellwood Street</t>
  </si>
  <si>
    <t>CAMBRIDGE, MN 55008</t>
  </si>
  <si>
    <t>Purchase of CT scanner and necessary building renovations.</t>
  </si>
  <si>
    <t>The approximate scope of the project will include an addition and renovation of the care center.  The project will create 28 private resident rooms with private toilets and showers for all residents. The renovated area is 6,500 s.f. and new construction is 18,000 s.f.</t>
  </si>
  <si>
    <t>Cook County Hospital District</t>
  </si>
  <si>
    <t>North Shore Health Building and Renovation project. Expand and renovate building to include single rooms with private bathrooms for hospital inpatients and care center residents, modify ER from one open room with curtain dividers to 4 private rooms, increasing space for additional outpatient services, addition of flexible space for procedures/surgeries.</t>
  </si>
  <si>
    <t>OR Expansion</t>
  </si>
  <si>
    <t>111 17th Ave East</t>
  </si>
  <si>
    <t>Design, development, and construction of a series of projects consisting of the renovation, remodeling, expansion, equipping, and furnishing of certain surgical, procedural and clinical spaces, including: (i) addition of two (2) operating rooms, the renovation of existing operating rooms by increasing the square footage of each, and the addition of pre-operative space; (ii) the addition of cardiology clinic space, and addition and expansion of outreach clinic areas; (iii) addition and renovation of administrative and support areas, waiting rooms, connecting corridors, new entrances, and related infrastructure improvements; (iv) related landscaping, sidewalks, and parking lots; and (v) related demolition of certain existing facilities all occurring at the Hospital Facilities (the â€œImprovementsâ€).</t>
  </si>
  <si>
    <t>Ely Bloomenson Community Hospital &amp; Nursing Home</t>
  </si>
  <si>
    <t>328 West Conan St</t>
  </si>
  <si>
    <t>EPIC Software EMR</t>
  </si>
  <si>
    <t>OR HD Integration</t>
  </si>
  <si>
    <t>This project is the replacement of current Karl Storz Standard definition optical equipment used in every general, gynecological and urologic laparoscopic surgical procedure.</t>
  </si>
  <si>
    <t>The Emergency Department (ED) Imaging project at Southdale hospital will obtain  new imaging equipment (CT and radiography unit), relocate existing equipment to the new Emergency Center and related construction to serve the new Emergency Center, inpatients, and outpatients receiving imaging services.</t>
  </si>
  <si>
    <t>Glaical Ridge Health System</t>
  </si>
  <si>
    <t>New patient care wing and addition to the clinic.</t>
  </si>
  <si>
    <t>GLENCOE REGIONAL HEALTH SERVICES</t>
  </si>
  <si>
    <t>1805 HENNEPIN AVENUE NORTH</t>
  </si>
  <si>
    <t>Remodel and addition to the first floor of the hospital</t>
  </si>
  <si>
    <t>In house MRI</t>
  </si>
  <si>
    <t>GELNCOE</t>
  </si>
  <si>
    <t>Replace Emergency Power Generator</t>
  </si>
  <si>
    <t>LTC Addition and remodel</t>
  </si>
  <si>
    <t>Campus expansion &amp; renovation - please reference Previous Project MDH Reference ID 136-2  When the final bids for the project were received, the oveall cost of the project increased to  $7,000,000 rather than the $5,000,000 reported on the 2014 HAR</t>
  </si>
  <si>
    <t>701 Park Ave. S.</t>
  </si>
  <si>
    <t>Servers and storage</t>
  </si>
  <si>
    <t>Network Refresh</t>
  </si>
  <si>
    <t>Washer/Disinfectors, Cart Washers, sink</t>
  </si>
  <si>
    <t>Data Center Remodel</t>
  </si>
  <si>
    <t>1282 Walnut Street</t>
  </si>
  <si>
    <t>New building for care center and hospital remodel project over the next two years. Actual project did not start until 10/31/2016; however, there were cost assosicated with the project prior the actual start date. Total approved Budgeted total project costs (3/3/2016): Hopsital - $10,160,726Care Center - $16,112,787Total -  $26,273,513CIP Costs as of 9/30/2016Hospital - $527,790Care Center - $638,787Total - $1,166,577</t>
  </si>
  <si>
    <t>927 W Churchill St</t>
  </si>
  <si>
    <t>Sleep Center - to construct a 4 bed sleep lab for patients of Lakeview Hospital.</t>
  </si>
  <si>
    <t>Lakeview Hospital main entrance lobby remodel to provide a facelift for the entire space</t>
  </si>
  <si>
    <t>CentraCare Health - Long Prairie</t>
  </si>
  <si>
    <t>50 CentraCare Drive</t>
  </si>
  <si>
    <t>LONG PRAIRIE, MN 56347</t>
  </si>
  <si>
    <t>CentraCare Health - Long Prairie Medical Campus Project</t>
  </si>
  <si>
    <t>Melrose Area Hospital - CentraCare</t>
  </si>
  <si>
    <t>CCH-Melrose</t>
  </si>
  <si>
    <t>Replacement of inpatient wing, imaging area, ER area, and surgical area.</t>
  </si>
  <si>
    <t>Nuclear Med Camera</t>
  </si>
  <si>
    <t>CKRI Specialty Clinic Relocation and Expansion</t>
  </si>
  <si>
    <t>Cath Lab replacement (CV3)</t>
  </si>
  <si>
    <t>4050 Coon rapids Blvd</t>
  </si>
  <si>
    <t>EP Cath Lab replacement (EP1)</t>
  </si>
  <si>
    <t>North Metro Reconfiguration - additional funding</t>
  </si>
  <si>
    <t>Methodist Hospital</t>
  </si>
  <si>
    <t>MRI expansion and replacement at Methodist Hospital.</t>
  </si>
  <si>
    <t>Methodist Hospital Heart and Vascular Electrophysiology Room 1 Equipment Replacement.</t>
  </si>
  <si>
    <t>To construct a Floodwall at Methodist Hospital.</t>
  </si>
  <si>
    <t>Methodist Hospital Boiler Replacement.</t>
  </si>
  <si>
    <t>West Annex</t>
  </si>
  <si>
    <t>4505 West Superior St, Duluth, MN 55807</t>
  </si>
  <si>
    <t>West Annex / BSC Remodel</t>
  </si>
  <si>
    <t>1300 Anne St. NW</t>
  </si>
  <si>
    <t>Aesynt Accudose Cabinets - Automated medication dispensing cabinet.</t>
  </si>
  <si>
    <t>3D Mammography Equipment</t>
  </si>
  <si>
    <t>Level II Nursery</t>
  </si>
  <si>
    <t>HASTINGS, MN</t>
  </si>
  <si>
    <t>Regina Imaging Department remodel: the core of the medical imaging center was remodeled and select medical equipment updated, including MRI, CT and general radiology / fluoroscopy</t>
  </si>
  <si>
    <t>PMC Hospital Equipment</t>
  </si>
  <si>
    <t>705 Lundorff Dr. Sandstone, MN 55072</t>
  </si>
  <si>
    <t>Replacement equipment for PMC Hospital</t>
  </si>
  <si>
    <t>PMC Hospital</t>
  </si>
  <si>
    <t>Constuction of replacement hospital in Sandstone</t>
  </si>
  <si>
    <t>SCH 14-Bed Observation Unit Remodel</t>
  </si>
  <si>
    <t>Emergency Trauma Center Phase II Remodel</t>
  </si>
  <si>
    <t>600 E Park Ave Olivia, MN 56277</t>
  </si>
  <si>
    <t>Renville County Dialysis Unit.  Provide dialysis in Olivia, where the closest  other units being over 30 miles away at Willmar, or Redwood Falls.</t>
  </si>
  <si>
    <t>St. Garielle's Hospital</t>
  </si>
  <si>
    <t>815 2nd St SE</t>
  </si>
  <si>
    <t>Expand and Remodel Little Falls Dialysis Unit.  Provide dialysis in Little Falls, where the closest other units are over 30 miles away in St. Cloud and Brainerd.</t>
  </si>
  <si>
    <t>St Francis Regional Medical Center</t>
  </si>
  <si>
    <t>1455 St Francis Avenue</t>
  </si>
  <si>
    <t>The Special Care Unit (SCU) is an eight bed unit on the 2nd floor of the original patient care area at St. Francis Regional Medical Center.</t>
  </si>
  <si>
    <t>St Francis Southbridge Urgent Care (NPI #1447605514)</t>
  </si>
  <si>
    <t>8170 Old Carriage Court, Suite 100</t>
  </si>
  <si>
    <t>SHAKOPEE MN 55379</t>
  </si>
  <si>
    <t>Southbridge Urgent Care is a freestanding urgent care affiliated with St. Francis Regional Medical Center in Shakopee.  It is 6 miles east of the hospial main campus.  Note this location has a separate NPI from theHospital Campus</t>
  </si>
  <si>
    <t>MRI &amp; Remodeling</t>
  </si>
  <si>
    <t>701 Hewitt Blvd</t>
  </si>
  <si>
    <t>Purchase of MRI and remodeling of space.</t>
  </si>
  <si>
    <t>ST JOSEPHS HOSPITAL</t>
  </si>
  <si>
    <t>45 10TH ST WEST</t>
  </si>
  <si>
    <t>PATIENT MONITORING EQUIPMENT</t>
  </si>
  <si>
    <t>PARKING RAMP IMPROVEMENTS</t>
  </si>
  <si>
    <t>MRI Building Development</t>
  </si>
  <si>
    <t>St. Luke's Hospital's Miller Creek Medical Clinic</t>
  </si>
  <si>
    <t>4190 Loberg Ave</t>
  </si>
  <si>
    <t>HERMANTOWN</t>
  </si>
  <si>
    <t>Construction of new Miller Creek Medical Clinic in Hermantown, MN</t>
  </si>
  <si>
    <t>Alfred Building</t>
  </si>
  <si>
    <t>7R160520 Relocation of Respiratory Care Unit</t>
  </si>
  <si>
    <t>7R160980 Saint Marys Campus Complex Intervention Unit</t>
  </si>
  <si>
    <t>7R151430 Mary Bright Main SMC Radiology Hybrid Procedural Suite - MR Suite</t>
  </si>
  <si>
    <t>1216 Second Street</t>
  </si>
  <si>
    <t>7R140380 SMOP/Radiology Desk</t>
  </si>
  <si>
    <t>1216 Second Stree</t>
  </si>
  <si>
    <t>7R150010 Gastroenterology and Hepatology Renovation</t>
  </si>
  <si>
    <t>7R151630 Reproductive Endocrinology and Infertility Relocation</t>
  </si>
  <si>
    <t>CPC2023942 Siemens SMH 4 HRS Flouroscopy Replacement 106</t>
  </si>
  <si>
    <t>CPC2021731 Insightec MB Main Exablate Neuro Tesearch System Brain FUS</t>
  </si>
  <si>
    <t>Redundant Air Handler for Operating Room</t>
  </si>
  <si>
    <t>640 N Jackson Street</t>
  </si>
  <si>
    <t>New air handler that will provide redundancy for the operating rooms and prevent the OR from losing power when electricity is lost</t>
  </si>
  <si>
    <t>Renovate C9100</t>
  </si>
  <si>
    <t>Update unit to provide secure unit for those patients on legal hold and mitigate harm to paitents that might wander due to brain injury etc</t>
  </si>
  <si>
    <t>purchasae property near hospital</t>
  </si>
  <si>
    <t>Corner of 35E and University Avenue</t>
  </si>
  <si>
    <t>Purchase of land for use as hospital parking lot to alleviate short-term parking challenges at the Regions Hospital campus and future development</t>
  </si>
  <si>
    <t>Renovate c9300</t>
  </si>
  <si>
    <t>Renovate C 9300 to increase bed capacity</t>
  </si>
  <si>
    <t>Replace MRI scanner at HSC</t>
  </si>
  <si>
    <t>401 Phalen Blvd</t>
  </si>
  <si>
    <t>Replacement of the current Avanto MRI scanner and associated infrastructure improvements.</t>
  </si>
  <si>
    <t>Replacement of the endoscopic equipment in the operating room</t>
  </si>
  <si>
    <t>Replacement of the current medication dispensing system, Pyxis</t>
  </si>
  <si>
    <t>Replacement of the current medication dispensing system, Pyxis, with an upgraded version</t>
  </si>
  <si>
    <t>Replacement of out-dated laboratory space.  Previous lab built in 2001.</t>
  </si>
  <si>
    <t>415 Jefferson St N</t>
  </si>
  <si>
    <t>WADENA MN 56482</t>
  </si>
  <si>
    <t>Advanced Imaging Suite-</t>
  </si>
  <si>
    <t>401 Prairie Avenue Northeast</t>
  </si>
  <si>
    <t>As a result of the Organization's focus on primary care, 57 physicians, specialists, and advanced practice clinicians have been added to the Organization's staff since 2004. This increase in primary and specialty care has resulted in a need to increase clinical space both in Staples and Pillager. The organization has also seen growth in emergency services leading to a need to expand emergency and urgent care service offerings. Emergency services has grown from 4,500 in 2004 to 8,000 visits per year, today. The proposed project includes: Clinical expansion to clinic located on the campus, emergency care expansion space to the hospital, completion of an in-house MRI suite, and clinical expansion to the clinic located in Pillager.</t>
  </si>
  <si>
    <t>333 N. Smith</t>
  </si>
  <si>
    <t>ST. PAUL MN 55101</t>
  </si>
  <si>
    <t>Hybrid OR,  Siemen's Artis Zeego  interventional x-ray system equipment installed into a 900 square foot OR room.  Plan to use this room for Vascular surgery, Laser lead extractions cases, pacemaker and ICD device implants and percutaneous vascular interventional cases.</t>
  </si>
  <si>
    <t>333 N Smith</t>
  </si>
  <si>
    <t>United OR Surgical Video Equipment Replacement</t>
  </si>
  <si>
    <t>CT Scanner replaced due to heavy utilization, level of technology, wear, and service history</t>
  </si>
  <si>
    <t>255 North Smith Avenue</t>
  </si>
  <si>
    <t>United MOB acquisition - 35,245 square foot medical office building adjacent to United Hospital.</t>
  </si>
  <si>
    <t>Ridgeview Health Campus in Belle Plaine</t>
  </si>
  <si>
    <t>165 Commerce Drive West</t>
  </si>
  <si>
    <t>BELLE PLAINE</t>
  </si>
  <si>
    <t>Ridgeview Health Campus in Belle Plaine.  Ridgeview has committed funds to construct a health campus to provide same-day primary and specialty care appointments, on site laboratory services, imaging services, rehab services, and wellness services.  The campus also includes an on-site 55 bed senior assisted living facility that is operated by The Lutheran Home Association.</t>
  </si>
  <si>
    <t>ST JOHN'S HOSPITAL</t>
  </si>
  <si>
    <t>1600 ST JOHNS BLVD</t>
  </si>
  <si>
    <t>UMMC University CV Cath Lab 4</t>
  </si>
  <si>
    <t>Replacement of Cardiovascular Lab 4 at UMMC East Bank.</t>
  </si>
  <si>
    <t>UMMC University Bi Plane Replacement</t>
  </si>
  <si>
    <t>Replacement of the East Bank IR - Bi Plane.</t>
  </si>
  <si>
    <t>UMMC University Genomics Center</t>
  </si>
  <si>
    <t>Create a Genomics Center at UMMC East Bank.</t>
  </si>
  <si>
    <t>WOODWINDS HOSPITAL</t>
  </si>
  <si>
    <t>1925 WOODWINDS DR</t>
  </si>
  <si>
    <t>Sanford Thief River Falls Behavioral Health Hospital</t>
  </si>
  <si>
    <t>SANFORD BEHAVIORAL HEALTH CENTER</t>
  </si>
  <si>
    <t>120 LABREE AVE SOUTH</t>
  </si>
  <si>
    <t>THIEF RIVER FALLS MN 56701</t>
  </si>
  <si>
    <t>Remodeling of previous medical/surgical unit for licensed 16 bed inpatient psychiatric unit and outpatient mental health clinic.  Licensed inpatient beds increased from 10 to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</si>
</sst>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lt;=9999999]###\-####;\(###\)\ ###\-####"/>
    <numFmt numFmtId="165" formatCode="0000"/>
    <numFmt numFmtId="166" formatCode="_(&quot;$&quot;* #,##0_);_(&quot;$&quot;* \(#,##0\);_(&quot;$&quot;* &quot;-&quot;??_);_(@_)"/>
    <numFmt numFmtId="167" formatCode="_(* #,##0_);_(* \(#,##0\);_(* &quot;-&quot;??_);_(@_)"/>
    <numFmt numFmtId="168" formatCode="_(* #,##0.00_);_(* \(#,##0.00\);_(* &quot;-&quot;_);_(@_)"/>
    <numFmt numFmtId="169" formatCode="mm/dd/yy;@"/>
    <numFmt numFmtId="170" formatCode="&quot;$&quot;#,##0"/>
    <numFmt numFmtId="171" formatCode="m\/d\/yyyy"/>
  </numFmts>
  <fonts count="87" x14ac:knownFonts="1">
    <font>
      <sz val="10"/>
      <name val="Arial"/>
    </font>
    <font>
      <sz val="11"/>
      <color theme="1"/>
      <name val="Calibri"/>
      <family val="2"/>
      <scheme val="minor"/>
    </font>
    <font>
      <sz val="10"/>
      <name val="Arial"/>
      <family val="2"/>
    </font>
    <font>
      <b/>
      <sz val="20"/>
      <name val="Arial"/>
      <family val="2"/>
    </font>
    <font>
      <sz val="20"/>
      <name val="Arial"/>
      <family val="2"/>
    </font>
    <font>
      <b/>
      <sz val="20"/>
      <name val="Arial"/>
      <family val="2"/>
    </font>
    <font>
      <b/>
      <sz val="10"/>
      <color indexed="16"/>
      <name val="Arial"/>
      <family val="2"/>
    </font>
    <font>
      <b/>
      <sz val="10"/>
      <color indexed="16"/>
      <name val="Arial"/>
      <family val="2"/>
    </font>
    <font>
      <u/>
      <sz val="10"/>
      <color indexed="12"/>
      <name val="Arial"/>
      <family val="2"/>
    </font>
    <font>
      <b/>
      <sz val="10"/>
      <name val="Arial"/>
      <family val="2"/>
    </font>
    <font>
      <sz val="10"/>
      <color indexed="10"/>
      <name val="Arial"/>
      <family val="2"/>
    </font>
    <font>
      <sz val="10"/>
      <name val="Arial"/>
      <family val="2"/>
    </font>
    <font>
      <b/>
      <sz val="10"/>
      <color indexed="10"/>
      <name val="Arial"/>
      <family val="2"/>
    </font>
    <font>
      <b/>
      <sz val="10"/>
      <color indexed="10"/>
      <name val="Arial"/>
      <family val="2"/>
    </font>
    <font>
      <u/>
      <sz val="10"/>
      <color indexed="12"/>
      <name val="Arial"/>
      <family val="2"/>
    </font>
    <font>
      <sz val="10"/>
      <color indexed="16"/>
      <name val="Arial"/>
      <family val="2"/>
    </font>
    <font>
      <sz val="10"/>
      <color indexed="16"/>
      <name val="Arial"/>
      <family val="2"/>
    </font>
    <font>
      <b/>
      <i/>
      <sz val="10"/>
      <color indexed="16"/>
      <name val="Arial"/>
      <family val="2"/>
    </font>
    <font>
      <b/>
      <sz val="10"/>
      <color indexed="12"/>
      <name val="Arial"/>
      <family val="2"/>
    </font>
    <font>
      <sz val="10"/>
      <color indexed="8"/>
      <name val="Arial"/>
      <family val="2"/>
    </font>
    <font>
      <sz val="8"/>
      <name val="Arial"/>
      <family val="2"/>
    </font>
    <font>
      <b/>
      <sz val="10"/>
      <color indexed="8"/>
      <name val="Arial"/>
      <family val="2"/>
    </font>
    <font>
      <sz val="10"/>
      <color indexed="9"/>
      <name val="Arial"/>
      <family val="2"/>
    </font>
    <font>
      <sz val="14"/>
      <color indexed="12"/>
      <name val="Arial"/>
      <family val="2"/>
    </font>
    <font>
      <b/>
      <u/>
      <sz val="10"/>
      <color indexed="12"/>
      <name val="Arial"/>
      <family val="2"/>
    </font>
    <font>
      <sz val="10"/>
      <color indexed="8"/>
      <name val="Arial"/>
      <family val="2"/>
    </font>
    <font>
      <sz val="10"/>
      <color indexed="10"/>
      <name val="Arial"/>
      <family val="2"/>
    </font>
    <font>
      <u/>
      <sz val="10"/>
      <color indexed="8"/>
      <name val="Arial"/>
      <family val="2"/>
    </font>
    <font>
      <b/>
      <i/>
      <u/>
      <sz val="10"/>
      <color indexed="10"/>
      <name val="Arial"/>
      <family val="2"/>
    </font>
    <font>
      <b/>
      <i/>
      <sz val="10"/>
      <name val="Arial"/>
      <family val="2"/>
    </font>
    <font>
      <b/>
      <sz val="10"/>
      <color indexed="9"/>
      <name val="Arial"/>
      <family val="2"/>
    </font>
    <font>
      <sz val="10"/>
      <color indexed="12"/>
      <name val="Arial"/>
      <family val="2"/>
    </font>
    <font>
      <i/>
      <sz val="10"/>
      <color indexed="16"/>
      <name val="Arial"/>
      <family val="2"/>
    </font>
    <font>
      <b/>
      <sz val="14"/>
      <color indexed="16"/>
      <name val="Arial"/>
      <family val="2"/>
    </font>
    <font>
      <sz val="16"/>
      <color indexed="12"/>
      <name val="Arial"/>
      <family val="2"/>
    </font>
    <font>
      <b/>
      <sz val="10"/>
      <name val="Arial"/>
      <family val="2"/>
    </font>
    <font>
      <sz val="12"/>
      <name val="Times New Roman"/>
      <family val="1"/>
    </font>
    <font>
      <b/>
      <u/>
      <sz val="10"/>
      <name val="Arial"/>
      <family val="2"/>
    </font>
    <font>
      <b/>
      <u/>
      <sz val="14"/>
      <name val="Arial"/>
      <family val="2"/>
    </font>
    <font>
      <u/>
      <sz val="10"/>
      <name val="Arial"/>
      <family val="2"/>
    </font>
    <font>
      <i/>
      <sz val="8"/>
      <color indexed="8"/>
      <name val="Arial"/>
      <family val="2"/>
    </font>
    <font>
      <b/>
      <sz val="12"/>
      <name val="Arial"/>
      <family val="2"/>
    </font>
    <font>
      <i/>
      <u/>
      <sz val="10"/>
      <name val="Arial"/>
      <family val="2"/>
    </font>
    <font>
      <u val="singleAccounting"/>
      <sz val="10"/>
      <name val="Arial"/>
      <family val="2"/>
    </font>
    <font>
      <b/>
      <sz val="16"/>
      <name val="Arial"/>
      <family val="2"/>
    </font>
    <font>
      <sz val="16"/>
      <name val="Arial"/>
      <family val="2"/>
    </font>
    <font>
      <b/>
      <sz val="20"/>
      <color indexed="8"/>
      <name val="Arial"/>
      <family val="2"/>
    </font>
    <font>
      <i/>
      <sz val="10"/>
      <name val="Arial"/>
      <family val="2"/>
    </font>
    <font>
      <sz val="10"/>
      <color indexed="9"/>
      <name val="Arial"/>
      <family val="2"/>
    </font>
    <font>
      <u/>
      <sz val="10"/>
      <color indexed="9"/>
      <name val="Arial"/>
      <family val="2"/>
    </font>
    <font>
      <sz val="8"/>
      <color indexed="81"/>
      <name val="Tahoma"/>
      <family val="2"/>
    </font>
    <font>
      <u/>
      <sz val="12"/>
      <color indexed="12"/>
      <name val="Arial"/>
      <family val="2"/>
    </font>
    <font>
      <u/>
      <sz val="14"/>
      <color indexed="12"/>
      <name val="Arial"/>
      <family val="2"/>
    </font>
    <font>
      <sz val="10"/>
      <color indexed="81"/>
      <name val="Arial"/>
      <family val="2"/>
    </font>
    <font>
      <b/>
      <sz val="16"/>
      <color indexed="12"/>
      <name val="Arial"/>
      <family val="2"/>
    </font>
    <font>
      <b/>
      <sz val="10"/>
      <color indexed="81"/>
      <name val="Arial"/>
      <family val="2"/>
    </font>
    <font>
      <b/>
      <sz val="9"/>
      <color indexed="10"/>
      <name val="Arial"/>
      <family val="2"/>
    </font>
    <font>
      <b/>
      <sz val="9"/>
      <name val="Arial"/>
      <family val="2"/>
    </font>
    <font>
      <b/>
      <u/>
      <sz val="10"/>
      <color indexed="16"/>
      <name val="Arial"/>
      <family val="2"/>
    </font>
    <font>
      <b/>
      <sz val="14"/>
      <name val="Arial"/>
      <family val="2"/>
    </font>
    <font>
      <b/>
      <sz val="8"/>
      <color indexed="10"/>
      <name val="Arial"/>
      <family val="2"/>
    </font>
    <font>
      <b/>
      <sz val="11"/>
      <name val="Arial"/>
      <family val="2"/>
    </font>
    <font>
      <sz val="11"/>
      <name val="Arial"/>
      <family val="2"/>
    </font>
    <font>
      <b/>
      <sz val="11"/>
      <color indexed="16"/>
      <name val="Arial"/>
      <family val="2"/>
    </font>
    <font>
      <b/>
      <sz val="12"/>
      <color indexed="16"/>
      <name val="Arial"/>
      <family val="2"/>
    </font>
    <font>
      <sz val="10"/>
      <color indexed="22"/>
      <name val="Arial"/>
      <family val="2"/>
    </font>
    <font>
      <b/>
      <sz val="10"/>
      <color indexed="10"/>
      <name val="Arial"/>
      <family val="2"/>
    </font>
    <font>
      <sz val="10"/>
      <name val="Arial"/>
      <family val="2"/>
    </font>
    <font>
      <sz val="12"/>
      <color indexed="12"/>
      <name val="Arial"/>
      <family val="2"/>
    </font>
    <font>
      <b/>
      <sz val="11"/>
      <color indexed="12"/>
      <name val="Arial"/>
      <family val="2"/>
    </font>
    <font>
      <sz val="10"/>
      <color theme="0"/>
      <name val="Arial"/>
      <family val="2"/>
    </font>
    <font>
      <b/>
      <sz val="10"/>
      <color rgb="FFFF0000"/>
      <name val="Arial"/>
      <family val="2"/>
    </font>
    <font>
      <b/>
      <sz val="10"/>
      <color rgb="FF800000"/>
      <name val="Arial"/>
      <family val="2"/>
    </font>
    <font>
      <sz val="8"/>
      <color rgb="FF800000"/>
      <name val="Arial"/>
      <family val="2"/>
    </font>
    <font>
      <sz val="10"/>
      <color theme="0" tint="-0.14996795556505021"/>
      <name val="Arial"/>
      <family val="2"/>
    </font>
    <font>
      <b/>
      <sz val="10"/>
      <color rgb="FF990000"/>
      <name val="Arial"/>
      <family val="2"/>
    </font>
    <font>
      <sz val="10"/>
      <color rgb="FF990000"/>
      <name val="Arial"/>
      <family val="2"/>
    </font>
    <font>
      <b/>
      <sz val="11"/>
      <color theme="1"/>
      <name val="Calibri"/>
      <family val="2"/>
      <scheme val="minor"/>
    </font>
    <font>
      <b/>
      <sz val="14"/>
      <color rgb="FF990000"/>
      <name val="Calibri"/>
      <family val="2"/>
      <scheme val="minor"/>
    </font>
    <font>
      <b/>
      <sz val="11"/>
      <color rgb="FF990000"/>
      <name val="Calibri"/>
      <family val="2"/>
      <scheme val="minor"/>
    </font>
    <font>
      <b/>
      <sz val="12"/>
      <color rgb="FF990000"/>
      <name val="Calibri"/>
      <family val="2"/>
      <scheme val="minor"/>
    </font>
    <font>
      <b/>
      <sz val="11"/>
      <name val="Calibri"/>
      <family val="2"/>
      <scheme val="minor"/>
    </font>
    <font>
      <sz val="11"/>
      <name val="Calibri"/>
      <family val="2"/>
      <scheme val="minor"/>
    </font>
    <font>
      <b/>
      <sz val="11"/>
      <color rgb="FFFF0000"/>
      <name val="Calibri"/>
      <family val="2"/>
      <scheme val="minor"/>
    </font>
    <font>
      <b/>
      <sz val="9"/>
      <color indexed="81"/>
      <name val="Tahoma"/>
      <family val="2"/>
    </font>
    <font>
      <b/>
      <sz val="18"/>
      <name val="Arial"/>
      <family val="2"/>
    </font>
    <font>
      <sz val="18"/>
      <name val="Arial"/>
      <family val="2"/>
    </font>
  </fonts>
  <fills count="2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gray0625"/>
    </fill>
    <fill>
      <patternFill patternType="gray0625">
        <bgColor indexed="9"/>
      </patternFill>
    </fill>
    <fill>
      <patternFill patternType="solid">
        <fgColor indexed="29"/>
        <bgColor indexed="64"/>
      </patternFill>
    </fill>
    <fill>
      <patternFill patternType="solid">
        <fgColor indexed="49"/>
        <bgColor indexed="64"/>
      </patternFill>
    </fill>
    <fill>
      <patternFill patternType="solid">
        <fgColor indexed="31"/>
        <bgColor indexed="64"/>
      </patternFill>
    </fill>
    <fill>
      <patternFill patternType="solid">
        <fgColor indexed="55"/>
        <bgColor indexed="64"/>
      </patternFill>
    </fill>
    <fill>
      <patternFill patternType="solid">
        <fgColor indexed="22"/>
        <bgColor indexed="0"/>
      </patternFill>
    </fill>
    <fill>
      <patternFill patternType="solid">
        <fgColor indexed="42"/>
        <bgColor indexed="64"/>
      </patternFill>
    </fill>
    <fill>
      <patternFill patternType="solid">
        <fgColor indexed="44"/>
        <bgColor indexed="64"/>
      </patternFill>
    </fill>
    <fill>
      <patternFill patternType="solid">
        <fgColor theme="0"/>
        <bgColor indexed="64"/>
      </patternFill>
    </fill>
    <fill>
      <patternFill patternType="solid">
        <fgColor theme="0" tint="-0.14999847407452621"/>
        <bgColor indexed="64"/>
      </patternFill>
    </fill>
    <fill>
      <patternFill patternType="solid">
        <fgColor rgb="FFEAEAEA"/>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s>
  <borders count="73">
    <border>
      <left/>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ck">
        <color indexed="64"/>
      </right>
      <top style="thin">
        <color indexed="64"/>
      </top>
      <bottom style="thick">
        <color indexed="64"/>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double">
        <color indexed="64"/>
      </bottom>
      <diagonal/>
    </border>
    <border>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thin">
        <color indexed="64"/>
      </bottom>
      <diagonal/>
    </border>
    <border>
      <left/>
      <right/>
      <top style="thick">
        <color indexed="64"/>
      </top>
      <bottom/>
      <diagonal/>
    </border>
    <border>
      <left style="thick">
        <color indexed="64"/>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style="thin">
        <color indexed="64"/>
      </right>
      <top style="thin">
        <color indexed="64"/>
      </top>
      <bottom style="thick">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dashed">
        <color indexed="64"/>
      </bottom>
      <diagonal/>
    </border>
    <border>
      <left/>
      <right/>
      <top style="thin">
        <color indexed="64"/>
      </top>
      <bottom style="dashed">
        <color indexed="64"/>
      </bottom>
      <diagonal/>
    </border>
    <border>
      <left/>
      <right style="medium">
        <color indexed="64"/>
      </right>
      <top style="thin">
        <color indexed="64"/>
      </top>
      <bottom style="dashed">
        <color indexed="64"/>
      </bottom>
      <diagonal/>
    </border>
    <border>
      <left style="medium">
        <color indexed="64"/>
      </left>
      <right/>
      <top/>
      <bottom style="medium">
        <color indexed="64"/>
      </bottom>
      <diagonal/>
    </border>
    <border>
      <left style="medium">
        <color indexed="64"/>
      </left>
      <right/>
      <top style="medium">
        <color indexed="64"/>
      </top>
      <bottom/>
      <diagonal/>
    </border>
  </borders>
  <cellStyleXfs count="12">
    <xf numFmtId="0" fontId="0" fillId="0" borderId="0"/>
    <xf numFmtId="43" fontId="2" fillId="0" borderId="0" applyFont="0" applyFill="0" applyBorder="0" applyAlignment="0" applyProtection="0"/>
    <xf numFmtId="44" fontId="2" fillId="0" borderId="0" applyFont="0" applyFill="0" applyBorder="0" applyAlignment="0" applyProtection="0"/>
    <xf numFmtId="0" fontId="8" fillId="0" borderId="0" applyNumberFormat="0" applyFill="0" applyBorder="0" applyAlignment="0" applyProtection="0">
      <alignment vertical="top"/>
      <protection locked="0"/>
    </xf>
    <xf numFmtId="0" fontId="11" fillId="0" borderId="0"/>
    <xf numFmtId="0" fontId="25" fillId="0" borderId="0"/>
    <xf numFmtId="0" fontId="2" fillId="0" borderId="0">
      <alignment horizontal="left"/>
    </xf>
    <xf numFmtId="0" fontId="2" fillId="0" borderId="0"/>
    <xf numFmtId="0" fontId="25" fillId="0" borderId="0"/>
    <xf numFmtId="9" fontId="2" fillId="0" borderId="0" applyFont="0" applyFill="0" applyBorder="0" applyAlignment="0" applyProtection="0"/>
    <xf numFmtId="43" fontId="1" fillId="0" borderId="0" applyFont="0" applyFill="0" applyBorder="0" applyAlignment="0" applyProtection="0"/>
    <xf numFmtId="0" fontId="1" fillId="0" borderId="0"/>
  </cellStyleXfs>
  <cellXfs count="1541">
    <xf numFmtId="0" fontId="0" fillId="0" borderId="0" xfId="0"/>
    <xf numFmtId="0" fontId="0" fillId="2" borderId="0" xfId="0" applyFill="1"/>
    <xf numFmtId="0" fontId="0" fillId="2" borderId="0" xfId="0" applyFill="1" applyBorder="1" applyProtection="1"/>
    <xf numFmtId="0" fontId="7" fillId="3" borderId="0" xfId="0" applyFont="1" applyFill="1" applyBorder="1" applyAlignment="1" applyProtection="1">
      <alignment horizontal="left" vertical="center"/>
    </xf>
    <xf numFmtId="3" fontId="9" fillId="0" borderId="2" xfId="0" applyNumberFormat="1" applyFont="1" applyFill="1" applyBorder="1" applyAlignment="1" applyProtection="1">
      <alignment horizontal="center" vertical="center"/>
      <protection locked="0"/>
    </xf>
    <xf numFmtId="0" fontId="12" fillId="2" borderId="0" xfId="0" applyFont="1" applyFill="1" applyBorder="1" applyAlignment="1" applyProtection="1">
      <alignment horizontal="left" vertical="center" wrapText="1"/>
    </xf>
    <xf numFmtId="49" fontId="7" fillId="3" borderId="3" xfId="0" applyNumberFormat="1" applyFont="1" applyFill="1" applyBorder="1" applyAlignment="1" applyProtection="1">
      <alignment horizontal="center" vertical="center"/>
    </xf>
    <xf numFmtId="0" fontId="9" fillId="2" borderId="3" xfId="0" applyFont="1" applyFill="1" applyBorder="1" applyAlignment="1" applyProtection="1">
      <alignment horizontal="center" vertical="center"/>
      <protection locked="0"/>
    </xf>
    <xf numFmtId="0" fontId="0" fillId="2" borderId="4" xfId="0" applyFill="1" applyBorder="1" applyProtection="1">
      <protection locked="0"/>
    </xf>
    <xf numFmtId="0" fontId="0" fillId="2" borderId="5" xfId="0" applyFill="1" applyBorder="1" applyProtection="1">
      <protection locked="0"/>
    </xf>
    <xf numFmtId="0" fontId="0" fillId="2" borderId="6" xfId="0" applyFill="1" applyBorder="1" applyProtection="1">
      <protection locked="0"/>
    </xf>
    <xf numFmtId="0" fontId="0" fillId="2" borderId="7" xfId="0" applyFill="1" applyBorder="1" applyProtection="1">
      <protection locked="0"/>
    </xf>
    <xf numFmtId="0" fontId="0" fillId="2" borderId="8" xfId="0" applyFill="1" applyBorder="1" applyProtection="1">
      <protection locked="0"/>
    </xf>
    <xf numFmtId="0" fontId="0" fillId="2" borderId="9" xfId="0" applyFill="1" applyBorder="1" applyAlignment="1" applyProtection="1">
      <alignment vertical="center"/>
    </xf>
    <xf numFmtId="0" fontId="0" fillId="2" borderId="10" xfId="0" applyFill="1" applyBorder="1" applyProtection="1">
      <protection locked="0"/>
    </xf>
    <xf numFmtId="0" fontId="9" fillId="2" borderId="0" xfId="0" applyFont="1" applyFill="1" applyBorder="1" applyProtection="1"/>
    <xf numFmtId="0" fontId="0" fillId="2" borderId="0" xfId="0" applyFill="1" applyBorder="1" applyAlignment="1" applyProtection="1">
      <alignment vertical="center"/>
    </xf>
    <xf numFmtId="0" fontId="0" fillId="2" borderId="3" xfId="0" applyFill="1" applyBorder="1" applyAlignment="1" applyProtection="1">
      <alignment horizontal="right" vertical="center" wrapText="1"/>
    </xf>
    <xf numFmtId="49" fontId="7" fillId="4" borderId="0" xfId="0" applyNumberFormat="1" applyFont="1" applyFill="1" applyBorder="1" applyAlignment="1" applyProtection="1">
      <alignment horizontal="left" vertical="center" wrapText="1"/>
    </xf>
    <xf numFmtId="49" fontId="7" fillId="4" borderId="0" xfId="0" applyNumberFormat="1" applyFont="1" applyFill="1" applyAlignment="1" applyProtection="1">
      <alignment horizontal="left" vertical="center" wrapText="1"/>
    </xf>
    <xf numFmtId="165" fontId="0" fillId="2" borderId="3" xfId="0" applyNumberFormat="1" applyFill="1" applyBorder="1" applyAlignment="1" applyProtection="1">
      <alignment horizontal="center" vertical="center"/>
    </xf>
    <xf numFmtId="165" fontId="9" fillId="2" borderId="3" xfId="0" applyNumberFormat="1" applyFont="1" applyFill="1" applyBorder="1" applyAlignment="1" applyProtection="1">
      <alignment horizontal="center" vertical="center"/>
    </xf>
    <xf numFmtId="0" fontId="0" fillId="2" borderId="0" xfId="0" applyFill="1" applyBorder="1" applyAlignment="1" applyProtection="1">
      <alignment horizontal="left" vertical="center" wrapText="1"/>
    </xf>
    <xf numFmtId="0" fontId="21" fillId="2" borderId="11" xfId="0" applyFont="1" applyFill="1" applyBorder="1" applyAlignment="1" applyProtection="1">
      <alignment horizontal="center" vertical="center"/>
    </xf>
    <xf numFmtId="0" fontId="0" fillId="2" borderId="2" xfId="0" applyFill="1" applyBorder="1" applyAlignment="1" applyProtection="1">
      <alignment vertical="center"/>
    </xf>
    <xf numFmtId="165" fontId="11" fillId="5" borderId="12" xfId="0" applyNumberFormat="1" applyFont="1" applyFill="1" applyBorder="1" applyAlignment="1" applyProtection="1">
      <alignment vertical="center"/>
    </xf>
    <xf numFmtId="0" fontId="11" fillId="5" borderId="0" xfId="0" applyFont="1" applyFill="1" applyBorder="1" applyAlignment="1" applyProtection="1">
      <alignment vertical="center"/>
    </xf>
    <xf numFmtId="0" fontId="11" fillId="5" borderId="13" xfId="0" applyFont="1" applyFill="1" applyBorder="1" applyAlignment="1" applyProtection="1">
      <alignment vertical="center"/>
    </xf>
    <xf numFmtId="0" fontId="9" fillId="2" borderId="2" xfId="0" applyFont="1" applyFill="1" applyBorder="1" applyAlignment="1" applyProtection="1">
      <alignment vertical="center"/>
    </xf>
    <xf numFmtId="0" fontId="11" fillId="5" borderId="12" xfId="0" applyFont="1" applyFill="1" applyBorder="1" applyAlignment="1" applyProtection="1">
      <alignment vertical="center"/>
    </xf>
    <xf numFmtId="0" fontId="11" fillId="5" borderId="14" xfId="0" applyFont="1" applyFill="1" applyBorder="1" applyAlignment="1" applyProtection="1">
      <alignment vertical="center"/>
    </xf>
    <xf numFmtId="165" fontId="19" fillId="2" borderId="3" xfId="0" applyNumberFormat="1" applyFont="1" applyFill="1" applyBorder="1" applyAlignment="1" applyProtection="1">
      <alignment horizontal="center" vertical="center"/>
    </xf>
    <xf numFmtId="165" fontId="21" fillId="2" borderId="3" xfId="0" applyNumberFormat="1" applyFont="1" applyFill="1" applyBorder="1" applyAlignment="1" applyProtection="1">
      <alignment horizontal="center" vertical="center"/>
    </xf>
    <xf numFmtId="0" fontId="19" fillId="2" borderId="3" xfId="0" applyFont="1" applyFill="1" applyBorder="1" applyAlignment="1" applyProtection="1">
      <alignment horizontal="center" vertical="center"/>
    </xf>
    <xf numFmtId="0" fontId="6" fillId="3" borderId="0" xfId="0" applyFont="1" applyFill="1" applyBorder="1" applyAlignment="1" applyProtection="1">
      <alignment vertical="center"/>
    </xf>
    <xf numFmtId="0" fontId="6" fillId="3" borderId="3" xfId="0" applyFont="1" applyFill="1" applyBorder="1" applyAlignment="1" applyProtection="1">
      <alignment horizontal="center" vertical="center"/>
    </xf>
    <xf numFmtId="0" fontId="0" fillId="2" borderId="3" xfId="0" applyFill="1" applyBorder="1" applyAlignment="1" applyProtection="1">
      <alignment horizontal="center" vertical="center"/>
      <protection locked="0"/>
    </xf>
    <xf numFmtId="0" fontId="11" fillId="5" borderId="15" xfId="0" applyFont="1" applyFill="1" applyBorder="1" applyAlignment="1" applyProtection="1">
      <alignment vertical="center"/>
    </xf>
    <xf numFmtId="165" fontId="9" fillId="2" borderId="0" xfId="0" applyNumberFormat="1" applyFont="1" applyFill="1" applyBorder="1" applyAlignment="1" applyProtection="1">
      <alignment horizontal="center" vertical="center"/>
    </xf>
    <xf numFmtId="49" fontId="9" fillId="2" borderId="0" xfId="0" applyNumberFormat="1" applyFont="1" applyFill="1" applyBorder="1" applyAlignment="1" applyProtection="1">
      <alignment horizontal="left" vertical="center" wrapText="1"/>
    </xf>
    <xf numFmtId="0" fontId="0" fillId="6" borderId="12" xfId="0" applyFill="1" applyBorder="1" applyProtection="1"/>
    <xf numFmtId="0" fontId="0" fillId="6" borderId="0" xfId="0" applyFill="1" applyBorder="1" applyProtection="1"/>
    <xf numFmtId="0" fontId="0" fillId="2" borderId="0" xfId="0" applyFill="1" applyBorder="1" applyAlignment="1" applyProtection="1">
      <alignment horizontal="left"/>
    </xf>
    <xf numFmtId="49" fontId="24" fillId="2" borderId="0" xfId="3" applyNumberFormat="1" applyFont="1" applyFill="1" applyBorder="1" applyAlignment="1" applyProtection="1">
      <alignment horizontal="left" vertical="center" wrapText="1"/>
    </xf>
    <xf numFmtId="0" fontId="6" fillId="3" borderId="0" xfId="0" applyFont="1" applyFill="1" applyBorder="1" applyAlignment="1" applyProtection="1">
      <alignment horizontal="left" vertical="center"/>
    </xf>
    <xf numFmtId="0" fontId="0" fillId="2" borderId="3" xfId="0" applyFill="1" applyBorder="1" applyAlignment="1" applyProtection="1">
      <alignment horizontal="center" vertical="center"/>
    </xf>
    <xf numFmtId="0" fontId="9" fillId="2" borderId="3" xfId="0" applyFont="1" applyFill="1" applyBorder="1" applyAlignment="1" applyProtection="1">
      <alignment horizontal="center" vertical="center"/>
    </xf>
    <xf numFmtId="165" fontId="11" fillId="2" borderId="3" xfId="0" applyNumberFormat="1" applyFont="1" applyFill="1" applyBorder="1" applyAlignment="1" applyProtection="1">
      <alignment horizontal="center" vertical="center"/>
    </xf>
    <xf numFmtId="165" fontId="0" fillId="2" borderId="0" xfId="0" applyNumberFormat="1" applyFill="1" applyBorder="1" applyAlignment="1" applyProtection="1">
      <alignment horizontal="center" vertical="center"/>
    </xf>
    <xf numFmtId="49" fontId="0" fillId="2" borderId="0" xfId="0" applyNumberFormat="1" applyFill="1" applyBorder="1" applyAlignment="1" applyProtection="1">
      <alignment horizontal="left" vertical="center" wrapText="1"/>
    </xf>
    <xf numFmtId="3" fontId="0" fillId="2" borderId="0" xfId="0" applyNumberFormat="1" applyFill="1" applyBorder="1" applyAlignment="1" applyProtection="1">
      <alignment horizontal="right" vertical="center"/>
    </xf>
    <xf numFmtId="0" fontId="0" fillId="0" borderId="0" xfId="0" applyBorder="1" applyAlignment="1" applyProtection="1">
      <alignment horizontal="right" vertical="center"/>
    </xf>
    <xf numFmtId="0" fontId="0" fillId="3" borderId="0" xfId="0" applyFill="1" applyAlignment="1" applyProtection="1">
      <alignment horizontal="left" vertical="center"/>
    </xf>
    <xf numFmtId="0" fontId="7" fillId="3" borderId="0" xfId="0" applyFont="1" applyFill="1" applyBorder="1" applyAlignment="1" applyProtection="1">
      <alignment horizontal="center"/>
    </xf>
    <xf numFmtId="165" fontId="30" fillId="6" borderId="2" xfId="0" applyNumberFormat="1" applyFont="1" applyFill="1" applyBorder="1" applyAlignment="1" applyProtection="1">
      <alignment horizontal="center" vertical="center"/>
    </xf>
    <xf numFmtId="165" fontId="9" fillId="6" borderId="6" xfId="0" applyNumberFormat="1" applyFont="1" applyFill="1" applyBorder="1" applyAlignment="1" applyProtection="1">
      <alignment horizontal="center" vertical="center"/>
    </xf>
    <xf numFmtId="167" fontId="0" fillId="2" borderId="0" xfId="0" applyNumberFormat="1" applyFill="1" applyBorder="1" applyProtection="1"/>
    <xf numFmtId="0" fontId="22" fillId="5" borderId="16" xfId="0" applyFont="1" applyFill="1" applyBorder="1" applyAlignment="1" applyProtection="1">
      <alignment vertical="center"/>
    </xf>
    <xf numFmtId="0" fontId="22" fillId="5" borderId="0" xfId="0" applyFont="1" applyFill="1" applyBorder="1" applyAlignment="1" applyProtection="1">
      <alignment vertical="center"/>
    </xf>
    <xf numFmtId="0" fontId="22" fillId="5" borderId="13" xfId="0" applyFont="1" applyFill="1" applyBorder="1" applyAlignment="1" applyProtection="1">
      <alignment vertical="center"/>
    </xf>
    <xf numFmtId="0" fontId="11" fillId="5" borderId="16" xfId="0" applyFont="1" applyFill="1" applyBorder="1" applyAlignment="1" applyProtection="1">
      <alignment vertical="center"/>
    </xf>
    <xf numFmtId="0" fontId="11" fillId="5" borderId="17" xfId="0" applyFont="1" applyFill="1" applyBorder="1" applyAlignment="1" applyProtection="1">
      <alignment vertical="center"/>
    </xf>
    <xf numFmtId="49" fontId="0" fillId="2" borderId="0" xfId="0" applyNumberFormat="1" applyFill="1" applyBorder="1" applyAlignment="1" applyProtection="1">
      <alignment horizontal="left"/>
    </xf>
    <xf numFmtId="49" fontId="0" fillId="2" borderId="0" xfId="0" applyNumberFormat="1" applyFill="1" applyBorder="1" applyAlignment="1" applyProtection="1">
      <alignment horizontal="center"/>
    </xf>
    <xf numFmtId="169" fontId="0" fillId="2" borderId="0" xfId="0" applyNumberFormat="1" applyFill="1" applyBorder="1" applyAlignment="1" applyProtection="1">
      <alignment horizontal="right"/>
    </xf>
    <xf numFmtId="0" fontId="11" fillId="5" borderId="11" xfId="0" applyFont="1" applyFill="1" applyBorder="1" applyAlignment="1" applyProtection="1">
      <alignment vertical="center"/>
    </xf>
    <xf numFmtId="0" fontId="19" fillId="0" borderId="18" xfId="0" applyFont="1" applyBorder="1" applyAlignment="1" applyProtection="1">
      <alignment horizontal="center" vertical="center"/>
    </xf>
    <xf numFmtId="0" fontId="21" fillId="0" borderId="18" xfId="0" applyFont="1" applyBorder="1" applyAlignment="1" applyProtection="1">
      <alignment horizontal="center" vertical="center"/>
    </xf>
    <xf numFmtId="0" fontId="0" fillId="2" borderId="0" xfId="0" applyFill="1" applyBorder="1" applyAlignment="1" applyProtection="1">
      <alignment horizontal="center" vertical="center"/>
    </xf>
    <xf numFmtId="0" fontId="0" fillId="2" borderId="0" xfId="0" applyFill="1" applyProtection="1"/>
    <xf numFmtId="0" fontId="6" fillId="3" borderId="0" xfId="0" applyFont="1" applyFill="1" applyAlignment="1" applyProtection="1">
      <alignment horizontal="left" vertical="center" wrapText="1"/>
    </xf>
    <xf numFmtId="0" fontId="0" fillId="2" borderId="6" xfId="0" applyFill="1" applyBorder="1" applyProtection="1"/>
    <xf numFmtId="49" fontId="7" fillId="3" borderId="19" xfId="0" applyNumberFormat="1" applyFont="1" applyFill="1" applyBorder="1" applyAlignment="1" applyProtection="1">
      <alignment horizontal="center" vertical="center"/>
    </xf>
    <xf numFmtId="167" fontId="0" fillId="2" borderId="3" xfId="0" applyNumberFormat="1" applyFill="1" applyBorder="1" applyAlignment="1" applyProtection="1">
      <alignment horizontal="center" vertical="center" wrapText="1"/>
      <protection locked="0"/>
    </xf>
    <xf numFmtId="1" fontId="0" fillId="2" borderId="3" xfId="0" applyNumberFormat="1" applyFill="1" applyBorder="1" applyAlignment="1" applyProtection="1">
      <alignment horizontal="center" vertical="center" wrapText="1"/>
      <protection locked="0"/>
    </xf>
    <xf numFmtId="0" fontId="22" fillId="5" borderId="15" xfId="0" applyFont="1" applyFill="1" applyBorder="1" applyAlignment="1" applyProtection="1">
      <alignment vertical="center"/>
    </xf>
    <xf numFmtId="0" fontId="11" fillId="2" borderId="0" xfId="0" applyFont="1" applyFill="1" applyBorder="1" applyAlignment="1" applyProtection="1">
      <alignment vertical="center" wrapText="1"/>
    </xf>
    <xf numFmtId="0" fontId="34" fillId="2" borderId="0" xfId="0" applyFont="1" applyFill="1" applyBorder="1" applyAlignment="1" applyProtection="1">
      <alignment horizontal="center" vertical="center" textRotation="180"/>
    </xf>
    <xf numFmtId="1" fontId="35" fillId="2" borderId="3" xfId="0" applyNumberFormat="1" applyFont="1" applyFill="1" applyBorder="1" applyAlignment="1" applyProtection="1">
      <alignment horizontal="center" vertical="center"/>
    </xf>
    <xf numFmtId="1" fontId="0" fillId="2" borderId="3" xfId="0" applyNumberFormat="1" applyFill="1" applyBorder="1" applyAlignment="1" applyProtection="1">
      <alignment horizontal="left" vertical="center"/>
      <protection locked="0"/>
    </xf>
    <xf numFmtId="0" fontId="6" fillId="3" borderId="2" xfId="0" applyFont="1" applyFill="1" applyBorder="1" applyAlignment="1" applyProtection="1">
      <alignment horizontal="center" vertical="center"/>
    </xf>
    <xf numFmtId="49" fontId="0" fillId="2" borderId="0" xfId="0" applyNumberFormat="1" applyFont="1" applyFill="1" applyBorder="1" applyAlignment="1" applyProtection="1">
      <alignment horizontal="left" vertical="center" wrapText="1"/>
    </xf>
    <xf numFmtId="0" fontId="19" fillId="2" borderId="0" xfId="0" applyFont="1" applyFill="1" applyBorder="1" applyAlignment="1" applyProtection="1">
      <alignment horizontal="center" vertical="center"/>
    </xf>
    <xf numFmtId="0" fontId="0" fillId="2" borderId="0" xfId="0" applyFill="1" applyBorder="1"/>
    <xf numFmtId="0" fontId="0" fillId="0" borderId="0" xfId="0" applyAlignment="1" applyProtection="1">
      <alignment horizontal="left" vertical="center" wrapText="1"/>
    </xf>
    <xf numFmtId="0" fontId="36" fillId="2" borderId="0" xfId="0" applyFont="1" applyFill="1" applyAlignment="1">
      <alignment horizontal="center" vertical="top"/>
    </xf>
    <xf numFmtId="0" fontId="11" fillId="2" borderId="0" xfId="0" applyFont="1" applyFill="1" applyAlignment="1">
      <alignment horizontal="center" vertical="top"/>
    </xf>
    <xf numFmtId="0" fontId="11" fillId="2" borderId="0" xfId="0" applyFont="1" applyFill="1" applyAlignment="1">
      <alignment horizontal="left" vertical="top" wrapText="1"/>
    </xf>
    <xf numFmtId="0" fontId="11" fillId="2" borderId="0" xfId="0" applyFont="1" applyFill="1" applyAlignment="1">
      <alignment horizontal="center" vertical="top" wrapText="1"/>
    </xf>
    <xf numFmtId="0" fontId="0" fillId="2" borderId="0" xfId="0" applyFill="1" applyAlignment="1">
      <alignment horizontal="center"/>
    </xf>
    <xf numFmtId="0" fontId="11" fillId="2" borderId="0" xfId="0" applyFont="1" applyFill="1"/>
    <xf numFmtId="0" fontId="11" fillId="2" borderId="0" xfId="0" applyFont="1" applyFill="1" applyAlignment="1">
      <alignment horizontal="center" wrapText="1"/>
    </xf>
    <xf numFmtId="0" fontId="29" fillId="2" borderId="0" xfId="0" applyFont="1" applyFill="1" applyAlignment="1">
      <alignment horizontal="left" wrapText="1"/>
    </xf>
    <xf numFmtId="0" fontId="2" fillId="0" borderId="0" xfId="6">
      <alignment horizontal="left"/>
    </xf>
    <xf numFmtId="0" fontId="9" fillId="0" borderId="0" xfId="6" applyFont="1">
      <alignment horizontal="left"/>
    </xf>
    <xf numFmtId="0" fontId="8" fillId="0" borderId="0" xfId="3" quotePrefix="1" applyFont="1" applyAlignment="1" applyProtection="1">
      <alignment horizontal="left"/>
    </xf>
    <xf numFmtId="0" fontId="9" fillId="0" borderId="0" xfId="6" applyFont="1" applyFill="1" applyBorder="1">
      <alignment horizontal="left"/>
    </xf>
    <xf numFmtId="166" fontId="2" fillId="0" borderId="0" xfId="2" applyNumberFormat="1" applyAlignment="1">
      <alignment horizontal="left"/>
    </xf>
    <xf numFmtId="166" fontId="2" fillId="0" borderId="0" xfId="2" applyNumberFormat="1" applyFont="1" applyFill="1" applyBorder="1" applyAlignment="1" applyProtection="1">
      <alignment horizontal="center" wrapText="1"/>
    </xf>
    <xf numFmtId="0" fontId="2" fillId="0" borderId="0" xfId="6" applyFill="1" applyProtection="1">
      <alignment horizontal="left"/>
    </xf>
    <xf numFmtId="0" fontId="11" fillId="0" borderId="0" xfId="6" applyFont="1" applyFill="1" applyBorder="1" applyAlignment="1" applyProtection="1">
      <alignment horizontal="left" wrapText="1"/>
      <protection hidden="1"/>
    </xf>
    <xf numFmtId="0" fontId="8" fillId="0" borderId="0" xfId="3" applyAlignment="1" applyProtection="1">
      <alignment horizontal="left"/>
    </xf>
    <xf numFmtId="10" fontId="11" fillId="0" borderId="0" xfId="9" applyNumberFormat="1" applyFont="1" applyFill="1" applyBorder="1" applyAlignment="1" applyProtection="1">
      <alignment horizontal="center" wrapText="1"/>
    </xf>
    <xf numFmtId="0" fontId="2" fillId="0" borderId="0" xfId="6" applyAlignment="1" applyProtection="1">
      <alignment horizontal="left" wrapText="1"/>
      <protection hidden="1"/>
    </xf>
    <xf numFmtId="0" fontId="2" fillId="0" borderId="0" xfId="6" applyProtection="1">
      <alignment horizontal="left"/>
    </xf>
    <xf numFmtId="0" fontId="2" fillId="0" borderId="0" xfId="6" applyProtection="1">
      <alignment horizontal="left"/>
      <protection hidden="1"/>
    </xf>
    <xf numFmtId="0" fontId="8" fillId="0" borderId="0" xfId="3" quotePrefix="1" applyAlignment="1" applyProtection="1">
      <alignment horizontal="left"/>
    </xf>
    <xf numFmtId="0" fontId="9" fillId="0" borderId="0" xfId="6" applyFont="1" applyProtection="1">
      <alignment horizontal="left"/>
    </xf>
    <xf numFmtId="0" fontId="9" fillId="0" borderId="0" xfId="6" applyFont="1" applyAlignment="1">
      <alignment horizontal="center"/>
    </xf>
    <xf numFmtId="0" fontId="2" fillId="0" borderId="0" xfId="6" applyFill="1">
      <alignment horizontal="left"/>
    </xf>
    <xf numFmtId="0" fontId="9" fillId="0" borderId="0" xfId="6" applyFont="1" applyFill="1" applyBorder="1" applyAlignment="1">
      <alignment horizontal="center"/>
    </xf>
    <xf numFmtId="0" fontId="9" fillId="0" borderId="0" xfId="6" applyFont="1" applyFill="1" applyAlignment="1">
      <alignment horizontal="center"/>
    </xf>
    <xf numFmtId="0" fontId="9" fillId="0" borderId="0" xfId="6" applyFont="1" applyFill="1" applyAlignment="1" applyProtection="1">
      <alignment horizontal="center"/>
    </xf>
    <xf numFmtId="43" fontId="2" fillId="0" borderId="0" xfId="6" applyNumberFormat="1">
      <alignment horizontal="left"/>
    </xf>
    <xf numFmtId="170" fontId="2" fillId="3" borderId="12" xfId="6" applyNumberFormat="1" applyFill="1" applyBorder="1" applyAlignment="1" applyProtection="1">
      <alignment horizontal="center"/>
    </xf>
    <xf numFmtId="10" fontId="2" fillId="3" borderId="20" xfId="6" applyNumberFormat="1" applyFill="1" applyBorder="1" applyAlignment="1" applyProtection="1">
      <alignment horizontal="center"/>
    </xf>
    <xf numFmtId="0" fontId="9" fillId="0" borderId="0" xfId="6" applyFont="1" applyAlignment="1">
      <alignment horizontal="left" wrapText="1"/>
    </xf>
    <xf numFmtId="6" fontId="11" fillId="0" borderId="0" xfId="6" applyNumberFormat="1" applyFont="1" applyAlignment="1">
      <alignment horizontal="left" wrapText="1"/>
    </xf>
    <xf numFmtId="42" fontId="2" fillId="0" borderId="0" xfId="2" applyNumberFormat="1" applyAlignment="1">
      <alignment horizontal="center"/>
    </xf>
    <xf numFmtId="10" fontId="9" fillId="0" borderId="0" xfId="9" applyNumberFormat="1" applyFont="1" applyAlignment="1">
      <alignment horizontal="right"/>
    </xf>
    <xf numFmtId="10" fontId="2" fillId="0" borderId="0" xfId="9" applyNumberFormat="1" applyAlignment="1">
      <alignment horizontal="right"/>
    </xf>
    <xf numFmtId="0" fontId="2" fillId="0" borderId="0" xfId="6" applyAlignment="1">
      <alignment horizontal="left" wrapText="1"/>
    </xf>
    <xf numFmtId="0" fontId="9" fillId="0" borderId="0" xfId="6" applyFont="1" applyFill="1" applyAlignment="1" applyProtection="1">
      <alignment horizontal="left"/>
    </xf>
    <xf numFmtId="170" fontId="11" fillId="0" borderId="0" xfId="6" applyNumberFormat="1" applyFont="1">
      <alignment horizontal="left"/>
    </xf>
    <xf numFmtId="167" fontId="2" fillId="0" borderId="0" xfId="6" applyNumberFormat="1">
      <alignment horizontal="left"/>
    </xf>
    <xf numFmtId="0" fontId="2" fillId="3" borderId="12" xfId="6" applyFill="1" applyBorder="1" applyAlignment="1" applyProtection="1">
      <alignment horizontal="center"/>
    </xf>
    <xf numFmtId="0" fontId="11" fillId="0" borderId="0" xfId="6" applyFont="1">
      <alignment horizontal="left"/>
    </xf>
    <xf numFmtId="0" fontId="11" fillId="3" borderId="12" xfId="6" applyFont="1" applyFill="1" applyBorder="1" applyAlignment="1" applyProtection="1">
      <alignment horizontal="center"/>
    </xf>
    <xf numFmtId="170" fontId="11" fillId="3" borderId="12" xfId="6" applyNumberFormat="1" applyFont="1" applyFill="1" applyBorder="1" applyAlignment="1" applyProtection="1">
      <alignment horizontal="center"/>
    </xf>
    <xf numFmtId="0" fontId="38" fillId="0" borderId="0" xfId="7" applyFont="1" applyProtection="1"/>
    <xf numFmtId="0" fontId="39" fillId="0" borderId="0" xfId="7" applyFont="1" applyProtection="1"/>
    <xf numFmtId="0" fontId="2" fillId="0" borderId="0" xfId="7" applyProtection="1"/>
    <xf numFmtId="0" fontId="2" fillId="0" borderId="0" xfId="7" applyProtection="1">
      <protection locked="0"/>
    </xf>
    <xf numFmtId="0" fontId="2" fillId="0" borderId="0" xfId="7" applyFont="1" applyProtection="1"/>
    <xf numFmtId="0" fontId="41" fillId="0" borderId="0" xfId="7" applyFont="1" applyAlignment="1" applyProtection="1">
      <alignment horizontal="centerContinuous"/>
    </xf>
    <xf numFmtId="0" fontId="42" fillId="7" borderId="0" xfId="7" applyFont="1" applyFill="1" applyAlignment="1" applyProtection="1">
      <alignment horizontal="centerContinuous"/>
    </xf>
    <xf numFmtId="0" fontId="2" fillId="8" borderId="13" xfId="7" applyFont="1" applyFill="1" applyBorder="1" applyAlignment="1" applyProtection="1">
      <alignment horizontal="center" wrapText="1"/>
    </xf>
    <xf numFmtId="0" fontId="2" fillId="8" borderId="13" xfId="7" applyFill="1" applyBorder="1" applyAlignment="1" applyProtection="1">
      <alignment horizontal="center" wrapText="1"/>
    </xf>
    <xf numFmtId="0" fontId="2" fillId="0" borderId="0" xfId="7" applyBorder="1" applyProtection="1">
      <protection locked="0"/>
    </xf>
    <xf numFmtId="167" fontId="2" fillId="0" borderId="0" xfId="1" applyNumberFormat="1" applyProtection="1">
      <protection locked="0"/>
    </xf>
    <xf numFmtId="167" fontId="2" fillId="0" borderId="0" xfId="1" applyNumberFormat="1" applyBorder="1" applyProtection="1">
      <protection locked="0"/>
    </xf>
    <xf numFmtId="167" fontId="2" fillId="0" borderId="0" xfId="1" applyNumberFormat="1" applyProtection="1"/>
    <xf numFmtId="167" fontId="2" fillId="0" borderId="0" xfId="7" applyNumberFormat="1" applyProtection="1"/>
    <xf numFmtId="0" fontId="2" fillId="0" borderId="0" xfId="7" applyAlignment="1" applyProtection="1">
      <protection locked="0"/>
    </xf>
    <xf numFmtId="0" fontId="43" fillId="0" borderId="0" xfId="7" applyFont="1" applyProtection="1"/>
    <xf numFmtId="167" fontId="43" fillId="0" borderId="0" xfId="1" applyNumberFormat="1" applyFont="1" applyBorder="1" applyProtection="1">
      <protection locked="0"/>
    </xf>
    <xf numFmtId="167" fontId="43" fillId="0" borderId="0" xfId="1" applyNumberFormat="1" applyFont="1" applyBorder="1" applyProtection="1"/>
    <xf numFmtId="167" fontId="2" fillId="0" borderId="0" xfId="7" applyNumberFormat="1" applyProtection="1">
      <protection locked="0"/>
    </xf>
    <xf numFmtId="167" fontId="2" fillId="0" borderId="0" xfId="1" applyNumberFormat="1" applyBorder="1" applyProtection="1"/>
    <xf numFmtId="167" fontId="43" fillId="0" borderId="0" xfId="7" applyNumberFormat="1" applyFont="1" applyProtection="1">
      <protection locked="0"/>
    </xf>
    <xf numFmtId="0" fontId="2" fillId="0" borderId="13" xfId="7" applyBorder="1" applyProtection="1"/>
    <xf numFmtId="167" fontId="2" fillId="0" borderId="13" xfId="7" applyNumberFormat="1" applyBorder="1" applyProtection="1">
      <protection locked="0"/>
    </xf>
    <xf numFmtId="167" fontId="2" fillId="0" borderId="13" xfId="1" applyNumberFormat="1" applyBorder="1" applyProtection="1">
      <protection locked="0"/>
    </xf>
    <xf numFmtId="167" fontId="2" fillId="0" borderId="13" xfId="7" applyNumberFormat="1" applyBorder="1" applyProtection="1"/>
    <xf numFmtId="0" fontId="2" fillId="0" borderId="13" xfId="7" applyBorder="1" applyProtection="1">
      <protection locked="0"/>
    </xf>
    <xf numFmtId="0" fontId="2" fillId="0" borderId="0" xfId="7" applyBorder="1" applyProtection="1"/>
    <xf numFmtId="167" fontId="2" fillId="0" borderId="0" xfId="7" applyNumberFormat="1" applyBorder="1" applyProtection="1">
      <protection locked="0"/>
    </xf>
    <xf numFmtId="167" fontId="2" fillId="0" borderId="0" xfId="7" applyNumberFormat="1" applyBorder="1" applyProtection="1"/>
    <xf numFmtId="0" fontId="2" fillId="0" borderId="0" xfId="7" applyFont="1" applyBorder="1" applyProtection="1"/>
    <xf numFmtId="0" fontId="2" fillId="0" borderId="21" xfId="7" applyBorder="1" applyProtection="1"/>
    <xf numFmtId="167" fontId="2" fillId="0" borderId="21" xfId="7" applyNumberFormat="1" applyBorder="1" applyProtection="1">
      <protection locked="0"/>
    </xf>
    <xf numFmtId="167" fontId="2" fillId="0" borderId="21" xfId="1" applyNumberFormat="1" applyBorder="1" applyProtection="1"/>
    <xf numFmtId="167" fontId="2" fillId="0" borderId="21" xfId="7" applyNumberFormat="1" applyBorder="1" applyProtection="1"/>
    <xf numFmtId="0" fontId="2" fillId="0" borderId="21" xfId="7" applyBorder="1" applyProtection="1">
      <protection locked="0"/>
    </xf>
    <xf numFmtId="38" fontId="2" fillId="0" borderId="0" xfId="7" applyNumberFormat="1" applyProtection="1"/>
    <xf numFmtId="0" fontId="2" fillId="0" borderId="0" xfId="7" applyFill="1" applyBorder="1" applyProtection="1"/>
    <xf numFmtId="0" fontId="2" fillId="0" borderId="0" xfId="7" applyFill="1" applyBorder="1" applyProtection="1">
      <protection locked="0"/>
    </xf>
    <xf numFmtId="38" fontId="2" fillId="0" borderId="0" xfId="7" applyNumberFormat="1" applyBorder="1" applyProtection="1">
      <protection locked="0"/>
    </xf>
    <xf numFmtId="38" fontId="2" fillId="0" borderId="0" xfId="7" applyNumberFormat="1" applyProtection="1">
      <protection locked="0"/>
    </xf>
    <xf numFmtId="0" fontId="2" fillId="3" borderId="13" xfId="7" applyFill="1" applyBorder="1" applyAlignment="1" applyProtection="1">
      <alignment horizontal="center" wrapText="1"/>
    </xf>
    <xf numFmtId="0" fontId="2" fillId="3" borderId="13" xfId="7" applyFill="1" applyBorder="1" applyAlignment="1" applyProtection="1">
      <alignment horizontal="center"/>
    </xf>
    <xf numFmtId="38" fontId="2" fillId="3" borderId="13" xfId="7" applyNumberFormat="1" applyFill="1" applyBorder="1" applyAlignment="1" applyProtection="1">
      <alignment horizontal="center" wrapText="1"/>
    </xf>
    <xf numFmtId="0" fontId="2" fillId="3" borderId="13" xfId="7" applyFont="1" applyFill="1" applyBorder="1" applyAlignment="1" applyProtection="1">
      <alignment horizontal="center" wrapText="1"/>
    </xf>
    <xf numFmtId="0" fontId="43" fillId="0" borderId="0" xfId="7" applyFont="1" applyProtection="1">
      <protection locked="0"/>
    </xf>
    <xf numFmtId="0" fontId="43" fillId="0" borderId="0" xfId="7" applyFont="1" applyAlignment="1" applyProtection="1">
      <protection locked="0"/>
    </xf>
    <xf numFmtId="38" fontId="2" fillId="0" borderId="13" xfId="7" applyNumberFormat="1" applyBorder="1" applyProtection="1">
      <protection locked="0"/>
    </xf>
    <xf numFmtId="167" fontId="2" fillId="0" borderId="0" xfId="1" applyNumberFormat="1" applyFont="1" applyBorder="1" applyProtection="1"/>
    <xf numFmtId="38" fontId="2" fillId="0" borderId="21" xfId="7" applyNumberFormat="1" applyBorder="1" applyProtection="1">
      <protection locked="0"/>
    </xf>
    <xf numFmtId="0" fontId="12" fillId="4" borderId="0" xfId="7" applyFont="1" applyFill="1" applyProtection="1"/>
    <xf numFmtId="38" fontId="12" fillId="4" borderId="0" xfId="7" applyNumberFormat="1" applyFont="1" applyFill="1" applyProtection="1"/>
    <xf numFmtId="0" fontId="35" fillId="9" borderId="0" xfId="7" applyFont="1" applyFill="1" applyProtection="1"/>
    <xf numFmtId="38" fontId="35" fillId="9" borderId="0" xfId="7" applyNumberFormat="1" applyFont="1" applyFill="1" applyProtection="1"/>
    <xf numFmtId="0" fontId="11" fillId="0" borderId="0" xfId="0" applyFont="1"/>
    <xf numFmtId="0" fontId="9" fillId="2" borderId="0" xfId="0" applyFont="1" applyFill="1" applyBorder="1" applyAlignment="1">
      <alignment horizontal="left" wrapText="1"/>
    </xf>
    <xf numFmtId="0" fontId="9" fillId="2" borderId="0" xfId="0" applyFont="1" applyFill="1" applyBorder="1" applyAlignment="1">
      <alignment wrapText="1"/>
    </xf>
    <xf numFmtId="0" fontId="11" fillId="2" borderId="0" xfId="0" applyFont="1" applyFill="1" applyBorder="1" applyAlignment="1">
      <alignment vertical="top" wrapText="1"/>
    </xf>
    <xf numFmtId="0" fontId="9" fillId="2" borderId="0" xfId="0" applyFont="1" applyFill="1" applyBorder="1" applyAlignment="1">
      <alignment vertical="top" wrapText="1"/>
    </xf>
    <xf numFmtId="0" fontId="14" fillId="2" borderId="2" xfId="3" applyFont="1" applyFill="1" applyBorder="1" applyAlignment="1" applyProtection="1">
      <alignment horizontal="left" vertical="top" wrapText="1"/>
    </xf>
    <xf numFmtId="0" fontId="9" fillId="2" borderId="6" xfId="0" applyFont="1" applyFill="1" applyBorder="1" applyAlignment="1">
      <alignment vertical="top" wrapText="1"/>
    </xf>
    <xf numFmtId="0" fontId="11" fillId="2" borderId="18" xfId="0" applyFont="1" applyFill="1" applyBorder="1" applyAlignment="1">
      <alignment vertical="top" wrapText="1"/>
    </xf>
    <xf numFmtId="0" fontId="11" fillId="2" borderId="0" xfId="0" applyFont="1" applyFill="1" applyBorder="1"/>
    <xf numFmtId="165" fontId="14" fillId="2" borderId="16" xfId="3" applyNumberFormat="1" applyFont="1" applyFill="1" applyBorder="1" applyAlignment="1" applyProtection="1">
      <alignment horizontal="left" vertical="top" wrapText="1"/>
      <protection hidden="1"/>
    </xf>
    <xf numFmtId="0" fontId="9" fillId="2" borderId="16" xfId="0" applyFont="1" applyFill="1" applyBorder="1" applyAlignment="1" applyProtection="1">
      <alignment horizontal="left" vertical="top" wrapText="1"/>
      <protection hidden="1"/>
    </xf>
    <xf numFmtId="0" fontId="11" fillId="2" borderId="17" xfId="0" applyFont="1" applyFill="1" applyBorder="1" applyAlignment="1" applyProtection="1">
      <alignment horizontal="left" vertical="top" wrapText="1"/>
      <protection hidden="1"/>
    </xf>
    <xf numFmtId="0" fontId="8" fillId="0" borderId="0" xfId="3" applyBorder="1" applyAlignment="1" applyProtection="1">
      <alignment horizontal="left" vertical="top" wrapText="1"/>
    </xf>
    <xf numFmtId="0" fontId="9" fillId="2" borderId="0" xfId="0" applyFont="1" applyFill="1" applyBorder="1" applyAlignment="1" applyProtection="1">
      <alignment horizontal="left" vertical="top" wrapText="1"/>
      <protection hidden="1"/>
    </xf>
    <xf numFmtId="0" fontId="0" fillId="0" borderId="15" xfId="0" applyBorder="1" applyAlignment="1">
      <alignment horizontal="left" vertical="top" wrapText="1"/>
    </xf>
    <xf numFmtId="0" fontId="0" fillId="0" borderId="13" xfId="0" applyBorder="1" applyAlignment="1">
      <alignment horizontal="left" vertical="top" wrapText="1"/>
    </xf>
    <xf numFmtId="0" fontId="9" fillId="2" borderId="13" xfId="0" applyFont="1" applyFill="1" applyBorder="1" applyAlignment="1" applyProtection="1">
      <alignment horizontal="left" vertical="top" wrapText="1"/>
      <protection hidden="1"/>
    </xf>
    <xf numFmtId="0" fontId="11" fillId="2" borderId="15" xfId="0" applyFont="1" applyFill="1" applyBorder="1" applyAlignment="1">
      <alignment horizontal="left" vertical="top" wrapText="1"/>
    </xf>
    <xf numFmtId="0" fontId="11" fillId="2" borderId="22" xfId="0" applyFont="1" applyFill="1" applyBorder="1" applyAlignment="1">
      <alignment horizontal="left" vertical="top" wrapText="1"/>
    </xf>
    <xf numFmtId="0" fontId="11" fillId="2" borderId="0" xfId="0" applyFont="1" applyFill="1" applyBorder="1" applyAlignment="1">
      <alignment vertical="top"/>
    </xf>
    <xf numFmtId="165" fontId="14" fillId="2" borderId="2" xfId="3" applyNumberFormat="1" applyFont="1" applyFill="1" applyBorder="1" applyAlignment="1" applyProtection="1">
      <alignment horizontal="left" vertical="top"/>
    </xf>
    <xf numFmtId="0" fontId="9" fillId="2" borderId="6" xfId="0" applyFont="1" applyFill="1" applyBorder="1" applyAlignment="1">
      <alignment horizontal="left" vertical="top" wrapText="1"/>
    </xf>
    <xf numFmtId="0" fontId="11" fillId="2" borderId="18" xfId="0" applyFont="1" applyFill="1" applyBorder="1" applyAlignment="1">
      <alignment horizontal="left" vertical="top" wrapText="1"/>
    </xf>
    <xf numFmtId="0" fontId="11" fillId="2" borderId="0" xfId="0" applyFont="1" applyFill="1" applyBorder="1" applyAlignment="1">
      <alignment horizontal="center" vertical="top"/>
    </xf>
    <xf numFmtId="0" fontId="9" fillId="2" borderId="0" xfId="0" applyFont="1" applyFill="1" applyBorder="1" applyAlignment="1">
      <alignment horizontal="center" vertical="top" wrapText="1"/>
    </xf>
    <xf numFmtId="0" fontId="11" fillId="2" borderId="0" xfId="0" applyFont="1" applyFill="1" applyBorder="1" applyAlignment="1">
      <alignment horizontal="center" vertical="top" wrapText="1"/>
    </xf>
    <xf numFmtId="0" fontId="11" fillId="0" borderId="18" xfId="0" applyFont="1" applyFill="1" applyBorder="1" applyAlignment="1">
      <alignment horizontal="left" vertical="top" wrapText="1"/>
    </xf>
    <xf numFmtId="165" fontId="11" fillId="2" borderId="11" xfId="0" applyNumberFormat="1" applyFont="1" applyFill="1" applyBorder="1" applyAlignment="1" applyProtection="1">
      <alignment horizontal="left" wrapText="1"/>
    </xf>
    <xf numFmtId="0" fontId="9" fillId="2" borderId="16" xfId="0" applyFont="1" applyFill="1" applyBorder="1" applyAlignment="1" applyProtection="1">
      <alignment horizontal="left" wrapText="1"/>
      <protection hidden="1"/>
    </xf>
    <xf numFmtId="165" fontId="8" fillId="2" borderId="12" xfId="3" applyNumberFormat="1" applyFill="1" applyBorder="1" applyAlignment="1" applyProtection="1">
      <alignment horizontal="left" vertical="top" wrapText="1"/>
    </xf>
    <xf numFmtId="0" fontId="11" fillId="2" borderId="0" xfId="0" applyFont="1" applyFill="1" applyBorder="1" applyAlignment="1" applyProtection="1">
      <alignment horizontal="left" vertical="top" wrapText="1" indent="3"/>
      <protection hidden="1"/>
    </xf>
    <xf numFmtId="165" fontId="8" fillId="2" borderId="12" xfId="3" applyNumberFormat="1" applyFill="1" applyBorder="1" applyAlignment="1" applyProtection="1">
      <alignment horizontal="left" vertical="top"/>
    </xf>
    <xf numFmtId="165" fontId="8" fillId="2" borderId="14" xfId="3" applyNumberFormat="1" applyFill="1" applyBorder="1" applyAlignment="1" applyProtection="1">
      <alignment horizontal="left" vertical="top"/>
    </xf>
    <xf numFmtId="0" fontId="11" fillId="2" borderId="13" xfId="0" applyFont="1" applyFill="1" applyBorder="1" applyAlignment="1" applyProtection="1">
      <alignment horizontal="left" vertical="top" wrapText="1" indent="3"/>
      <protection hidden="1"/>
    </xf>
    <xf numFmtId="0" fontId="8" fillId="2" borderId="2" xfId="3" applyFill="1" applyBorder="1" applyAlignment="1" applyProtection="1">
      <alignment vertical="top"/>
    </xf>
    <xf numFmtId="0" fontId="35" fillId="2" borderId="6" xfId="0" applyFont="1" applyFill="1" applyBorder="1" applyAlignment="1">
      <alignment vertical="top" wrapText="1"/>
    </xf>
    <xf numFmtId="0" fontId="8" fillId="0" borderId="6" xfId="3" applyBorder="1" applyAlignment="1" applyProtection="1">
      <alignment horizontal="left" vertical="top"/>
    </xf>
    <xf numFmtId="0" fontId="0" fillId="0" borderId="18" xfId="0" applyBorder="1" applyAlignment="1">
      <alignment horizontal="left" vertical="top" wrapText="1"/>
    </xf>
    <xf numFmtId="0" fontId="2" fillId="0" borderId="16" xfId="0" applyFont="1" applyBorder="1" applyAlignment="1">
      <alignment horizontal="left" wrapText="1"/>
    </xf>
    <xf numFmtId="0" fontId="0" fillId="0" borderId="16" xfId="0" applyBorder="1" applyAlignment="1">
      <alignment horizontal="left" wrapText="1"/>
    </xf>
    <xf numFmtId="0" fontId="11" fillId="0" borderId="0" xfId="0" applyFont="1" applyAlignment="1">
      <alignment horizontal="left" wrapText="1"/>
    </xf>
    <xf numFmtId="165" fontId="11" fillId="6" borderId="0" xfId="0" applyNumberFormat="1" applyFont="1" applyFill="1" applyBorder="1" applyAlignment="1" applyProtection="1">
      <alignment vertical="center"/>
    </xf>
    <xf numFmtId="165" fontId="11" fillId="6" borderId="16" xfId="0" applyNumberFormat="1" applyFont="1" applyFill="1" applyBorder="1" applyAlignment="1" applyProtection="1">
      <alignment vertical="center"/>
    </xf>
    <xf numFmtId="0" fontId="11" fillId="6" borderId="0" xfId="0" applyFont="1" applyFill="1" applyBorder="1" applyAlignment="1" applyProtection="1">
      <alignment vertical="center"/>
    </xf>
    <xf numFmtId="0" fontId="11" fillId="6" borderId="15" xfId="0" applyFont="1" applyFill="1" applyBorder="1" applyAlignment="1" applyProtection="1">
      <alignment vertical="center"/>
    </xf>
    <xf numFmtId="0" fontId="12" fillId="2" borderId="12" xfId="0" applyFont="1" applyFill="1" applyBorder="1" applyAlignment="1" applyProtection="1">
      <alignment horizontal="left" vertical="center" wrapText="1"/>
    </xf>
    <xf numFmtId="0" fontId="8" fillId="2" borderId="0" xfId="3" applyFill="1" applyBorder="1" applyAlignment="1" applyProtection="1">
      <alignment horizontal="left" vertical="center" wrapText="1"/>
    </xf>
    <xf numFmtId="0" fontId="8" fillId="0" borderId="16" xfId="3" applyBorder="1" applyAlignment="1" applyProtection="1">
      <alignment horizontal="right" vertical="center" wrapText="1"/>
    </xf>
    <xf numFmtId="0" fontId="8" fillId="2" borderId="16" xfId="3" applyFill="1" applyBorder="1" applyAlignment="1" applyProtection="1">
      <alignment horizontal="left" vertical="center" wrapText="1"/>
    </xf>
    <xf numFmtId="0" fontId="12" fillId="2" borderId="0" xfId="0" applyNumberFormat="1" applyFont="1" applyFill="1" applyBorder="1" applyAlignment="1" applyProtection="1">
      <alignment horizontal="left" vertical="top" wrapText="1"/>
    </xf>
    <xf numFmtId="0" fontId="0" fillId="2" borderId="2" xfId="0" applyFill="1" applyBorder="1" applyAlignment="1" applyProtection="1">
      <alignment horizontal="left" vertical="center"/>
    </xf>
    <xf numFmtId="0" fontId="9" fillId="2" borderId="2"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49" fillId="2" borderId="0" xfId="3" applyFont="1" applyFill="1" applyBorder="1" applyAlignment="1" applyProtection="1">
      <alignment horizontal="left" vertical="center" wrapText="1"/>
    </xf>
    <xf numFmtId="0" fontId="0" fillId="2" borderId="0" xfId="0" applyFill="1" applyBorder="1" applyAlignment="1" applyProtection="1"/>
    <xf numFmtId="0" fontId="48" fillId="2" borderId="0" xfId="0" applyFont="1" applyFill="1" applyBorder="1" applyAlignment="1" applyProtection="1"/>
    <xf numFmtId="0" fontId="0" fillId="2" borderId="2" xfId="0" applyFill="1" applyBorder="1" applyAlignment="1" applyProtection="1">
      <alignment horizontal="center" vertical="center"/>
    </xf>
    <xf numFmtId="0" fontId="9" fillId="2" borderId="2" xfId="0" applyFont="1" applyFill="1" applyBorder="1" applyAlignment="1" applyProtection="1">
      <alignment horizontal="center" vertical="center"/>
    </xf>
    <xf numFmtId="0" fontId="0" fillId="2" borderId="14" xfId="0" applyFill="1" applyBorder="1" applyProtection="1"/>
    <xf numFmtId="0" fontId="0" fillId="2" borderId="2" xfId="0" applyFill="1" applyBorder="1" applyProtection="1"/>
    <xf numFmtId="0" fontId="9" fillId="2" borderId="2" xfId="0" applyFont="1" applyFill="1" applyBorder="1" applyProtection="1"/>
    <xf numFmtId="0" fontId="0" fillId="2" borderId="0" xfId="0" applyFill="1" applyBorder="1" applyAlignment="1" applyProtection="1">
      <alignment horizontal="center" vertical="center" wrapText="1"/>
    </xf>
    <xf numFmtId="0" fontId="0" fillId="0" borderId="0" xfId="0" applyBorder="1" applyAlignment="1">
      <alignment vertical="center" wrapText="1"/>
    </xf>
    <xf numFmtId="0" fontId="0" fillId="2" borderId="0" xfId="0" applyFill="1" applyBorder="1" applyAlignment="1">
      <alignment horizontal="left" vertical="top" wrapText="1"/>
    </xf>
    <xf numFmtId="0" fontId="0" fillId="2" borderId="0" xfId="0" applyFill="1" applyAlignment="1">
      <alignment horizontal="left" vertical="top" wrapText="1"/>
    </xf>
    <xf numFmtId="0" fontId="15" fillId="2" borderId="0" xfId="0" applyFont="1" applyFill="1" applyAlignment="1" applyProtection="1">
      <alignment horizontal="left" vertical="center" wrapText="1"/>
    </xf>
    <xf numFmtId="0" fontId="0" fillId="2" borderId="0" xfId="0" applyFill="1" applyAlignment="1">
      <alignment wrapText="1"/>
    </xf>
    <xf numFmtId="0" fontId="0" fillId="3" borderId="13" xfId="0" applyFill="1" applyBorder="1" applyAlignment="1">
      <alignment horizontal="left" vertical="center"/>
    </xf>
    <xf numFmtId="49" fontId="9" fillId="2" borderId="6" xfId="0" applyNumberFormat="1" applyFont="1" applyFill="1" applyBorder="1" applyAlignment="1" applyProtection="1">
      <alignment horizontal="left" vertical="center"/>
    </xf>
    <xf numFmtId="49" fontId="9" fillId="2" borderId="18" xfId="0" applyNumberFormat="1" applyFont="1" applyFill="1" applyBorder="1" applyAlignment="1" applyProtection="1">
      <alignment horizontal="left" vertical="center"/>
    </xf>
    <xf numFmtId="0" fontId="0" fillId="0" borderId="2" xfId="0" applyBorder="1"/>
    <xf numFmtId="49" fontId="0" fillId="2" borderId="6" xfId="0" applyNumberFormat="1" applyFill="1" applyBorder="1" applyAlignment="1" applyProtection="1">
      <alignment horizontal="left" vertical="center"/>
    </xf>
    <xf numFmtId="0" fontId="0" fillId="0" borderId="14" xfId="0" applyBorder="1"/>
    <xf numFmtId="165" fontId="0" fillId="2" borderId="2" xfId="0" applyNumberFormat="1" applyFill="1" applyBorder="1" applyAlignment="1" applyProtection="1">
      <alignment horizontal="center" vertical="center"/>
    </xf>
    <xf numFmtId="0" fontId="9" fillId="2" borderId="0" xfId="0" applyFont="1" applyFill="1" applyBorder="1" applyAlignment="1" applyProtection="1">
      <alignment horizontal="left" vertical="center"/>
    </xf>
    <xf numFmtId="0" fontId="7" fillId="2" borderId="0" xfId="0" applyFont="1" applyFill="1" applyBorder="1" applyAlignment="1" applyProtection="1">
      <alignment horizontal="center" vertical="center"/>
    </xf>
    <xf numFmtId="0" fontId="7" fillId="3" borderId="12" xfId="0" applyFont="1" applyFill="1" applyBorder="1" applyAlignment="1" applyProtection="1">
      <alignment horizontal="left" vertical="center"/>
    </xf>
    <xf numFmtId="0" fontId="0" fillId="3" borderId="0" xfId="0" applyFill="1" applyBorder="1" applyAlignment="1">
      <alignment horizontal="left" vertical="center"/>
    </xf>
    <xf numFmtId="165" fontId="0" fillId="2" borderId="14" xfId="0" applyNumberFormat="1" applyFill="1" applyBorder="1" applyAlignment="1" applyProtection="1">
      <alignment horizontal="center" vertical="center"/>
    </xf>
    <xf numFmtId="165" fontId="9" fillId="2" borderId="2" xfId="0" applyNumberFormat="1" applyFont="1" applyFill="1" applyBorder="1" applyAlignment="1" applyProtection="1">
      <alignment horizontal="center" vertical="center"/>
    </xf>
    <xf numFmtId="165" fontId="9" fillId="2" borderId="11" xfId="0" applyNumberFormat="1" applyFont="1" applyFill="1" applyBorder="1" applyAlignment="1" applyProtection="1">
      <alignment horizontal="center" vertical="center"/>
    </xf>
    <xf numFmtId="0" fontId="9" fillId="2" borderId="0" xfId="0" applyNumberFormat="1" applyFont="1" applyFill="1" applyBorder="1" applyAlignment="1" applyProtection="1">
      <alignment horizontal="left" vertical="center" wrapText="1"/>
    </xf>
    <xf numFmtId="0" fontId="0" fillId="2" borderId="0" xfId="0" applyFill="1" applyBorder="1" applyAlignment="1">
      <alignment vertical="center" wrapText="1"/>
    </xf>
    <xf numFmtId="167" fontId="9" fillId="2" borderId="0" xfId="0" applyNumberFormat="1" applyFont="1" applyFill="1" applyBorder="1" applyAlignment="1" applyProtection="1">
      <alignment vertical="center"/>
    </xf>
    <xf numFmtId="0" fontId="0" fillId="2" borderId="0" xfId="0" applyFill="1" applyBorder="1" applyAlignment="1">
      <alignment vertical="center"/>
    </xf>
    <xf numFmtId="0" fontId="13" fillId="2" borderId="0" xfId="0" applyFont="1" applyFill="1" applyBorder="1" applyAlignment="1">
      <alignment vertical="center" wrapText="1"/>
    </xf>
    <xf numFmtId="0" fontId="0" fillId="2" borderId="2" xfId="0" applyFill="1" applyBorder="1"/>
    <xf numFmtId="0" fontId="7" fillId="0" borderId="2" xfId="0" applyFont="1" applyFill="1" applyBorder="1" applyAlignment="1" applyProtection="1">
      <alignment vertical="center"/>
    </xf>
    <xf numFmtId="0" fontId="0" fillId="0" borderId="6" xfId="0" applyBorder="1"/>
    <xf numFmtId="0" fontId="0" fillId="0" borderId="13" xfId="0" applyBorder="1"/>
    <xf numFmtId="0" fontId="0" fillId="2" borderId="12" xfId="0" applyFill="1" applyBorder="1" applyAlignment="1"/>
    <xf numFmtId="0" fontId="7" fillId="2" borderId="0" xfId="0" applyFont="1" applyFill="1" applyBorder="1" applyAlignment="1" applyProtection="1">
      <alignment vertical="center"/>
    </xf>
    <xf numFmtId="0" fontId="48" fillId="2" borderId="0" xfId="0" applyFont="1" applyFill="1"/>
    <xf numFmtId="49" fontId="48" fillId="2" borderId="0" xfId="0" applyNumberFormat="1" applyFont="1" applyFill="1" applyBorder="1" applyAlignment="1" applyProtection="1">
      <alignment horizontal="left" vertical="center"/>
    </xf>
    <xf numFmtId="0" fontId="48" fillId="2" borderId="0" xfId="0" applyFont="1" applyFill="1" applyAlignment="1">
      <alignment horizontal="left" vertical="center"/>
    </xf>
    <xf numFmtId="0" fontId="0" fillId="3" borderId="0" xfId="0" applyFill="1"/>
    <xf numFmtId="166" fontId="9" fillId="2" borderId="0" xfId="0" applyNumberFormat="1" applyFont="1" applyFill="1" applyBorder="1" applyAlignment="1" applyProtection="1">
      <alignment horizontal="right" vertical="center"/>
    </xf>
    <xf numFmtId="167" fontId="9" fillId="2" borderId="0" xfId="0" applyNumberFormat="1" applyFont="1" applyFill="1" applyBorder="1" applyAlignment="1" applyProtection="1">
      <alignment horizontal="center" vertical="center"/>
    </xf>
    <xf numFmtId="167" fontId="11" fillId="2" borderId="0" xfId="0" applyNumberFormat="1" applyFont="1" applyFill="1" applyBorder="1" applyAlignment="1" applyProtection="1">
      <alignment horizontal="right" vertical="center" wrapText="1"/>
    </xf>
    <xf numFmtId="167" fontId="0" fillId="2" borderId="0" xfId="0" applyNumberFormat="1" applyFill="1" applyBorder="1" applyAlignment="1" applyProtection="1">
      <alignment horizontal="right" vertical="center" wrapText="1"/>
    </xf>
    <xf numFmtId="167" fontId="11" fillId="2" borderId="0" xfId="0" applyNumberFormat="1" applyFont="1" applyFill="1" applyBorder="1" applyAlignment="1" applyProtection="1">
      <alignment horizontal="right" vertical="center"/>
    </xf>
    <xf numFmtId="167" fontId="0" fillId="2" borderId="0" xfId="0" applyNumberFormat="1" applyFill="1" applyBorder="1" applyAlignment="1" applyProtection="1">
      <alignment horizontal="right" vertical="center"/>
    </xf>
    <xf numFmtId="167" fontId="2" fillId="0" borderId="0" xfId="1" applyNumberFormat="1" applyFont="1" applyProtection="1">
      <protection locked="0"/>
    </xf>
    <xf numFmtId="0" fontId="0" fillId="2" borderId="0" xfId="0" applyFill="1" applyAlignment="1"/>
    <xf numFmtId="0" fontId="48" fillId="2" borderId="0" xfId="0" applyFont="1" applyFill="1" applyAlignment="1"/>
    <xf numFmtId="0" fontId="48" fillId="2" borderId="0" xfId="0" applyFont="1" applyFill="1" applyBorder="1" applyProtection="1"/>
    <xf numFmtId="42" fontId="48" fillId="2" borderId="0" xfId="0" applyNumberFormat="1" applyFont="1" applyFill="1" applyBorder="1" applyProtection="1"/>
    <xf numFmtId="0" fontId="48" fillId="0" borderId="0" xfId="6" applyFont="1">
      <alignment horizontal="left"/>
    </xf>
    <xf numFmtId="0" fontId="48" fillId="0" borderId="0" xfId="6" applyFont="1" applyFill="1">
      <alignment horizontal="left"/>
    </xf>
    <xf numFmtId="6" fontId="48" fillId="0" borderId="0" xfId="6" applyNumberFormat="1" applyFont="1" applyAlignment="1">
      <alignment horizontal="left" wrapText="1"/>
    </xf>
    <xf numFmtId="0" fontId="2" fillId="0" borderId="0" xfId="6" applyFont="1" applyProtection="1">
      <alignment horizontal="left"/>
    </xf>
    <xf numFmtId="0" fontId="62" fillId="2" borderId="0" xfId="0" applyFont="1" applyFill="1" applyAlignment="1">
      <alignment horizontal="left" vertical="center" wrapText="1"/>
    </xf>
    <xf numFmtId="0" fontId="13" fillId="2" borderId="0" xfId="0" applyFont="1" applyFill="1" applyAlignment="1" applyProtection="1">
      <alignment wrapText="1"/>
    </xf>
    <xf numFmtId="165" fontId="6" fillId="3" borderId="18" xfId="0" applyNumberFormat="1" applyFont="1" applyFill="1" applyBorder="1" applyAlignment="1" applyProtection="1">
      <alignment horizontal="center" vertical="center" wrapText="1"/>
    </xf>
    <xf numFmtId="165" fontId="11" fillId="2" borderId="18" xfId="0" applyNumberFormat="1" applyFont="1" applyFill="1" applyBorder="1" applyAlignment="1" applyProtection="1">
      <alignment horizontal="left" vertical="center" shrinkToFit="1"/>
      <protection locked="0"/>
    </xf>
    <xf numFmtId="0" fontId="11" fillId="2" borderId="3" xfId="0" applyFont="1" applyFill="1" applyBorder="1" applyAlignment="1" applyProtection="1">
      <alignment horizontal="left" vertical="center" shrinkToFit="1"/>
      <protection locked="0"/>
    </xf>
    <xf numFmtId="0" fontId="0" fillId="2" borderId="0" xfId="0" applyFill="1" applyAlignment="1" applyProtection="1">
      <alignment vertical="center" wrapText="1"/>
      <protection locked="0"/>
    </xf>
    <xf numFmtId="0" fontId="0" fillId="2" borderId="0" xfId="0" applyFill="1" applyAlignment="1" applyProtection="1">
      <alignment vertical="center" wrapText="1"/>
    </xf>
    <xf numFmtId="0" fontId="11" fillId="2" borderId="18" xfId="0" applyFont="1" applyFill="1" applyBorder="1" applyAlignment="1" applyProtection="1">
      <alignment horizontal="left" vertical="center" shrinkToFit="1"/>
      <protection locked="0"/>
    </xf>
    <xf numFmtId="0" fontId="0" fillId="2" borderId="3" xfId="0" applyFill="1" applyBorder="1" applyAlignment="1" applyProtection="1">
      <alignment horizontal="left" vertical="center" shrinkToFit="1"/>
      <protection locked="0"/>
    </xf>
    <xf numFmtId="0" fontId="0" fillId="2" borderId="0" xfId="0" applyFill="1" applyBorder="1" applyAlignment="1" applyProtection="1">
      <alignment vertical="center" wrapText="1"/>
    </xf>
    <xf numFmtId="0" fontId="11" fillId="2" borderId="0" xfId="0" applyFont="1" applyFill="1" applyBorder="1" applyAlignment="1" applyProtection="1">
      <alignment horizontal="left" vertical="center" shrinkToFit="1"/>
      <protection locked="0"/>
    </xf>
    <xf numFmtId="0" fontId="0" fillId="2" borderId="0" xfId="0" applyFill="1" applyAlignment="1" applyProtection="1">
      <alignment horizontal="left" vertical="center" shrinkToFit="1"/>
      <protection locked="0"/>
    </xf>
    <xf numFmtId="0" fontId="0" fillId="2" borderId="0" xfId="0" applyFill="1" applyProtection="1">
      <protection locked="0"/>
    </xf>
    <xf numFmtId="165" fontId="11" fillId="2" borderId="0" xfId="0" applyNumberFormat="1" applyFont="1" applyFill="1" applyBorder="1" applyAlignment="1" applyProtection="1">
      <alignment horizontal="left" vertical="center" shrinkToFit="1"/>
      <protection locked="0"/>
    </xf>
    <xf numFmtId="0" fontId="0" fillId="2" borderId="0" xfId="0" applyFill="1" applyBorder="1" applyAlignment="1" applyProtection="1">
      <alignment horizontal="left" vertical="center" shrinkToFit="1"/>
      <protection locked="0"/>
    </xf>
    <xf numFmtId="0" fontId="0" fillId="2" borderId="18" xfId="0" applyFill="1" applyBorder="1" applyAlignment="1" applyProtection="1">
      <alignment vertical="center" wrapText="1"/>
      <protection locked="0"/>
    </xf>
    <xf numFmtId="0" fontId="0" fillId="2" borderId="3" xfId="0" applyFill="1" applyBorder="1" applyAlignment="1" applyProtection="1">
      <alignment vertical="center" wrapText="1"/>
      <protection locked="0"/>
    </xf>
    <xf numFmtId="0" fontId="48" fillId="2" borderId="0" xfId="0" applyNumberFormat="1" applyFont="1" applyFill="1"/>
    <xf numFmtId="165" fontId="8" fillId="2" borderId="3" xfId="3" applyNumberFormat="1" applyFill="1" applyBorder="1" applyAlignment="1" applyProtection="1">
      <alignment horizontal="center" vertical="center"/>
    </xf>
    <xf numFmtId="0" fontId="0" fillId="2" borderId="0" xfId="0" applyFill="1" applyAlignment="1" applyProtection="1"/>
    <xf numFmtId="0" fontId="9" fillId="2" borderId="2" xfId="0" applyFont="1" applyFill="1" applyBorder="1"/>
    <xf numFmtId="0" fontId="11" fillId="0" borderId="18" xfId="0" applyFont="1" applyBorder="1" applyAlignment="1">
      <alignment vertical="top" wrapText="1"/>
    </xf>
    <xf numFmtId="0" fontId="8" fillId="2" borderId="2" xfId="3" applyFill="1" applyBorder="1" applyAlignment="1" applyProtection="1">
      <alignment vertical="top" wrapText="1"/>
    </xf>
    <xf numFmtId="0" fontId="8" fillId="0" borderId="0" xfId="3" applyFont="1" applyAlignment="1" applyProtection="1">
      <alignment horizontal="left"/>
    </xf>
    <xf numFmtId="1" fontId="11" fillId="0" borderId="0" xfId="1" applyNumberFormat="1" applyFont="1" applyAlignment="1">
      <alignment horizontal="left"/>
    </xf>
    <xf numFmtId="1" fontId="2" fillId="0" borderId="0" xfId="1" applyNumberFormat="1" applyAlignment="1">
      <alignment horizontal="left"/>
    </xf>
    <xf numFmtId="1" fontId="2" fillId="0" borderId="0" xfId="1" applyNumberFormat="1" applyAlignment="1">
      <alignment horizontal="right"/>
    </xf>
    <xf numFmtId="1" fontId="65" fillId="10" borderId="0" xfId="0" applyNumberFormat="1" applyFont="1" applyFill="1"/>
    <xf numFmtId="0" fontId="8" fillId="0" borderId="6" xfId="3" applyBorder="1" applyAlignment="1" applyProtection="1">
      <alignment horizontal="left" vertical="top" wrapText="1"/>
    </xf>
    <xf numFmtId="1" fontId="46" fillId="0" borderId="0" xfId="6" applyNumberFormat="1" applyFont="1" applyAlignment="1" applyProtection="1">
      <alignment horizontal="left"/>
    </xf>
    <xf numFmtId="1" fontId="21" fillId="0" borderId="0" xfId="6" applyNumberFormat="1" applyFont="1" applyAlignment="1" applyProtection="1">
      <alignment horizontal="left"/>
    </xf>
    <xf numFmtId="164" fontId="9" fillId="0" borderId="0" xfId="6" applyNumberFormat="1" applyFont="1" applyProtection="1">
      <alignment horizontal="left"/>
    </xf>
    <xf numFmtId="0" fontId="9" fillId="0" borderId="0" xfId="6" applyFont="1" applyAlignment="1" applyProtection="1">
      <alignment horizontal="left" wrapText="1"/>
    </xf>
    <xf numFmtId="164" fontId="9" fillId="0" borderId="0" xfId="6" applyNumberFormat="1" applyFont="1" applyAlignment="1" applyProtection="1">
      <alignment horizontal="left" wrapText="1"/>
    </xf>
    <xf numFmtId="0" fontId="25" fillId="0" borderId="1" xfId="8" applyFont="1" applyFill="1" applyBorder="1" applyAlignment="1" applyProtection="1"/>
    <xf numFmtId="164" fontId="25" fillId="0" borderId="1" xfId="8" applyNumberFormat="1" applyFont="1" applyFill="1" applyBorder="1" applyAlignment="1" applyProtection="1">
      <alignment horizontal="right"/>
    </xf>
    <xf numFmtId="0" fontId="25" fillId="0" borderId="1" xfId="8" applyNumberFormat="1" applyFont="1" applyFill="1" applyBorder="1" applyAlignment="1" applyProtection="1"/>
    <xf numFmtId="164" fontId="2" fillId="0" borderId="0" xfId="6" applyNumberFormat="1" applyProtection="1">
      <alignment horizontal="left"/>
    </xf>
    <xf numFmtId="1" fontId="19" fillId="0" borderId="0" xfId="6" applyNumberFormat="1" applyFont="1" applyAlignment="1" applyProtection="1">
      <alignment horizontal="left"/>
    </xf>
    <xf numFmtId="0" fontId="3" fillId="0" borderId="0" xfId="6" applyFont="1" applyProtection="1">
      <alignment horizontal="left"/>
    </xf>
    <xf numFmtId="0" fontId="11" fillId="2" borderId="3" xfId="0" applyFont="1" applyFill="1" applyBorder="1" applyAlignment="1" applyProtection="1">
      <alignment horizontal="center" vertical="center"/>
      <protection locked="0"/>
    </xf>
    <xf numFmtId="0" fontId="11" fillId="0" borderId="18" xfId="0" applyFont="1" applyBorder="1" applyAlignment="1">
      <alignment horizontal="left" vertical="top" wrapText="1"/>
    </xf>
    <xf numFmtId="0" fontId="67" fillId="0" borderId="0" xfId="6" applyFont="1" applyProtection="1">
      <alignment horizontal="left"/>
    </xf>
    <xf numFmtId="0" fontId="8" fillId="0" borderId="0" xfId="3" applyAlignment="1" applyProtection="1"/>
    <xf numFmtId="3" fontId="70" fillId="2" borderId="0" xfId="0" applyNumberFormat="1" applyFont="1" applyFill="1" applyBorder="1" applyProtection="1"/>
    <xf numFmtId="0" fontId="11" fillId="0" borderId="22" xfId="0" applyFont="1" applyBorder="1" applyAlignment="1">
      <alignment horizontal="left" vertical="top" wrapText="1"/>
    </xf>
    <xf numFmtId="0" fontId="0" fillId="0" borderId="0" xfId="0" applyBorder="1"/>
    <xf numFmtId="0" fontId="11" fillId="2" borderId="0" xfId="0" applyFont="1" applyFill="1" applyBorder="1" applyProtection="1"/>
    <xf numFmtId="0" fontId="71" fillId="2" borderId="0" xfId="0" applyFont="1" applyFill="1" applyBorder="1" applyAlignment="1" applyProtection="1">
      <alignment horizontal="left" vertical="center" wrapText="1"/>
    </xf>
    <xf numFmtId="0" fontId="0" fillId="2" borderId="24" xfId="0" applyFill="1" applyBorder="1" applyAlignment="1" applyProtection="1"/>
    <xf numFmtId="0" fontId="0" fillId="2" borderId="25" xfId="0" applyFill="1" applyBorder="1" applyAlignment="1" applyProtection="1"/>
    <xf numFmtId="0" fontId="9" fillId="2" borderId="25" xfId="0" applyFont="1" applyFill="1" applyBorder="1" applyAlignment="1" applyProtection="1">
      <alignment horizontal="center"/>
    </xf>
    <xf numFmtId="0" fontId="9" fillId="2" borderId="24" xfId="0" applyFont="1" applyFill="1" applyBorder="1" applyAlignment="1" applyProtection="1">
      <alignment horizontal="left" vertical="center"/>
    </xf>
    <xf numFmtId="0" fontId="6" fillId="14" borderId="0" xfId="0" applyNumberFormat="1" applyFont="1" applyFill="1" applyBorder="1" applyAlignment="1" applyProtection="1">
      <alignment horizontal="left" vertical="center" wrapText="1"/>
    </xf>
    <xf numFmtId="0" fontId="6" fillId="14" borderId="0" xfId="0" applyFont="1" applyFill="1" applyBorder="1" applyAlignment="1" applyProtection="1">
      <alignment horizontal="left" vertical="center"/>
    </xf>
    <xf numFmtId="0" fontId="0" fillId="14" borderId="12" xfId="0" applyFill="1" applyBorder="1" applyAlignment="1" applyProtection="1">
      <alignment vertical="center"/>
    </xf>
    <xf numFmtId="0" fontId="12" fillId="14" borderId="26" xfId="0" applyFont="1" applyFill="1" applyBorder="1" applyAlignment="1" applyProtection="1">
      <alignment vertical="center"/>
    </xf>
    <xf numFmtId="0" fontId="12" fillId="2" borderId="26" xfId="0" applyFont="1" applyFill="1" applyBorder="1" applyAlignment="1" applyProtection="1">
      <alignment vertical="center" wrapText="1"/>
    </xf>
    <xf numFmtId="0" fontId="12" fillId="2" borderId="0" xfId="0" applyFont="1" applyFill="1" applyBorder="1" applyAlignment="1" applyProtection="1">
      <alignment vertical="center" wrapText="1"/>
    </xf>
    <xf numFmtId="166" fontId="11" fillId="2" borderId="16" xfId="0" applyNumberFormat="1" applyFont="1" applyFill="1" applyBorder="1" applyAlignment="1" applyProtection="1">
      <alignment vertical="center"/>
    </xf>
    <xf numFmtId="166" fontId="11" fillId="2" borderId="6" xfId="0" applyNumberFormat="1" applyFont="1" applyFill="1" applyBorder="1" applyAlignment="1" applyProtection="1">
      <alignment vertical="center"/>
    </xf>
    <xf numFmtId="0" fontId="0" fillId="14" borderId="0" xfId="0" applyFill="1" applyBorder="1" applyAlignment="1" applyProtection="1"/>
    <xf numFmtId="0" fontId="12" fillId="2" borderId="27" xfId="0" applyFont="1" applyFill="1" applyBorder="1" applyAlignment="1" applyProtection="1">
      <alignment vertical="center" wrapText="1"/>
    </xf>
    <xf numFmtId="0" fontId="12" fillId="14" borderId="0" xfId="0" applyFont="1" applyFill="1" applyBorder="1" applyAlignment="1" applyProtection="1">
      <alignment vertical="center" wrapText="1"/>
    </xf>
    <xf numFmtId="0" fontId="0" fillId="14" borderId="0" xfId="0" applyFill="1" applyAlignment="1" applyProtection="1"/>
    <xf numFmtId="0" fontId="11" fillId="15" borderId="22" xfId="0" applyFont="1" applyFill="1" applyBorder="1" applyAlignment="1" applyProtection="1">
      <alignment vertical="center" wrapText="1"/>
    </xf>
    <xf numFmtId="0" fontId="72" fillId="15" borderId="3" xfId="0" applyFont="1" applyFill="1" applyBorder="1" applyAlignment="1" applyProtection="1">
      <alignment horizontal="center" vertical="center" wrapText="1"/>
    </xf>
    <xf numFmtId="0" fontId="72" fillId="15" borderId="28" xfId="0" applyFont="1" applyFill="1" applyBorder="1" applyAlignment="1" applyProtection="1">
      <alignment horizontal="center" vertical="center" wrapText="1"/>
    </xf>
    <xf numFmtId="0" fontId="11" fillId="14" borderId="3" xfId="0" applyFont="1" applyFill="1" applyBorder="1" applyAlignment="1" applyProtection="1">
      <alignment horizontal="center" vertical="center" wrapText="1"/>
      <protection locked="0"/>
    </xf>
    <xf numFmtId="0" fontId="11" fillId="14" borderId="28" xfId="0" applyFont="1" applyFill="1" applyBorder="1" applyAlignment="1" applyProtection="1">
      <alignment horizontal="center" vertical="center" wrapText="1"/>
      <protection locked="0"/>
    </xf>
    <xf numFmtId="0" fontId="73" fillId="14" borderId="0" xfId="0" applyFont="1" applyFill="1" applyBorder="1" applyAlignment="1" applyProtection="1">
      <alignment horizontal="center" vertical="center" wrapText="1"/>
    </xf>
    <xf numFmtId="0" fontId="72" fillId="14" borderId="0" xfId="0" applyFont="1" applyFill="1" applyBorder="1" applyAlignment="1" applyProtection="1">
      <alignment horizontal="center" vertical="center" wrapText="1"/>
    </xf>
    <xf numFmtId="0" fontId="6" fillId="14" borderId="0" xfId="0" applyFont="1" applyFill="1" applyBorder="1" applyAlignment="1" applyProtection="1">
      <alignment vertical="center" wrapText="1"/>
    </xf>
    <xf numFmtId="0" fontId="0" fillId="14" borderId="0" xfId="0" applyFill="1" applyBorder="1" applyAlignment="1" applyProtection="1">
      <alignment horizontal="left" vertical="top" wrapText="1"/>
    </xf>
    <xf numFmtId="0" fontId="6" fillId="14" borderId="0" xfId="0" applyFont="1" applyFill="1" applyBorder="1" applyAlignment="1" applyProtection="1">
      <alignment vertical="center"/>
    </xf>
    <xf numFmtId="0" fontId="11" fillId="14" borderId="0" xfId="0" applyFont="1" applyFill="1" applyBorder="1" applyAlignment="1" applyProtection="1"/>
    <xf numFmtId="0" fontId="0" fillId="14" borderId="0" xfId="0" applyFill="1" applyBorder="1" applyAlignment="1" applyProtection="1">
      <alignment horizontal="center" vertical="center" wrapText="1"/>
    </xf>
    <xf numFmtId="0" fontId="9" fillId="14" borderId="0" xfId="0" applyFont="1" applyFill="1" applyBorder="1" applyAlignment="1" applyProtection="1">
      <alignment vertical="center"/>
    </xf>
    <xf numFmtId="0" fontId="0" fillId="14" borderId="0" xfId="0" applyFill="1" applyBorder="1" applyProtection="1"/>
    <xf numFmtId="0" fontId="9" fillId="14" borderId="0" xfId="0" applyFont="1" applyFill="1" applyBorder="1" applyAlignment="1" applyProtection="1">
      <alignment horizontal="left" vertical="center"/>
    </xf>
    <xf numFmtId="0" fontId="6" fillId="14" borderId="0" xfId="0" applyFont="1" applyFill="1" applyBorder="1" applyAlignment="1" applyProtection="1">
      <alignment horizontal="center" vertical="center"/>
    </xf>
    <xf numFmtId="3" fontId="0" fillId="14" borderId="0" xfId="0" applyNumberFormat="1" applyFill="1" applyBorder="1" applyProtection="1"/>
    <xf numFmtId="0" fontId="6" fillId="14" borderId="0" xfId="0" applyFont="1" applyFill="1" applyBorder="1" applyAlignment="1" applyProtection="1">
      <alignment vertical="center" wrapText="1"/>
    </xf>
    <xf numFmtId="0" fontId="0" fillId="0" borderId="0" xfId="6" applyFont="1">
      <alignment horizontal="left"/>
    </xf>
    <xf numFmtId="0" fontId="9" fillId="0" borderId="6" xfId="4" applyFont="1" applyBorder="1"/>
    <xf numFmtId="0" fontId="9" fillId="0" borderId="18" xfId="4" applyFont="1" applyBorder="1" applyAlignment="1">
      <alignment horizontal="right" indent="1"/>
    </xf>
    <xf numFmtId="0" fontId="11" fillId="0" borderId="12" xfId="4" applyBorder="1"/>
    <xf numFmtId="0" fontId="11" fillId="0" borderId="0" xfId="4" applyBorder="1" applyAlignment="1">
      <alignment horizontal="right" indent="1"/>
    </xf>
    <xf numFmtId="0" fontId="11" fillId="0" borderId="12" xfId="4" applyFont="1" applyBorder="1"/>
    <xf numFmtId="0" fontId="11" fillId="0" borderId="15" xfId="4" applyBorder="1" applyAlignment="1">
      <alignment horizontal="right" indent="1"/>
    </xf>
    <xf numFmtId="0" fontId="11" fillId="0" borderId="0" xfId="4" applyFont="1" applyFill="1" applyBorder="1"/>
    <xf numFmtId="0" fontId="11" fillId="0" borderId="0" xfId="4" applyBorder="1"/>
    <xf numFmtId="0" fontId="11" fillId="0" borderId="0" xfId="4" applyFont="1" applyFill="1" applyBorder="1" applyAlignment="1" applyProtection="1">
      <alignment horizontal="left" vertical="center"/>
    </xf>
    <xf numFmtId="0" fontId="11" fillId="0" borderId="0" xfId="4" applyFill="1" applyBorder="1"/>
    <xf numFmtId="0" fontId="11" fillId="0" borderId="12" xfId="4" applyFont="1" applyFill="1" applyBorder="1"/>
    <xf numFmtId="0" fontId="11" fillId="0" borderId="15" xfId="4" applyFill="1" applyBorder="1" applyAlignment="1">
      <alignment horizontal="right" indent="1"/>
    </xf>
    <xf numFmtId="0" fontId="11" fillId="0" borderId="0" xfId="4" applyFont="1" applyFill="1" applyBorder="1" applyAlignment="1"/>
    <xf numFmtId="0" fontId="11" fillId="0" borderId="12" xfId="4" applyFont="1" applyFill="1" applyBorder="1" applyAlignment="1" applyProtection="1">
      <alignment horizontal="left" vertical="center"/>
    </xf>
    <xf numFmtId="0" fontId="11" fillId="0" borderId="0" xfId="4" applyFont="1" applyBorder="1"/>
    <xf numFmtId="0" fontId="11" fillId="0" borderId="0" xfId="4" applyFont="1" applyBorder="1" applyAlignment="1">
      <alignment horizontal="left" vertical="top"/>
    </xf>
    <xf numFmtId="0" fontId="11" fillId="0" borderId="12" xfId="4" applyFill="1" applyBorder="1" applyAlignment="1" applyProtection="1">
      <alignment horizontal="left" vertical="center"/>
    </xf>
    <xf numFmtId="0" fontId="11" fillId="0" borderId="12" xfId="4" applyFont="1" applyFill="1" applyBorder="1" applyAlignment="1"/>
    <xf numFmtId="0" fontId="9" fillId="0" borderId="2" xfId="4" applyFont="1" applyFill="1" applyBorder="1" applyAlignment="1">
      <alignment vertical="top" wrapText="1"/>
    </xf>
    <xf numFmtId="0" fontId="9" fillId="0" borderId="18" xfId="4" applyFont="1" applyBorder="1" applyAlignment="1">
      <alignment horizontal="right" wrapText="1" indent="1"/>
    </xf>
    <xf numFmtId="0" fontId="11" fillId="0" borderId="0" xfId="4" applyFont="1" applyFill="1" applyBorder="1" applyAlignment="1">
      <alignment vertical="top" wrapText="1"/>
    </xf>
    <xf numFmtId="0" fontId="11" fillId="0" borderId="0" xfId="4" applyBorder="1" applyAlignment="1">
      <alignment horizontal="right" wrapText="1" indent="1"/>
    </xf>
    <xf numFmtId="0" fontId="11" fillId="0" borderId="18" xfId="4" applyBorder="1" applyAlignment="1">
      <alignment horizontal="right" wrapText="1" indent="1"/>
    </xf>
    <xf numFmtId="0" fontId="11" fillId="0" borderId="0" xfId="4" applyFont="1" applyBorder="1" applyAlignment="1">
      <alignment wrapText="1"/>
    </xf>
    <xf numFmtId="0" fontId="9" fillId="0" borderId="0" xfId="4" applyFont="1" applyFill="1" applyBorder="1" applyAlignment="1">
      <alignment wrapText="1"/>
    </xf>
    <xf numFmtId="0" fontId="9" fillId="0" borderId="0" xfId="4" applyFont="1" applyFill="1" applyBorder="1" applyAlignment="1">
      <alignment horizontal="right" wrapText="1" indent="1"/>
    </xf>
    <xf numFmtId="0" fontId="11" fillId="0" borderId="0" xfId="4" applyFill="1" applyBorder="1" applyAlignment="1">
      <alignment vertical="center" wrapText="1"/>
    </xf>
    <xf numFmtId="0" fontId="11" fillId="0" borderId="0" xfId="4" applyFont="1" applyFill="1" applyBorder="1" applyAlignment="1">
      <alignment horizontal="right" wrapText="1" indent="1"/>
    </xf>
    <xf numFmtId="0" fontId="11" fillId="0" borderId="0" xfId="4" applyFill="1" applyBorder="1" applyAlignment="1">
      <alignment horizontal="right" wrapText="1" indent="1"/>
    </xf>
    <xf numFmtId="0" fontId="9" fillId="0" borderId="0" xfId="4" applyFont="1" applyBorder="1"/>
    <xf numFmtId="0" fontId="9" fillId="0" borderId="15" xfId="4" applyFont="1" applyBorder="1" applyAlignment="1">
      <alignment horizontal="right" indent="1"/>
    </xf>
    <xf numFmtId="0" fontId="71" fillId="0" borderId="0" xfId="4" applyFont="1" applyBorder="1"/>
    <xf numFmtId="0" fontId="12" fillId="0" borderId="0" xfId="4" applyFont="1" applyBorder="1" applyProtection="1"/>
    <xf numFmtId="0" fontId="11" fillId="0" borderId="0" xfId="4" applyBorder="1" applyAlignment="1"/>
    <xf numFmtId="0" fontId="11" fillId="0" borderId="0" xfId="4" applyFont="1" applyBorder="1" applyAlignment="1">
      <alignment horizontal="right" indent="1"/>
    </xf>
    <xf numFmtId="0" fontId="9" fillId="0" borderId="0" xfId="4" applyFont="1" applyFill="1" applyBorder="1"/>
    <xf numFmtId="0" fontId="9" fillId="0" borderId="0" xfId="4" applyFont="1" applyFill="1" applyBorder="1" applyAlignment="1">
      <alignment horizontal="right" indent="1"/>
    </xf>
    <xf numFmtId="0" fontId="9" fillId="0" borderId="2" xfId="4" applyFont="1" applyBorder="1"/>
    <xf numFmtId="0" fontId="11" fillId="0" borderId="6" xfId="4" applyBorder="1" applyAlignment="1">
      <alignment horizontal="right" indent="1"/>
    </xf>
    <xf numFmtId="0" fontId="9" fillId="0" borderId="2" xfId="4" applyFont="1" applyBorder="1" applyAlignment="1"/>
    <xf numFmtId="0" fontId="11" fillId="0" borderId="18" xfId="4" applyBorder="1" applyAlignment="1">
      <alignment horizontal="right" indent="1"/>
    </xf>
    <xf numFmtId="0" fontId="9" fillId="0" borderId="0" xfId="4" applyFont="1" applyFill="1" applyBorder="1" applyAlignment="1"/>
    <xf numFmtId="0" fontId="11" fillId="0" borderId="0" xfId="4" applyFill="1" applyBorder="1" applyAlignment="1"/>
    <xf numFmtId="0" fontId="11" fillId="0" borderId="0" xfId="4" applyFont="1" applyFill="1" applyBorder="1" applyAlignment="1" applyProtection="1">
      <alignment horizontal="left" vertical="center" wrapText="1"/>
    </xf>
    <xf numFmtId="0" fontId="11" fillId="0" borderId="0" xfId="4" applyFill="1" applyBorder="1" applyAlignment="1" applyProtection="1">
      <alignment horizontal="right" vertical="center" wrapText="1" indent="1"/>
    </xf>
    <xf numFmtId="0" fontId="11" fillId="0" borderId="0" xfId="4" applyFont="1" applyFill="1" applyBorder="1" applyAlignment="1">
      <alignment horizontal="right"/>
    </xf>
    <xf numFmtId="0" fontId="11" fillId="0" borderId="0" xfId="4" applyFont="1" applyBorder="1" applyAlignment="1"/>
    <xf numFmtId="0" fontId="11" fillId="0" borderId="12" xfId="4" applyBorder="1" applyAlignment="1"/>
    <xf numFmtId="0" fontId="11" fillId="0" borderId="14" xfId="4" applyBorder="1" applyAlignment="1"/>
    <xf numFmtId="0" fontId="11" fillId="0" borderId="22" xfId="4" applyBorder="1" applyAlignment="1">
      <alignment horizontal="right" indent="1"/>
    </xf>
    <xf numFmtId="0" fontId="11" fillId="0" borderId="0" xfId="4" applyFill="1" applyBorder="1" applyAlignment="1" applyProtection="1">
      <alignment horizontal="left" vertical="center"/>
    </xf>
    <xf numFmtId="0" fontId="9" fillId="0" borderId="2" xfId="4" applyFont="1" applyFill="1" applyBorder="1"/>
    <xf numFmtId="0" fontId="11" fillId="0" borderId="18" xfId="4" applyFont="1" applyBorder="1" applyAlignment="1">
      <alignment horizontal="right" indent="1"/>
    </xf>
    <xf numFmtId="0" fontId="9" fillId="0" borderId="12" xfId="4" applyFont="1" applyFill="1" applyBorder="1" applyAlignment="1"/>
    <xf numFmtId="0" fontId="9" fillId="0" borderId="2" xfId="4" applyFont="1" applyFill="1" applyBorder="1" applyAlignment="1" applyProtection="1">
      <alignment horizontal="left" vertical="center" wrapText="1"/>
    </xf>
    <xf numFmtId="0" fontId="11" fillId="0" borderId="18" xfId="4" applyFill="1" applyBorder="1" applyAlignment="1">
      <alignment horizontal="right" vertical="center" wrapText="1" indent="1"/>
    </xf>
    <xf numFmtId="0" fontId="11" fillId="0" borderId="0" xfId="4" applyFill="1" applyBorder="1" applyAlignment="1" applyProtection="1">
      <alignment horizontal="left" vertical="center" wrapText="1"/>
    </xf>
    <xf numFmtId="0" fontId="9" fillId="0" borderId="0" xfId="4" applyFont="1" applyBorder="1" applyAlignment="1">
      <alignment horizontal="right" indent="1"/>
    </xf>
    <xf numFmtId="0" fontId="11" fillId="0" borderId="0" xfId="4" applyFill="1" applyBorder="1" applyAlignment="1">
      <alignment horizontal="right" indent="1"/>
    </xf>
    <xf numFmtId="3" fontId="9" fillId="0" borderId="29" xfId="0" applyNumberFormat="1" applyFont="1" applyFill="1" applyBorder="1" applyAlignment="1" applyProtection="1">
      <alignment vertical="center"/>
    </xf>
    <xf numFmtId="0" fontId="74" fillId="0" borderId="0" xfId="0" applyFont="1"/>
    <xf numFmtId="165" fontId="9" fillId="16" borderId="3" xfId="0" applyNumberFormat="1" applyFont="1" applyFill="1" applyBorder="1" applyAlignment="1" applyProtection="1">
      <alignment horizontal="center" vertical="center"/>
    </xf>
    <xf numFmtId="0" fontId="19" fillId="16" borderId="3" xfId="0" applyFont="1" applyFill="1" applyBorder="1" applyAlignment="1" applyProtection="1">
      <alignment horizontal="center" vertical="center"/>
    </xf>
    <xf numFmtId="0" fontId="9" fillId="16" borderId="3" xfId="0" applyFont="1" applyFill="1" applyBorder="1" applyAlignment="1" applyProtection="1">
      <alignment horizontal="center" vertical="center" wrapText="1"/>
    </xf>
    <xf numFmtId="165" fontId="19" fillId="16" borderId="3" xfId="0" applyNumberFormat="1" applyFont="1" applyFill="1" applyBorder="1" applyAlignment="1" applyProtection="1">
      <alignment horizontal="center" vertical="center"/>
    </xf>
    <xf numFmtId="0" fontId="71" fillId="2" borderId="0" xfId="0" applyFont="1" applyFill="1" applyBorder="1" applyAlignment="1" applyProtection="1">
      <alignment horizontal="left" vertical="center" wrapText="1"/>
    </xf>
    <xf numFmtId="0" fontId="11" fillId="14" borderId="3" xfId="0" applyFont="1" applyFill="1" applyBorder="1" applyAlignment="1" applyProtection="1">
      <alignment horizontal="center" vertical="center" wrapText="1"/>
      <protection locked="0"/>
    </xf>
    <xf numFmtId="0" fontId="0" fillId="14" borderId="0" xfId="0" applyFill="1" applyBorder="1" applyAlignment="1" applyProtection="1">
      <alignment horizontal="left" vertical="top" wrapText="1"/>
    </xf>
    <xf numFmtId="0" fontId="6" fillId="14" borderId="0" xfId="0" applyFont="1" applyFill="1" applyBorder="1" applyAlignment="1" applyProtection="1">
      <alignment vertical="center" wrapText="1"/>
    </xf>
    <xf numFmtId="0" fontId="6" fillId="14" borderId="0" xfId="0" applyFont="1" applyFill="1" applyBorder="1" applyAlignment="1" applyProtection="1">
      <alignment vertical="center"/>
    </xf>
    <xf numFmtId="0" fontId="6" fillId="14" borderId="0" xfId="0" applyFont="1" applyFill="1" applyBorder="1" applyAlignment="1" applyProtection="1">
      <alignment horizontal="left" vertical="center"/>
    </xf>
    <xf numFmtId="0" fontId="12" fillId="14" borderId="0" xfId="0" applyFont="1" applyFill="1" applyBorder="1" applyAlignment="1" applyProtection="1">
      <alignment vertical="center" wrapText="1"/>
    </xf>
    <xf numFmtId="0" fontId="11" fillId="2" borderId="17" xfId="0" applyFont="1" applyFill="1" applyBorder="1" applyAlignment="1">
      <alignment horizontal="left" vertical="top" wrapText="1"/>
    </xf>
    <xf numFmtId="165" fontId="11" fillId="17" borderId="30" xfId="0" applyNumberFormat="1" applyFont="1" applyFill="1" applyBorder="1" applyAlignment="1" applyProtection="1">
      <alignment horizontal="center" vertical="center"/>
    </xf>
    <xf numFmtId="165" fontId="11" fillId="17" borderId="3" xfId="0" applyNumberFormat="1" applyFont="1" applyFill="1" applyBorder="1" applyAlignment="1" applyProtection="1">
      <alignment horizontal="center" vertical="center"/>
    </xf>
    <xf numFmtId="165" fontId="11" fillId="17" borderId="18" xfId="0" applyNumberFormat="1" applyFont="1" applyFill="1" applyBorder="1" applyAlignment="1" applyProtection="1">
      <alignment horizontal="center" vertical="center"/>
    </xf>
    <xf numFmtId="165" fontId="0" fillId="17" borderId="3" xfId="0" applyNumberFormat="1" applyFill="1" applyBorder="1" applyAlignment="1" applyProtection="1">
      <alignment horizontal="center" vertical="center"/>
    </xf>
    <xf numFmtId="165" fontId="9" fillId="17" borderId="3" xfId="0" applyNumberFormat="1" applyFont="1" applyFill="1" applyBorder="1" applyAlignment="1" applyProtection="1">
      <alignment horizontal="center" vertical="center"/>
    </xf>
    <xf numFmtId="1" fontId="11" fillId="17" borderId="22" xfId="0" applyNumberFormat="1" applyFont="1" applyFill="1" applyBorder="1" applyAlignment="1" applyProtection="1">
      <alignment horizontal="center" vertical="center"/>
    </xf>
    <xf numFmtId="1" fontId="11" fillId="17" borderId="18" xfId="0" applyNumberFormat="1" applyFont="1" applyFill="1" applyBorder="1" applyAlignment="1" applyProtection="1">
      <alignment horizontal="center" vertical="center"/>
    </xf>
    <xf numFmtId="165" fontId="0" fillId="17" borderId="14" xfId="0" applyNumberFormat="1" applyFill="1" applyBorder="1" applyAlignment="1" applyProtection="1">
      <alignment horizontal="center" vertical="center"/>
    </xf>
    <xf numFmtId="165" fontId="0" fillId="17" borderId="2" xfId="0" applyNumberFormat="1" applyFill="1" applyBorder="1" applyAlignment="1" applyProtection="1">
      <alignment horizontal="center" vertical="center"/>
    </xf>
    <xf numFmtId="165" fontId="9" fillId="17" borderId="30" xfId="0" applyNumberFormat="1" applyFont="1" applyFill="1" applyBorder="1" applyAlignment="1" applyProtection="1">
      <alignment horizontal="center" vertical="center"/>
    </xf>
    <xf numFmtId="165" fontId="9" fillId="17" borderId="19" xfId="0" applyNumberFormat="1" applyFont="1" applyFill="1" applyBorder="1" applyAlignment="1" applyProtection="1">
      <alignment horizontal="center" vertical="center"/>
    </xf>
    <xf numFmtId="165" fontId="0" fillId="17" borderId="18" xfId="0" applyNumberFormat="1" applyFill="1" applyBorder="1" applyAlignment="1" applyProtection="1">
      <alignment horizontal="center" vertical="center"/>
    </xf>
    <xf numFmtId="0" fontId="75" fillId="18" borderId="32" xfId="0" applyFont="1" applyFill="1" applyBorder="1" applyAlignment="1" applyProtection="1">
      <alignment horizontal="center" vertical="center"/>
    </xf>
    <xf numFmtId="0" fontId="0" fillId="18" borderId="30" xfId="0" applyFill="1" applyBorder="1" applyAlignment="1" applyProtection="1">
      <alignment horizontal="center" vertical="center"/>
    </xf>
    <xf numFmtId="3" fontId="9" fillId="14" borderId="0" xfId="0" applyNumberFormat="1" applyFont="1" applyFill="1" applyBorder="1" applyAlignment="1" applyProtection="1">
      <alignment vertical="center"/>
    </xf>
    <xf numFmtId="165" fontId="14" fillId="2" borderId="11" xfId="3" applyNumberFormat="1" applyFont="1" applyFill="1" applyBorder="1" applyAlignment="1" applyProtection="1">
      <alignment horizontal="center" vertical="top"/>
      <protection hidden="1"/>
    </xf>
    <xf numFmtId="0" fontId="11" fillId="2" borderId="6" xfId="0" applyFont="1" applyFill="1" applyBorder="1"/>
    <xf numFmtId="0" fontId="9" fillId="2" borderId="6" xfId="0" applyFont="1" applyFill="1" applyBorder="1" applyAlignment="1">
      <alignment wrapText="1"/>
    </xf>
    <xf numFmtId="165" fontId="8" fillId="2" borderId="0" xfId="3" applyNumberFormat="1" applyFill="1" applyBorder="1" applyAlignment="1" applyProtection="1">
      <alignment horizontal="center" vertical="top"/>
      <protection hidden="1"/>
    </xf>
    <xf numFmtId="0" fontId="8" fillId="0" borderId="2" xfId="3" applyBorder="1" applyAlignment="1" applyProtection="1">
      <alignment wrapText="1"/>
    </xf>
    <xf numFmtId="164" fontId="25" fillId="0" borderId="1" xfId="8" applyNumberFormat="1" applyFont="1" applyFill="1" applyBorder="1" applyAlignment="1" applyProtection="1"/>
    <xf numFmtId="0" fontId="9" fillId="0" borderId="0" xfId="6" applyNumberFormat="1" applyFont="1" applyProtection="1">
      <alignment horizontal="left"/>
    </xf>
    <xf numFmtId="0" fontId="9" fillId="0" borderId="0" xfId="6" applyNumberFormat="1" applyFont="1" applyAlignment="1" applyProtection="1">
      <alignment horizontal="left" wrapText="1"/>
    </xf>
    <xf numFmtId="0" fontId="2" fillId="0" borderId="0" xfId="6" applyNumberFormat="1" applyProtection="1">
      <alignment horizontal="left"/>
    </xf>
    <xf numFmtId="0" fontId="36" fillId="0" borderId="0" xfId="0" applyFont="1"/>
    <xf numFmtId="0" fontId="8" fillId="0" borderId="6" xfId="3" applyFont="1" applyBorder="1" applyAlignment="1" applyProtection="1">
      <alignment horizontal="left" vertical="top" wrapText="1"/>
    </xf>
    <xf numFmtId="0" fontId="19" fillId="11" borderId="23" xfId="5" applyFont="1" applyFill="1" applyBorder="1" applyAlignment="1">
      <alignment horizontal="center"/>
    </xf>
    <xf numFmtId="0" fontId="0" fillId="14" borderId="0" xfId="0" applyFill="1"/>
    <xf numFmtId="0" fontId="79" fillId="14" borderId="0" xfId="0" applyFont="1" applyFill="1" applyBorder="1" applyAlignment="1">
      <alignment horizontal="left" vertical="center" wrapText="1"/>
    </xf>
    <xf numFmtId="0" fontId="80" fillId="15" borderId="31" xfId="0" applyFont="1" applyFill="1" applyBorder="1" applyAlignment="1">
      <alignment vertical="center"/>
    </xf>
    <xf numFmtId="0" fontId="80" fillId="15" borderId="40" xfId="0" applyFont="1" applyFill="1" applyBorder="1" applyAlignment="1">
      <alignment vertical="center"/>
    </xf>
    <xf numFmtId="0" fontId="81" fillId="14" borderId="2" xfId="0" applyFont="1" applyFill="1" applyBorder="1" applyAlignment="1">
      <alignment vertical="center"/>
    </xf>
    <xf numFmtId="14" fontId="0" fillId="14" borderId="2" xfId="0" applyNumberFormat="1" applyFill="1" applyBorder="1" applyAlignment="1">
      <alignment vertical="center"/>
    </xf>
    <xf numFmtId="167" fontId="77" fillId="0" borderId="0" xfId="10" applyNumberFormat="1" applyFont="1" applyAlignment="1">
      <alignment wrapText="1"/>
    </xf>
    <xf numFmtId="0" fontId="77" fillId="0" borderId="0" xfId="11" applyFont="1" applyAlignment="1">
      <alignment wrapText="1"/>
    </xf>
    <xf numFmtId="0" fontId="77" fillId="0" borderId="0" xfId="11" applyFont="1" applyAlignment="1"/>
    <xf numFmtId="0" fontId="1" fillId="0" borderId="0" xfId="11"/>
    <xf numFmtId="0" fontId="1" fillId="0" borderId="0" xfId="11" applyAlignment="1"/>
    <xf numFmtId="167" fontId="0" fillId="0" borderId="0" xfId="10" applyNumberFormat="1" applyFont="1"/>
    <xf numFmtId="0" fontId="83" fillId="14" borderId="0" xfId="0" applyFont="1" applyFill="1"/>
    <xf numFmtId="3" fontId="0" fillId="0" borderId="0" xfId="0" applyNumberFormat="1"/>
    <xf numFmtId="0" fontId="1" fillId="0" borderId="0" xfId="11" applyNumberFormat="1"/>
    <xf numFmtId="0" fontId="70" fillId="0" borderId="0" xfId="0" applyFont="1"/>
    <xf numFmtId="3" fontId="9" fillId="0" borderId="72" xfId="0" applyNumberFormat="1" applyFont="1" applyFill="1" applyBorder="1" applyAlignment="1" applyProtection="1">
      <alignment vertical="center"/>
    </xf>
    <xf numFmtId="0" fontId="0" fillId="0" borderId="0" xfId="0" applyFill="1" applyBorder="1"/>
    <xf numFmtId="0" fontId="8" fillId="0" borderId="0" xfId="3" applyBorder="1" applyAlignment="1" applyProtection="1"/>
    <xf numFmtId="0" fontId="8" fillId="0" borderId="0" xfId="3" applyAlignment="1" applyProtection="1"/>
    <xf numFmtId="0" fontId="0" fillId="0" borderId="0" xfId="0" applyAlignment="1"/>
    <xf numFmtId="14" fontId="0" fillId="0" borderId="0" xfId="0" applyNumberFormat="1"/>
    <xf numFmtId="0" fontId="77" fillId="14" borderId="47" xfId="0" applyFont="1" applyFill="1" applyBorder="1" applyAlignment="1">
      <alignment horizontal="right" vertical="center"/>
    </xf>
    <xf numFmtId="0" fontId="77" fillId="14" borderId="0" xfId="0" applyFont="1" applyFill="1" applyBorder="1" applyAlignment="1">
      <alignment horizontal="right" vertical="center"/>
    </xf>
    <xf numFmtId="0" fontId="0" fillId="14" borderId="0" xfId="0" applyFill="1" applyBorder="1" applyAlignment="1">
      <alignment horizontal="left" vertical="top" wrapText="1"/>
    </xf>
    <xf numFmtId="0" fontId="0" fillId="14" borderId="26" xfId="0" applyFill="1" applyBorder="1" applyAlignment="1">
      <alignment horizontal="left" vertical="top" wrapText="1"/>
    </xf>
    <xf numFmtId="0" fontId="19" fillId="0" borderId="1" xfId="5" applyFont="1" applyFill="1" applyBorder="1" applyAlignment="1">
      <alignment horizontal="right" wrapText="1"/>
    </xf>
    <xf numFmtId="0" fontId="0" fillId="0" borderId="1" xfId="0" applyBorder="1"/>
    <xf numFmtId="0" fontId="0" fillId="0" borderId="0" xfId="0" applyAlignment="1">
      <alignment wrapText="1"/>
    </xf>
    <xf numFmtId="171" fontId="0" fillId="0" borderId="0" xfId="0" applyNumberFormat="1" applyFont="1"/>
    <xf numFmtId="167" fontId="0" fillId="0" borderId="0" xfId="1" applyNumberFormat="1" applyFont="1"/>
    <xf numFmtId="0" fontId="2" fillId="12" borderId="0" xfId="0" applyFont="1" applyFill="1" applyAlignment="1">
      <alignment horizontal="left" vertical="top" wrapText="1"/>
    </xf>
    <xf numFmtId="0" fontId="11" fillId="12" borderId="0" xfId="0" applyFont="1" applyFill="1" applyAlignment="1">
      <alignment horizontal="left" vertical="top" wrapText="1"/>
    </xf>
    <xf numFmtId="0" fontId="11" fillId="2" borderId="0" xfId="0" applyFont="1" applyFill="1" applyAlignment="1">
      <alignment horizontal="left" vertical="top" wrapText="1"/>
    </xf>
    <xf numFmtId="0" fontId="2" fillId="2" borderId="0" xfId="0" applyFont="1" applyFill="1" applyAlignment="1">
      <alignment horizontal="left" vertical="top" wrapText="1"/>
    </xf>
    <xf numFmtId="0" fontId="11" fillId="0" borderId="0" xfId="0" applyFont="1" applyAlignment="1">
      <alignment horizontal="left" vertical="top" wrapText="1"/>
    </xf>
    <xf numFmtId="0" fontId="85" fillId="2" borderId="0" xfId="0" applyFont="1" applyFill="1" applyAlignment="1">
      <alignment horizontal="center" vertical="center"/>
    </xf>
    <xf numFmtId="0" fontId="86" fillId="2" borderId="0" xfId="0" applyFont="1" applyFill="1" applyAlignment="1">
      <alignment horizontal="center"/>
    </xf>
    <xf numFmtId="0" fontId="44" fillId="2" borderId="0" xfId="0" applyFont="1" applyFill="1" applyAlignment="1">
      <alignment horizontal="center"/>
    </xf>
    <xf numFmtId="0" fontId="45" fillId="2" borderId="0" xfId="0" applyFont="1" applyFill="1" applyAlignment="1">
      <alignment horizontal="center"/>
    </xf>
    <xf numFmtId="0" fontId="11" fillId="4" borderId="0" xfId="0" applyFont="1" applyFill="1" applyAlignment="1">
      <alignment horizontal="left" vertical="top" wrapText="1"/>
    </xf>
    <xf numFmtId="0" fontId="0" fillId="0" borderId="0" xfId="0" applyAlignment="1">
      <alignment horizontal="left" vertical="top" wrapText="1"/>
    </xf>
    <xf numFmtId="0" fontId="8" fillId="0" borderId="0" xfId="3" applyAlignment="1" applyProtection="1"/>
    <xf numFmtId="0" fontId="10" fillId="4" borderId="3" xfId="0" applyFont="1" applyFill="1" applyBorder="1" applyAlignment="1">
      <alignment horizontal="center" wrapText="1"/>
    </xf>
    <xf numFmtId="0" fontId="8" fillId="0" borderId="0" xfId="3" applyAlignment="1" applyProtection="1">
      <alignment horizontal="center"/>
    </xf>
    <xf numFmtId="0" fontId="19" fillId="2" borderId="0" xfId="0" applyFont="1" applyFill="1" applyAlignment="1">
      <alignment horizontal="left" vertical="top" wrapText="1"/>
    </xf>
    <xf numFmtId="0" fontId="19" fillId="2" borderId="0" xfId="3" applyFont="1" applyFill="1" applyAlignment="1" applyProtection="1">
      <alignment horizontal="left" vertical="top" wrapText="1"/>
    </xf>
    <xf numFmtId="5" fontId="12" fillId="2" borderId="12" xfId="0" applyNumberFormat="1" applyFont="1" applyFill="1" applyBorder="1" applyAlignment="1" applyProtection="1">
      <alignment horizontal="left" vertical="center" wrapText="1"/>
    </xf>
    <xf numFmtId="5" fontId="12" fillId="2" borderId="0" xfId="0" applyNumberFormat="1" applyFont="1" applyFill="1" applyBorder="1" applyAlignment="1" applyProtection="1">
      <alignment horizontal="left" vertical="center" wrapText="1"/>
    </xf>
    <xf numFmtId="0" fontId="9" fillId="2" borderId="0" xfId="0" applyFont="1" applyFill="1" applyAlignment="1" applyProtection="1">
      <alignment horizontal="left" vertical="center" wrapText="1"/>
    </xf>
    <xf numFmtId="0" fontId="7" fillId="3" borderId="0" xfId="0" applyFont="1" applyFill="1" applyBorder="1" applyAlignment="1" applyProtection="1">
      <alignment horizontal="left" vertical="center"/>
    </xf>
    <xf numFmtId="0" fontId="0" fillId="0" borderId="0" xfId="0" applyAlignment="1" applyProtection="1">
      <alignment horizontal="left" vertical="center"/>
    </xf>
    <xf numFmtId="166" fontId="11" fillId="14" borderId="2" xfId="0" applyNumberFormat="1" applyFont="1" applyFill="1" applyBorder="1" applyAlignment="1" applyProtection="1">
      <alignment horizontal="right" vertical="center"/>
      <protection locked="0"/>
    </xf>
    <xf numFmtId="166" fontId="0" fillId="14" borderId="18" xfId="0" applyNumberFormat="1" applyFill="1" applyBorder="1" applyAlignment="1" applyProtection="1">
      <alignment horizontal="right" vertical="center"/>
      <protection locked="0"/>
    </xf>
    <xf numFmtId="49" fontId="0" fillId="2" borderId="2" xfId="0" applyNumberFormat="1" applyFill="1" applyBorder="1" applyAlignment="1" applyProtection="1">
      <alignment horizontal="left" vertical="center" wrapText="1"/>
    </xf>
    <xf numFmtId="49" fontId="0" fillId="2" borderId="6" xfId="0" applyNumberFormat="1" applyFill="1" applyBorder="1" applyAlignment="1" applyProtection="1">
      <alignment horizontal="left" vertical="center" wrapText="1"/>
    </xf>
    <xf numFmtId="49" fontId="0" fillId="2" borderId="18" xfId="0" applyNumberFormat="1" applyFill="1" applyBorder="1" applyAlignment="1" applyProtection="1">
      <alignment horizontal="left" vertical="center" wrapText="1"/>
    </xf>
    <xf numFmtId="49" fontId="8" fillId="2" borderId="2" xfId="3" applyNumberFormat="1" applyFill="1" applyBorder="1" applyAlignment="1" applyProtection="1">
      <alignment horizontal="left" vertical="center" wrapText="1"/>
    </xf>
    <xf numFmtId="49" fontId="8" fillId="2" borderId="6" xfId="3" applyNumberFormat="1" applyFill="1" applyBorder="1" applyAlignment="1" applyProtection="1">
      <alignment horizontal="left" vertical="center" wrapText="1"/>
    </xf>
    <xf numFmtId="49" fontId="8" fillId="2" borderId="18" xfId="3" applyNumberFormat="1" applyFill="1" applyBorder="1" applyAlignment="1" applyProtection="1">
      <alignment horizontal="left" vertical="center" wrapText="1"/>
    </xf>
    <xf numFmtId="166" fontId="9" fillId="2" borderId="2" xfId="0" applyNumberFormat="1" applyFont="1" applyFill="1" applyBorder="1" applyAlignment="1" applyProtection="1">
      <alignment horizontal="right" vertical="center"/>
      <protection locked="0"/>
    </xf>
    <xf numFmtId="166" fontId="9" fillId="2" borderId="18" xfId="0" applyNumberFormat="1" applyFont="1" applyFill="1" applyBorder="1" applyAlignment="1" applyProtection="1">
      <alignment horizontal="right" vertical="center"/>
      <protection locked="0"/>
    </xf>
    <xf numFmtId="0" fontId="26" fillId="6" borderId="2" xfId="0" applyFont="1" applyFill="1" applyBorder="1" applyAlignment="1" applyProtection="1">
      <alignment wrapText="1"/>
    </xf>
    <xf numFmtId="0" fontId="26" fillId="0" borderId="18" xfId="0" applyFont="1" applyBorder="1" applyAlignment="1">
      <alignment wrapText="1"/>
    </xf>
    <xf numFmtId="0" fontId="68" fillId="6" borderId="11" xfId="0" applyFont="1" applyFill="1" applyBorder="1" applyAlignment="1" applyProtection="1">
      <alignment horizontal="center" vertical="center" textRotation="180"/>
    </xf>
    <xf numFmtId="0" fontId="68" fillId="6" borderId="17" xfId="0" applyFont="1" applyFill="1" applyBorder="1" applyAlignment="1" applyProtection="1">
      <alignment horizontal="center" vertical="center" textRotation="180"/>
    </xf>
    <xf numFmtId="0" fontId="68" fillId="6" borderId="12" xfId="0" applyFont="1" applyFill="1" applyBorder="1" applyAlignment="1" applyProtection="1">
      <alignment horizontal="center" vertical="center" textRotation="180"/>
    </xf>
    <xf numFmtId="0" fontId="68" fillId="6" borderId="15" xfId="0" applyFont="1" applyFill="1" applyBorder="1" applyAlignment="1" applyProtection="1">
      <alignment horizontal="center" vertical="center" textRotation="180"/>
    </xf>
    <xf numFmtId="0" fontId="0" fillId="2" borderId="2" xfId="0" applyFill="1" applyBorder="1" applyAlignment="1" applyProtection="1">
      <alignment horizontal="left" vertical="center" wrapText="1"/>
    </xf>
    <xf numFmtId="0" fontId="0" fillId="2" borderId="6" xfId="0" applyFill="1" applyBorder="1" applyAlignment="1" applyProtection="1">
      <alignment horizontal="left" vertical="center" wrapText="1"/>
    </xf>
    <xf numFmtId="0" fontId="0" fillId="2" borderId="18" xfId="0" applyFill="1" applyBorder="1" applyAlignment="1" applyProtection="1">
      <alignment horizontal="left" vertical="center" wrapText="1"/>
    </xf>
    <xf numFmtId="5" fontId="13" fillId="2" borderId="12" xfId="0" applyNumberFormat="1" applyFont="1" applyFill="1" applyBorder="1" applyAlignment="1" applyProtection="1">
      <alignment horizontal="left" vertical="center" wrapText="1"/>
    </xf>
    <xf numFmtId="5" fontId="13" fillId="2" borderId="0" xfId="0" applyNumberFormat="1" applyFont="1" applyFill="1" applyBorder="1" applyAlignment="1" applyProtection="1">
      <alignment horizontal="left" vertical="center" wrapText="1"/>
    </xf>
    <xf numFmtId="0" fontId="0" fillId="2" borderId="0" xfId="0" applyFill="1" applyBorder="1" applyAlignment="1" applyProtection="1">
      <alignment horizontal="left" vertical="center" wrapText="1"/>
    </xf>
    <xf numFmtId="5" fontId="13" fillId="0" borderId="12" xfId="0" applyNumberFormat="1" applyFont="1" applyFill="1" applyBorder="1" applyAlignment="1" applyProtection="1">
      <alignment horizontal="left" vertical="center" wrapText="1"/>
    </xf>
    <xf numFmtId="5" fontId="13" fillId="0" borderId="0" xfId="0" applyNumberFormat="1" applyFont="1" applyFill="1" applyBorder="1" applyAlignment="1" applyProtection="1">
      <alignment horizontal="left" vertical="center" wrapText="1"/>
    </xf>
    <xf numFmtId="166" fontId="0" fillId="3" borderId="2" xfId="0" applyNumberFormat="1" applyFill="1" applyBorder="1" applyAlignment="1" applyProtection="1">
      <alignment horizontal="right" vertical="center"/>
    </xf>
    <xf numFmtId="166" fontId="0" fillId="3" borderId="18" xfId="0" applyNumberFormat="1" applyFill="1" applyBorder="1" applyAlignment="1" applyProtection="1">
      <alignment horizontal="right" vertical="center"/>
    </xf>
    <xf numFmtId="166" fontId="0" fillId="3" borderId="2" xfId="0" applyNumberFormat="1" applyFill="1" applyBorder="1" applyAlignment="1" applyProtection="1">
      <alignment horizontal="right" vertical="center"/>
      <protection locked="0"/>
    </xf>
    <xf numFmtId="166" fontId="0" fillId="3" borderId="18" xfId="0" applyNumberFormat="1" applyFill="1" applyBorder="1" applyAlignment="1" applyProtection="1">
      <alignment horizontal="right" vertical="center"/>
      <protection locked="0"/>
    </xf>
    <xf numFmtId="0" fontId="71" fillId="2" borderId="12" xfId="0" applyFont="1" applyFill="1" applyBorder="1" applyAlignment="1" applyProtection="1">
      <alignment horizontal="left" vertical="center" wrapText="1"/>
    </xf>
    <xf numFmtId="0" fontId="71" fillId="2" borderId="0" xfId="0" applyFont="1" applyFill="1" applyBorder="1" applyAlignment="1" applyProtection="1">
      <alignment horizontal="left" vertical="center" wrapText="1"/>
    </xf>
    <xf numFmtId="0" fontId="0" fillId="2" borderId="0" xfId="0" applyFill="1" applyAlignment="1" applyProtection="1">
      <alignment horizontal="left" vertical="center" wrapText="1"/>
    </xf>
    <xf numFmtId="166" fontId="2" fillId="2" borderId="2" xfId="0" applyNumberFormat="1" applyFont="1" applyFill="1" applyBorder="1" applyAlignment="1" applyProtection="1">
      <alignment horizontal="right" vertical="center"/>
      <protection locked="0"/>
    </xf>
    <xf numFmtId="166" fontId="2" fillId="2" borderId="18" xfId="0" applyNumberFormat="1" applyFont="1" applyFill="1" applyBorder="1" applyAlignment="1" applyProtection="1">
      <alignment horizontal="right" vertical="center"/>
      <protection locked="0"/>
    </xf>
    <xf numFmtId="0" fontId="0" fillId="5" borderId="11" xfId="0" applyFill="1" applyBorder="1" applyAlignment="1" applyProtection="1"/>
    <xf numFmtId="0" fontId="0" fillId="0" borderId="17" xfId="0" applyBorder="1" applyAlignment="1" applyProtection="1"/>
    <xf numFmtId="0" fontId="0" fillId="5" borderId="14" xfId="0" applyFill="1" applyBorder="1" applyAlignment="1" applyProtection="1"/>
    <xf numFmtId="0" fontId="0" fillId="0" borderId="22" xfId="0" applyBorder="1" applyAlignment="1" applyProtection="1"/>
    <xf numFmtId="0" fontId="0" fillId="5" borderId="11" xfId="0" applyFill="1" applyBorder="1" applyAlignment="1" applyProtection="1">
      <alignment horizontal="center"/>
    </xf>
    <xf numFmtId="0" fontId="0" fillId="5" borderId="17" xfId="0" applyFill="1" applyBorder="1" applyAlignment="1" applyProtection="1">
      <alignment horizontal="center"/>
    </xf>
    <xf numFmtId="0" fontId="0" fillId="5" borderId="12" xfId="0" applyFill="1" applyBorder="1" applyAlignment="1" applyProtection="1">
      <alignment horizontal="center"/>
    </xf>
    <xf numFmtId="0" fontId="0" fillId="5" borderId="15" xfId="0" applyFill="1" applyBorder="1" applyAlignment="1" applyProtection="1">
      <alignment horizontal="center"/>
    </xf>
    <xf numFmtId="0" fontId="0" fillId="5" borderId="14" xfId="0" applyFill="1" applyBorder="1" applyAlignment="1" applyProtection="1">
      <alignment horizontal="center"/>
    </xf>
    <xf numFmtId="0" fontId="0" fillId="5" borderId="22" xfId="0" applyFill="1" applyBorder="1" applyAlignment="1" applyProtection="1">
      <alignment horizontal="center"/>
    </xf>
    <xf numFmtId="5" fontId="13" fillId="4" borderId="11" xfId="0" applyNumberFormat="1" applyFont="1" applyFill="1" applyBorder="1" applyAlignment="1" applyProtection="1">
      <alignment horizontal="left" vertical="center" wrapText="1"/>
    </xf>
    <xf numFmtId="0" fontId="0" fillId="0" borderId="16" xfId="0" applyBorder="1" applyAlignment="1" applyProtection="1">
      <alignment horizontal="left" vertical="center" wrapText="1"/>
    </xf>
    <xf numFmtId="0" fontId="0" fillId="0" borderId="17" xfId="0" applyBorder="1" applyAlignment="1" applyProtection="1">
      <alignment horizontal="left" vertical="center" wrapText="1"/>
    </xf>
    <xf numFmtId="0" fontId="0" fillId="0" borderId="14" xfId="0" applyBorder="1" applyAlignment="1" applyProtection="1">
      <alignment horizontal="left" vertical="center" wrapText="1"/>
    </xf>
    <xf numFmtId="0" fontId="0" fillId="0" borderId="13" xfId="0" applyBorder="1" applyAlignment="1" applyProtection="1">
      <alignment horizontal="left" vertical="center" wrapText="1"/>
    </xf>
    <xf numFmtId="0" fontId="0" fillId="0" borderId="22" xfId="0" applyBorder="1" applyAlignment="1" applyProtection="1">
      <alignment horizontal="left" vertical="center" wrapText="1"/>
    </xf>
    <xf numFmtId="0" fontId="0" fillId="2" borderId="2" xfId="0" applyFill="1" applyBorder="1" applyAlignment="1" applyProtection="1">
      <alignment horizontal="left" vertical="center"/>
    </xf>
    <xf numFmtId="0" fontId="0" fillId="0" borderId="6" xfId="0" applyBorder="1" applyAlignment="1" applyProtection="1">
      <alignment horizontal="left" vertical="center"/>
    </xf>
    <xf numFmtId="0" fontId="0" fillId="0" borderId="18" xfId="0" applyBorder="1" applyAlignment="1" applyProtection="1">
      <alignment horizontal="left" vertical="center"/>
    </xf>
    <xf numFmtId="0" fontId="6" fillId="3" borderId="0" xfId="0" applyFont="1" applyFill="1" applyBorder="1" applyAlignment="1" applyProtection="1">
      <alignment horizontal="left" vertical="center"/>
    </xf>
    <xf numFmtId="0" fontId="25" fillId="2" borderId="0" xfId="0" applyFont="1" applyFill="1" applyBorder="1" applyAlignment="1" applyProtection="1">
      <alignment horizontal="left" vertical="center" wrapText="1"/>
    </xf>
    <xf numFmtId="0" fontId="13" fillId="5" borderId="14" xfId="0" applyFont="1" applyFill="1" applyBorder="1" applyAlignment="1" applyProtection="1">
      <alignment vertical="center" wrapText="1"/>
    </xf>
    <xf numFmtId="0" fontId="0" fillId="0" borderId="13" xfId="0" applyBorder="1" applyAlignment="1">
      <alignment vertical="center" wrapText="1"/>
    </xf>
    <xf numFmtId="0" fontId="0" fillId="0" borderId="22" xfId="0" applyBorder="1" applyAlignment="1">
      <alignment vertical="center" wrapText="1"/>
    </xf>
    <xf numFmtId="166" fontId="9" fillId="3" borderId="2" xfId="0" applyNumberFormat="1" applyFont="1" applyFill="1" applyBorder="1" applyAlignment="1" applyProtection="1">
      <alignment horizontal="right" vertical="center" wrapText="1"/>
    </xf>
    <xf numFmtId="166" fontId="9" fillId="3" borderId="18" xfId="0" applyNumberFormat="1" applyFont="1" applyFill="1" applyBorder="1" applyAlignment="1" applyProtection="1">
      <alignment horizontal="right" vertical="center" wrapText="1"/>
    </xf>
    <xf numFmtId="0" fontId="8" fillId="2" borderId="6" xfId="3" applyFill="1" applyBorder="1" applyAlignment="1" applyProtection="1">
      <alignment horizontal="right" vertical="center" wrapText="1"/>
    </xf>
    <xf numFmtId="0" fontId="8" fillId="0" borderId="6" xfId="3" applyBorder="1" applyAlignment="1" applyProtection="1">
      <alignment horizontal="right" vertical="center" wrapText="1"/>
    </xf>
    <xf numFmtId="0" fontId="8" fillId="2" borderId="6" xfId="3" applyFill="1" applyBorder="1" applyAlignment="1" applyProtection="1">
      <alignment horizontal="center" vertical="center" wrapText="1"/>
    </xf>
    <xf numFmtId="0" fontId="8" fillId="2" borderId="16" xfId="3" applyFill="1" applyBorder="1" applyAlignment="1" applyProtection="1">
      <alignment horizontal="left" vertical="center" wrapText="1"/>
    </xf>
    <xf numFmtId="0" fontId="8" fillId="0" borderId="16" xfId="3" applyBorder="1" applyAlignment="1" applyProtection="1">
      <alignment horizontal="left" vertical="center" wrapText="1"/>
    </xf>
    <xf numFmtId="166" fontId="0" fillId="3" borderId="18" xfId="0" applyNumberFormat="1" applyFill="1" applyBorder="1" applyAlignment="1" applyProtection="1">
      <alignment horizontal="right" vertical="center" wrapText="1"/>
    </xf>
    <xf numFmtId="0" fontId="8" fillId="2" borderId="6" xfId="3" applyFill="1" applyBorder="1" applyAlignment="1" applyProtection="1">
      <alignment horizontal="left" vertical="center" wrapText="1"/>
    </xf>
    <xf numFmtId="0" fontId="8" fillId="0" borderId="6" xfId="3" applyBorder="1" applyAlignment="1" applyProtection="1">
      <alignment vertical="center" wrapText="1"/>
    </xf>
    <xf numFmtId="0" fontId="12" fillId="2" borderId="12" xfId="0" applyFont="1" applyFill="1" applyBorder="1" applyAlignment="1" applyProtection="1">
      <alignment horizontal="left" vertical="center" wrapText="1"/>
    </xf>
    <xf numFmtId="0" fontId="12" fillId="2" borderId="0" xfId="0" applyFont="1" applyFill="1" applyBorder="1" applyAlignment="1" applyProtection="1">
      <alignment horizontal="left" vertical="center" wrapText="1"/>
    </xf>
    <xf numFmtId="0" fontId="0" fillId="0" borderId="0" xfId="0" applyAlignment="1" applyProtection="1">
      <alignment horizontal="left" vertical="center" wrapText="1"/>
    </xf>
    <xf numFmtId="0" fontId="13" fillId="2" borderId="12" xfId="0" applyFont="1" applyFill="1" applyBorder="1" applyAlignment="1" applyProtection="1">
      <alignment horizontal="left" vertical="center" wrapText="1"/>
    </xf>
    <xf numFmtId="0" fontId="0" fillId="0" borderId="0" xfId="0" applyAlignment="1">
      <alignment horizontal="left" vertical="center" wrapText="1"/>
    </xf>
    <xf numFmtId="0" fontId="8" fillId="2" borderId="12" xfId="3" applyFill="1" applyBorder="1" applyAlignment="1" applyProtection="1">
      <alignment horizontal="left" vertical="center" wrapText="1"/>
    </xf>
    <xf numFmtId="0" fontId="8" fillId="2" borderId="0" xfId="3" applyFill="1" applyBorder="1" applyAlignment="1" applyProtection="1">
      <alignment horizontal="left" vertical="center" wrapText="1"/>
    </xf>
    <xf numFmtId="0" fontId="54" fillId="0" borderId="0" xfId="0" applyFont="1" applyAlignment="1">
      <alignment horizontal="center" vertical="top" textRotation="180" wrapText="1"/>
    </xf>
    <xf numFmtId="0" fontId="8" fillId="2" borderId="0" xfId="3" applyFill="1" applyAlignment="1" applyProtection="1"/>
    <xf numFmtId="0" fontId="12" fillId="4" borderId="2" xfId="0" applyFont="1" applyFill="1" applyBorder="1" applyAlignment="1" applyProtection="1">
      <alignment horizontal="left" vertical="center" wrapText="1"/>
    </xf>
    <xf numFmtId="0" fontId="12" fillId="4" borderId="6" xfId="0" applyFont="1" applyFill="1" applyBorder="1" applyAlignment="1" applyProtection="1">
      <alignment horizontal="left" vertical="center" wrapText="1"/>
    </xf>
    <xf numFmtId="0" fontId="12" fillId="4" borderId="18" xfId="0" applyFont="1" applyFill="1" applyBorder="1" applyAlignment="1" applyProtection="1">
      <alignment horizontal="left" vertical="center" wrapText="1"/>
    </xf>
    <xf numFmtId="49" fontId="11" fillId="2" borderId="2" xfId="0" applyNumberFormat="1" applyFont="1" applyFill="1" applyBorder="1" applyAlignment="1" applyProtection="1">
      <alignment horizontal="left" vertical="center" wrapText="1"/>
    </xf>
    <xf numFmtId="49" fontId="11" fillId="2" borderId="6" xfId="0" applyNumberFormat="1" applyFont="1" applyFill="1" applyBorder="1" applyAlignment="1" applyProtection="1">
      <alignment horizontal="left" vertical="center" wrapText="1"/>
    </xf>
    <xf numFmtId="49" fontId="11" fillId="2" borderId="18" xfId="0" applyNumberFormat="1" applyFont="1" applyFill="1" applyBorder="1" applyAlignment="1" applyProtection="1">
      <alignment horizontal="left" vertical="center" wrapText="1"/>
    </xf>
    <xf numFmtId="49" fontId="9" fillId="2" borderId="2" xfId="0" applyNumberFormat="1" applyFont="1" applyFill="1" applyBorder="1" applyAlignment="1" applyProtection="1">
      <alignment horizontal="left" vertical="center" wrapText="1"/>
    </xf>
    <xf numFmtId="49" fontId="9" fillId="2" borderId="6" xfId="0" applyNumberFormat="1" applyFont="1" applyFill="1" applyBorder="1" applyAlignment="1" applyProtection="1">
      <alignment horizontal="left" vertical="center" wrapText="1"/>
    </xf>
    <xf numFmtId="49" fontId="9" fillId="2" borderId="18" xfId="0" applyNumberFormat="1" applyFont="1" applyFill="1" applyBorder="1" applyAlignment="1" applyProtection="1">
      <alignment horizontal="left" vertical="center" wrapText="1"/>
    </xf>
    <xf numFmtId="167" fontId="9" fillId="2" borderId="2" xfId="0" applyNumberFormat="1" applyFont="1" applyFill="1" applyBorder="1" applyAlignment="1" applyProtection="1">
      <alignment horizontal="right" vertical="center"/>
      <protection locked="0"/>
    </xf>
    <xf numFmtId="167" fontId="9" fillId="2" borderId="18" xfId="0" applyNumberFormat="1" applyFont="1" applyFill="1" applyBorder="1" applyAlignment="1" applyProtection="1">
      <alignment horizontal="right" vertical="center"/>
      <protection locked="0"/>
    </xf>
    <xf numFmtId="167" fontId="0" fillId="2" borderId="2" xfId="0" applyNumberFormat="1" applyFill="1" applyBorder="1" applyAlignment="1" applyProtection="1">
      <alignment horizontal="right" vertical="center"/>
      <protection locked="0"/>
    </xf>
    <xf numFmtId="167" fontId="0" fillId="2" borderId="18" xfId="0" applyNumberFormat="1" applyFill="1" applyBorder="1" applyAlignment="1" applyProtection="1">
      <alignment horizontal="right" vertical="center"/>
      <protection locked="0"/>
    </xf>
    <xf numFmtId="5" fontId="13" fillId="4" borderId="2" xfId="0" applyNumberFormat="1" applyFont="1" applyFill="1" applyBorder="1" applyAlignment="1" applyProtection="1">
      <alignment horizontal="left" vertical="center" wrapText="1"/>
    </xf>
    <xf numFmtId="0" fontId="13" fillId="4" borderId="6" xfId="0" applyFont="1" applyFill="1" applyBorder="1" applyAlignment="1" applyProtection="1">
      <alignment horizontal="left" vertical="center" wrapText="1"/>
    </xf>
    <xf numFmtId="0" fontId="13" fillId="0" borderId="18" xfId="0" applyFont="1" applyBorder="1" applyAlignment="1" applyProtection="1">
      <alignment horizontal="left" vertical="center" wrapText="1"/>
    </xf>
    <xf numFmtId="5" fontId="13" fillId="4" borderId="6" xfId="0" applyNumberFormat="1" applyFont="1" applyFill="1" applyBorder="1" applyAlignment="1" applyProtection="1">
      <alignment horizontal="left" vertical="center" wrapText="1"/>
    </xf>
    <xf numFmtId="5" fontId="13" fillId="4" borderId="18" xfId="0" applyNumberFormat="1" applyFont="1" applyFill="1" applyBorder="1" applyAlignment="1" applyProtection="1">
      <alignment horizontal="left" vertical="center" wrapText="1"/>
    </xf>
    <xf numFmtId="3" fontId="0" fillId="2" borderId="2" xfId="0" applyNumberFormat="1" applyFill="1" applyBorder="1" applyAlignment="1" applyProtection="1">
      <alignment horizontal="right" vertical="center"/>
      <protection locked="0"/>
    </xf>
    <xf numFmtId="3" fontId="0" fillId="2" borderId="18" xfId="0" applyNumberFormat="1" applyFill="1" applyBorder="1" applyAlignment="1" applyProtection="1">
      <alignment horizontal="right" vertical="center"/>
      <protection locked="0"/>
    </xf>
    <xf numFmtId="166" fontId="0" fillId="2" borderId="2" xfId="0" applyNumberFormat="1" applyFill="1" applyBorder="1" applyAlignment="1" applyProtection="1">
      <alignment horizontal="right" vertical="center" wrapText="1"/>
      <protection locked="0"/>
    </xf>
    <xf numFmtId="166" fontId="0" fillId="2" borderId="18" xfId="0" applyNumberFormat="1" applyFill="1" applyBorder="1" applyAlignment="1" applyProtection="1">
      <alignment horizontal="right" vertical="center" wrapText="1"/>
      <protection locked="0"/>
    </xf>
    <xf numFmtId="0" fontId="13" fillId="2" borderId="12" xfId="0" applyFont="1" applyFill="1" applyBorder="1" applyAlignment="1">
      <alignment horizontal="left" vertical="center" wrapText="1"/>
    </xf>
    <xf numFmtId="0" fontId="13" fillId="2" borderId="0" xfId="0" applyFont="1" applyFill="1" applyAlignment="1">
      <alignment horizontal="left" vertical="center" wrapText="1"/>
    </xf>
    <xf numFmtId="0" fontId="69" fillId="6" borderId="11" xfId="0" applyFont="1" applyFill="1" applyBorder="1" applyAlignment="1" applyProtection="1">
      <alignment horizontal="center" vertical="center" textRotation="180"/>
    </xf>
    <xf numFmtId="0" fontId="69" fillId="6" borderId="17" xfId="0" applyFont="1" applyFill="1" applyBorder="1" applyAlignment="1" applyProtection="1">
      <alignment horizontal="center" vertical="center" textRotation="180"/>
    </xf>
    <xf numFmtId="0" fontId="69" fillId="6" borderId="14" xfId="0" applyFont="1" applyFill="1" applyBorder="1" applyAlignment="1" applyProtection="1">
      <alignment horizontal="center" vertical="center" textRotation="180"/>
    </xf>
    <xf numFmtId="0" fontId="69" fillId="6" borderId="22" xfId="0" applyFont="1" applyFill="1" applyBorder="1" applyAlignment="1" applyProtection="1">
      <alignment horizontal="center" vertical="center" textRotation="180"/>
    </xf>
    <xf numFmtId="166" fontId="11" fillId="2" borderId="2" xfId="0" applyNumberFormat="1" applyFont="1" applyFill="1" applyBorder="1" applyAlignment="1" applyProtection="1">
      <alignment horizontal="right" vertical="center" wrapText="1"/>
      <protection locked="0"/>
    </xf>
    <xf numFmtId="166" fontId="11" fillId="2" borderId="18" xfId="0" applyNumberFormat="1" applyFont="1" applyFill="1" applyBorder="1" applyAlignment="1" applyProtection="1">
      <alignment horizontal="right" vertical="center" wrapText="1"/>
      <protection locked="0"/>
    </xf>
    <xf numFmtId="166" fontId="11" fillId="3" borderId="2" xfId="0" applyNumberFormat="1" applyFont="1" applyFill="1" applyBorder="1" applyAlignment="1" applyProtection="1">
      <alignment horizontal="right" vertical="center" wrapText="1"/>
    </xf>
    <xf numFmtId="0" fontId="7" fillId="3" borderId="0" xfId="0" applyFont="1" applyFill="1" applyBorder="1" applyAlignment="1" applyProtection="1">
      <alignment horizontal="center" vertical="center"/>
    </xf>
    <xf numFmtId="49" fontId="0" fillId="2" borderId="2" xfId="0" applyNumberFormat="1" applyFill="1" applyBorder="1" applyAlignment="1" applyProtection="1">
      <alignment horizontal="left" vertical="center" wrapText="1"/>
      <protection locked="0"/>
    </xf>
    <xf numFmtId="49" fontId="0" fillId="2" borderId="6" xfId="0" applyNumberFormat="1" applyFill="1" applyBorder="1" applyAlignment="1" applyProtection="1">
      <alignment horizontal="left" vertical="center" wrapText="1"/>
      <protection locked="0"/>
    </xf>
    <xf numFmtId="49" fontId="0" fillId="2" borderId="18" xfId="0" applyNumberFormat="1" applyFill="1" applyBorder="1" applyAlignment="1" applyProtection="1">
      <alignment horizontal="left" vertical="center" wrapText="1"/>
      <protection locked="0"/>
    </xf>
    <xf numFmtId="0" fontId="0" fillId="0" borderId="18" xfId="0" applyBorder="1" applyAlignment="1" applyProtection="1">
      <alignment horizontal="left" vertical="center" wrapText="1"/>
    </xf>
    <xf numFmtId="166" fontId="0" fillId="0" borderId="18" xfId="0" applyNumberFormat="1" applyBorder="1" applyAlignment="1" applyProtection="1">
      <alignment horizontal="right" vertical="center" wrapText="1"/>
      <protection locked="0"/>
    </xf>
    <xf numFmtId="49" fontId="33" fillId="3" borderId="2" xfId="0" applyNumberFormat="1" applyFont="1" applyFill="1" applyBorder="1" applyAlignment="1" applyProtection="1">
      <alignment horizontal="center" vertical="center" wrapText="1"/>
    </xf>
    <xf numFmtId="49" fontId="33" fillId="3" borderId="6" xfId="0" applyNumberFormat="1" applyFont="1" applyFill="1" applyBorder="1" applyAlignment="1" applyProtection="1">
      <alignment horizontal="center" vertical="center" wrapText="1"/>
    </xf>
    <xf numFmtId="49" fontId="33" fillId="3" borderId="18" xfId="0" applyNumberFormat="1" applyFont="1" applyFill="1" applyBorder="1" applyAlignment="1" applyProtection="1">
      <alignment horizontal="center" vertical="center" wrapText="1"/>
    </xf>
    <xf numFmtId="49" fontId="7" fillId="3" borderId="2" xfId="0" applyNumberFormat="1" applyFont="1" applyFill="1" applyBorder="1" applyAlignment="1" applyProtection="1">
      <alignment horizontal="center" vertical="center"/>
    </xf>
    <xf numFmtId="49" fontId="7" fillId="3" borderId="18" xfId="0" applyNumberFormat="1" applyFont="1" applyFill="1" applyBorder="1" applyAlignment="1" applyProtection="1">
      <alignment horizontal="center" vertical="center"/>
    </xf>
    <xf numFmtId="49" fontId="7" fillId="3" borderId="6" xfId="0" applyNumberFormat="1" applyFont="1" applyFill="1" applyBorder="1" applyAlignment="1" applyProtection="1">
      <alignment horizontal="center" vertical="center"/>
    </xf>
    <xf numFmtId="0" fontId="7" fillId="3" borderId="11" xfId="0" applyFont="1" applyFill="1" applyBorder="1" applyAlignment="1" applyProtection="1">
      <alignment horizontal="center" wrapText="1"/>
    </xf>
    <xf numFmtId="0" fontId="7" fillId="3" borderId="17" xfId="0" applyFont="1" applyFill="1" applyBorder="1" applyAlignment="1" applyProtection="1">
      <alignment horizontal="center" wrapText="1"/>
    </xf>
    <xf numFmtId="0" fontId="7" fillId="3" borderId="14" xfId="0" applyFont="1" applyFill="1" applyBorder="1" applyAlignment="1" applyProtection="1">
      <alignment horizontal="center" wrapText="1"/>
    </xf>
    <xf numFmtId="0" fontId="7" fillId="3" borderId="22" xfId="0" applyFont="1" applyFill="1" applyBorder="1" applyAlignment="1" applyProtection="1">
      <alignment horizontal="center" wrapText="1"/>
    </xf>
    <xf numFmtId="0" fontId="16" fillId="4" borderId="2" xfId="0" applyFont="1" applyFill="1" applyBorder="1" applyAlignment="1" applyProtection="1">
      <alignment horizontal="left" vertical="center" wrapText="1"/>
    </xf>
    <xf numFmtId="0" fontId="16" fillId="4" borderId="6" xfId="0" applyFont="1" applyFill="1" applyBorder="1" applyAlignment="1" applyProtection="1">
      <alignment horizontal="left" vertical="center" wrapText="1"/>
    </xf>
    <xf numFmtId="0" fontId="16" fillId="4" borderId="18" xfId="0" applyFont="1" applyFill="1" applyBorder="1" applyAlignment="1" applyProtection="1">
      <alignment horizontal="left" vertical="center" wrapText="1"/>
    </xf>
    <xf numFmtId="0" fontId="9" fillId="2" borderId="2" xfId="0" applyFont="1" applyFill="1" applyBorder="1" applyAlignment="1" applyProtection="1">
      <alignment horizontal="left" vertical="center" wrapText="1"/>
    </xf>
    <xf numFmtId="0" fontId="9" fillId="0" borderId="6" xfId="0" applyFont="1" applyBorder="1" applyAlignment="1" applyProtection="1">
      <alignment wrapText="1"/>
    </xf>
    <xf numFmtId="0" fontId="9" fillId="0" borderId="18" xfId="0" applyFont="1" applyBorder="1" applyAlignment="1" applyProtection="1">
      <alignment wrapText="1"/>
    </xf>
    <xf numFmtId="166" fontId="0" fillId="0" borderId="18" xfId="0" applyNumberFormat="1" applyBorder="1" applyAlignment="1" applyProtection="1">
      <alignment horizontal="right" vertical="center" wrapText="1"/>
    </xf>
    <xf numFmtId="0" fontId="12" fillId="4" borderId="11" xfId="0" applyFont="1" applyFill="1" applyBorder="1" applyAlignment="1" applyProtection="1">
      <alignment horizontal="center" vertical="center" wrapText="1"/>
    </xf>
    <xf numFmtId="0" fontId="12" fillId="4" borderId="16" xfId="0" applyFont="1" applyFill="1" applyBorder="1" applyAlignment="1" applyProtection="1">
      <alignment horizontal="center" vertical="center" wrapText="1"/>
    </xf>
    <xf numFmtId="0" fontId="12" fillId="4" borderId="17" xfId="0" applyFont="1" applyFill="1" applyBorder="1" applyAlignment="1" applyProtection="1">
      <alignment horizontal="center" vertical="center" wrapText="1"/>
    </xf>
    <xf numFmtId="0" fontId="12" fillId="4" borderId="14" xfId="0" applyFont="1" applyFill="1" applyBorder="1" applyAlignment="1" applyProtection="1">
      <alignment horizontal="center" vertical="center" wrapText="1"/>
    </xf>
    <xf numFmtId="0" fontId="12" fillId="4" borderId="13" xfId="0" applyFont="1" applyFill="1" applyBorder="1" applyAlignment="1" applyProtection="1">
      <alignment horizontal="center" vertical="center" wrapText="1"/>
    </xf>
    <xf numFmtId="0" fontId="12" fillId="4" borderId="22" xfId="0" applyFont="1" applyFill="1" applyBorder="1" applyAlignment="1" applyProtection="1">
      <alignment horizontal="center" vertical="center" wrapText="1"/>
    </xf>
    <xf numFmtId="0" fontId="0" fillId="0" borderId="6" xfId="0" applyBorder="1" applyAlignment="1" applyProtection="1">
      <alignment horizontal="left" vertical="center" wrapText="1"/>
    </xf>
    <xf numFmtId="0" fontId="9" fillId="2" borderId="6" xfId="0" applyFont="1" applyFill="1" applyBorder="1" applyAlignment="1" applyProtection="1">
      <alignment horizontal="left" vertical="center" wrapText="1"/>
    </xf>
    <xf numFmtId="0" fontId="9" fillId="0" borderId="6" xfId="0" applyFont="1" applyBorder="1" applyAlignment="1" applyProtection="1">
      <alignment horizontal="left" vertical="center" wrapText="1"/>
    </xf>
    <xf numFmtId="0" fontId="9" fillId="0" borderId="18" xfId="0" applyFont="1" applyBorder="1" applyAlignment="1" applyProtection="1">
      <alignment horizontal="left" vertical="center" wrapText="1"/>
    </xf>
    <xf numFmtId="0" fontId="9" fillId="2" borderId="18" xfId="0" applyFont="1" applyFill="1" applyBorder="1" applyAlignment="1" applyProtection="1">
      <alignment horizontal="left" vertical="center" wrapText="1"/>
    </xf>
    <xf numFmtId="0" fontId="0" fillId="2" borderId="13" xfId="0" applyFill="1" applyBorder="1" applyAlignment="1" applyProtection="1">
      <alignment horizontal="left" vertical="center" wrapText="1"/>
    </xf>
    <xf numFmtId="0" fontId="0" fillId="2" borderId="3" xfId="0" applyFill="1" applyBorder="1" applyAlignment="1" applyProtection="1">
      <alignment horizontal="left" vertical="center" wrapText="1"/>
    </xf>
    <xf numFmtId="167" fontId="0" fillId="2" borderId="3" xfId="0" applyNumberFormat="1" applyFill="1" applyBorder="1" applyAlignment="1" applyProtection="1">
      <alignment horizontal="right" vertical="center"/>
      <protection locked="0"/>
    </xf>
    <xf numFmtId="0" fontId="2" fillId="2" borderId="3" xfId="0" applyFont="1" applyFill="1" applyBorder="1" applyAlignment="1" applyProtection="1">
      <alignment horizontal="left" vertical="center" wrapText="1"/>
    </xf>
    <xf numFmtId="0" fontId="15" fillId="4" borderId="0" xfId="0" applyFont="1" applyFill="1" applyAlignment="1" applyProtection="1">
      <alignment horizontal="left" vertical="center" wrapText="1"/>
    </xf>
    <xf numFmtId="0" fontId="6" fillId="3" borderId="0" xfId="0" applyFont="1" applyFill="1" applyAlignment="1" applyProtection="1">
      <alignment horizontal="left" vertical="center"/>
    </xf>
    <xf numFmtId="0" fontId="6" fillId="3" borderId="0" xfId="0" applyFont="1" applyFill="1" applyAlignment="1" applyProtection="1">
      <alignment horizontal="center" vertical="center"/>
    </xf>
    <xf numFmtId="0" fontId="0" fillId="2" borderId="3" xfId="0" applyFill="1" applyBorder="1" applyAlignment="1" applyProtection="1">
      <alignment horizontal="center" vertical="center"/>
    </xf>
    <xf numFmtId="0" fontId="0" fillId="0" borderId="3" xfId="0" applyBorder="1" applyAlignment="1" applyProtection="1">
      <alignment horizontal="center" vertical="center"/>
    </xf>
    <xf numFmtId="0" fontId="25" fillId="2" borderId="3" xfId="3" applyFont="1" applyFill="1" applyBorder="1" applyAlignment="1" applyProtection="1">
      <alignment horizontal="left" vertical="center" wrapText="1"/>
    </xf>
    <xf numFmtId="0" fontId="25" fillId="0" borderId="3" xfId="3" applyFont="1" applyBorder="1" applyAlignment="1" applyProtection="1">
      <alignment horizontal="left" vertical="center" wrapText="1"/>
    </xf>
    <xf numFmtId="166" fontId="0" fillId="2" borderId="3" xfId="0" applyNumberFormat="1" applyFill="1" applyBorder="1" applyAlignment="1" applyProtection="1">
      <alignment horizontal="right" vertical="center"/>
      <protection locked="0"/>
    </xf>
    <xf numFmtId="0" fontId="60" fillId="2" borderId="16" xfId="0" applyFont="1" applyFill="1" applyBorder="1" applyAlignment="1" applyProtection="1">
      <alignment horizontal="left" vertical="center" wrapText="1"/>
    </xf>
    <xf numFmtId="0" fontId="60" fillId="0" borderId="16" xfId="0" applyFont="1" applyBorder="1" applyAlignment="1">
      <alignment horizontal="left" vertical="center" wrapText="1"/>
    </xf>
    <xf numFmtId="0" fontId="6" fillId="3" borderId="13" xfId="0" applyFont="1" applyFill="1" applyBorder="1" applyAlignment="1" applyProtection="1">
      <alignment horizontal="center" vertical="center" wrapText="1"/>
    </xf>
    <xf numFmtId="0" fontId="0" fillId="0" borderId="13" xfId="0" applyBorder="1" applyAlignment="1" applyProtection="1">
      <alignment horizontal="center" vertical="center" wrapText="1"/>
    </xf>
    <xf numFmtId="0" fontId="0" fillId="0" borderId="0" xfId="0" applyAlignment="1" applyProtection="1">
      <alignment horizontal="center" vertical="center"/>
    </xf>
    <xf numFmtId="0" fontId="8" fillId="3" borderId="13" xfId="3" applyFill="1" applyBorder="1" applyAlignment="1" applyProtection="1">
      <alignment horizontal="center" vertical="center" wrapText="1"/>
    </xf>
    <xf numFmtId="0" fontId="8" fillId="0" borderId="13" xfId="3" applyBorder="1" applyAlignment="1" applyProtection="1">
      <alignment horizontal="center" vertical="center" wrapText="1"/>
    </xf>
    <xf numFmtId="0" fontId="35" fillId="2" borderId="0" xfId="0" applyFont="1" applyFill="1" applyBorder="1" applyAlignment="1" applyProtection="1">
      <alignment horizontal="left" vertical="center" wrapText="1"/>
    </xf>
    <xf numFmtId="0" fontId="35" fillId="0" borderId="0" xfId="0" applyFont="1" applyAlignment="1">
      <alignment horizontal="left" vertical="center"/>
    </xf>
    <xf numFmtId="0" fontId="8" fillId="0" borderId="0" xfId="3" applyAlignment="1" applyProtection="1">
      <alignment horizontal="left" vertical="center" wrapText="1"/>
    </xf>
    <xf numFmtId="167" fontId="11" fillId="0" borderId="2" xfId="0" applyNumberFormat="1" applyFont="1" applyFill="1" applyBorder="1" applyAlignment="1" applyProtection="1">
      <alignment horizontal="right" vertical="center"/>
      <protection locked="0"/>
    </xf>
    <xf numFmtId="167" fontId="0" fillId="0" borderId="6" xfId="0" applyNumberFormat="1" applyBorder="1" applyAlignment="1" applyProtection="1">
      <alignment horizontal="right" vertical="center"/>
      <protection locked="0"/>
    </xf>
    <xf numFmtId="0" fontId="11" fillId="2" borderId="6" xfId="0" applyFont="1" applyFill="1" applyBorder="1" applyAlignment="1" applyProtection="1">
      <alignment vertical="center" wrapText="1"/>
    </xf>
    <xf numFmtId="0" fontId="11" fillId="2" borderId="18" xfId="0" applyFont="1" applyFill="1" applyBorder="1" applyAlignment="1" applyProtection="1">
      <alignment vertical="center" wrapText="1"/>
    </xf>
    <xf numFmtId="0" fontId="7" fillId="3" borderId="13" xfId="0" applyFont="1" applyFill="1" applyBorder="1" applyAlignment="1" applyProtection="1">
      <alignment horizontal="center" vertical="center"/>
    </xf>
    <xf numFmtId="0" fontId="31" fillId="2" borderId="0" xfId="0" applyFont="1" applyFill="1" applyBorder="1" applyAlignment="1" applyProtection="1">
      <alignment horizontal="left" vertical="center" wrapText="1"/>
    </xf>
    <xf numFmtId="167" fontId="9" fillId="3" borderId="2" xfId="0" applyNumberFormat="1" applyFont="1" applyFill="1" applyBorder="1" applyAlignment="1" applyProtection="1">
      <alignment horizontal="right" vertical="center"/>
    </xf>
    <xf numFmtId="167" fontId="9" fillId="3" borderId="18" xfId="0" applyNumberFormat="1" applyFont="1" applyFill="1" applyBorder="1" applyAlignment="1" applyProtection="1">
      <alignment horizontal="right" vertical="center"/>
    </xf>
    <xf numFmtId="49" fontId="7" fillId="4" borderId="0" xfId="0" applyNumberFormat="1" applyFont="1" applyFill="1" applyBorder="1" applyAlignment="1" applyProtection="1">
      <alignment horizontal="left" vertical="center" wrapText="1"/>
    </xf>
    <xf numFmtId="49" fontId="7" fillId="4" borderId="0" xfId="0" applyNumberFormat="1" applyFont="1" applyFill="1" applyAlignment="1" applyProtection="1">
      <alignment horizontal="left" vertical="center" wrapText="1"/>
    </xf>
    <xf numFmtId="1" fontId="9" fillId="2" borderId="2" xfId="0" applyNumberFormat="1" applyFont="1" applyFill="1" applyBorder="1" applyAlignment="1" applyProtection="1">
      <alignment horizontal="right" vertical="center"/>
      <protection locked="0"/>
    </xf>
    <xf numFmtId="1" fontId="9" fillId="2" borderId="18" xfId="0" applyNumberFormat="1" applyFont="1" applyFill="1" applyBorder="1" applyAlignment="1" applyProtection="1">
      <alignment horizontal="right" vertical="center"/>
      <protection locked="0"/>
    </xf>
    <xf numFmtId="0" fontId="6" fillId="3" borderId="3" xfId="0" applyNumberFormat="1" applyFont="1" applyFill="1" applyBorder="1" applyAlignment="1" applyProtection="1">
      <alignment horizontal="center" vertical="center" wrapText="1"/>
    </xf>
    <xf numFmtId="49" fontId="0" fillId="2" borderId="6" xfId="0" applyNumberFormat="1" applyFill="1" applyBorder="1" applyAlignment="1" applyProtection="1">
      <alignment horizontal="left" vertical="center"/>
    </xf>
    <xf numFmtId="1" fontId="10" fillId="5" borderId="12" xfId="0" applyNumberFormat="1" applyFont="1" applyFill="1" applyBorder="1" applyAlignment="1" applyProtection="1">
      <alignment horizontal="center" vertical="center"/>
    </xf>
    <xf numFmtId="1" fontId="10" fillId="5" borderId="0" xfId="0" applyNumberFormat="1" applyFont="1" applyFill="1" applyBorder="1" applyAlignment="1" applyProtection="1">
      <alignment horizontal="center" vertical="center"/>
    </xf>
    <xf numFmtId="1" fontId="10" fillId="5" borderId="15" xfId="0" applyNumberFormat="1" applyFont="1" applyFill="1" applyBorder="1" applyAlignment="1" applyProtection="1">
      <alignment horizontal="center" vertical="center"/>
    </xf>
    <xf numFmtId="49" fontId="9" fillId="2" borderId="2" xfId="0" applyNumberFormat="1" applyFont="1" applyFill="1" applyBorder="1" applyAlignment="1" applyProtection="1">
      <alignment horizontal="left" vertical="center"/>
    </xf>
    <xf numFmtId="49" fontId="9" fillId="2" borderId="6" xfId="0" applyNumberFormat="1" applyFont="1" applyFill="1" applyBorder="1" applyAlignment="1" applyProtection="1">
      <alignment horizontal="left" vertical="center"/>
    </xf>
    <xf numFmtId="49" fontId="9" fillId="2" borderId="18" xfId="0" applyNumberFormat="1" applyFont="1" applyFill="1" applyBorder="1" applyAlignment="1" applyProtection="1">
      <alignment horizontal="left" vertical="center"/>
    </xf>
    <xf numFmtId="1" fontId="11" fillId="2" borderId="3" xfId="0" applyNumberFormat="1" applyFont="1" applyFill="1" applyBorder="1" applyAlignment="1" applyProtection="1">
      <alignment horizontal="center" vertical="center" wrapText="1"/>
      <protection locked="0"/>
    </xf>
    <xf numFmtId="0" fontId="11" fillId="14" borderId="3" xfId="0" applyFont="1" applyFill="1" applyBorder="1" applyAlignment="1" applyProtection="1">
      <alignment horizontal="center" vertical="center" wrapText="1"/>
      <protection locked="0"/>
    </xf>
    <xf numFmtId="49" fontId="9" fillId="6" borderId="12" xfId="0" applyNumberFormat="1" applyFont="1" applyFill="1" applyBorder="1" applyAlignment="1" applyProtection="1">
      <alignment horizontal="center" vertical="center"/>
    </xf>
    <xf numFmtId="49" fontId="9" fillId="6" borderId="0" xfId="0" applyNumberFormat="1" applyFont="1" applyFill="1" applyBorder="1" applyAlignment="1" applyProtection="1">
      <alignment horizontal="center" vertical="center"/>
    </xf>
    <xf numFmtId="49" fontId="9" fillId="6" borderId="15" xfId="0" applyNumberFormat="1" applyFont="1" applyFill="1" applyBorder="1" applyAlignment="1" applyProtection="1">
      <alignment horizontal="center" vertical="center"/>
    </xf>
    <xf numFmtId="1" fontId="6" fillId="3" borderId="3" xfId="0" applyNumberFormat="1" applyFont="1" applyFill="1" applyBorder="1" applyAlignment="1" applyProtection="1">
      <alignment horizontal="center" vertical="center" wrapText="1"/>
    </xf>
    <xf numFmtId="49" fontId="9" fillId="2" borderId="11" xfId="0" applyNumberFormat="1" applyFont="1" applyFill="1" applyBorder="1" applyAlignment="1" applyProtection="1">
      <alignment horizontal="left" vertical="center"/>
    </xf>
    <xf numFmtId="49" fontId="9" fillId="2" borderId="16" xfId="0" applyNumberFormat="1" applyFont="1" applyFill="1" applyBorder="1" applyAlignment="1" applyProtection="1">
      <alignment horizontal="left" vertical="center"/>
    </xf>
    <xf numFmtId="49" fontId="9" fillId="2" borderId="17" xfId="0" applyNumberFormat="1" applyFont="1" applyFill="1" applyBorder="1" applyAlignment="1" applyProtection="1">
      <alignment horizontal="left" vertical="center"/>
    </xf>
    <xf numFmtId="1" fontId="11" fillId="2" borderId="2" xfId="0" applyNumberFormat="1" applyFont="1" applyFill="1" applyBorder="1" applyAlignment="1" applyProtection="1">
      <alignment horizontal="center" vertical="center" wrapText="1"/>
      <protection locked="0"/>
    </xf>
    <xf numFmtId="1" fontId="11" fillId="2" borderId="18" xfId="0" applyNumberFormat="1" applyFont="1" applyFill="1" applyBorder="1" applyAlignment="1" applyProtection="1">
      <alignment horizontal="center" vertical="center" wrapText="1"/>
      <protection locked="0"/>
    </xf>
    <xf numFmtId="0" fontId="9" fillId="2" borderId="6" xfId="0" applyFont="1" applyFill="1" applyBorder="1" applyAlignment="1" applyProtection="1">
      <alignment vertical="center" wrapText="1"/>
    </xf>
    <xf numFmtId="0" fontId="9" fillId="2" borderId="18" xfId="0" applyFont="1" applyFill="1" applyBorder="1" applyAlignment="1" applyProtection="1">
      <alignment vertical="center" wrapText="1"/>
    </xf>
    <xf numFmtId="167" fontId="9" fillId="3" borderId="2" xfId="0" applyNumberFormat="1" applyFont="1" applyFill="1" applyBorder="1" applyAlignment="1" applyProtection="1">
      <alignment horizontal="right" vertical="center" wrapText="1"/>
    </xf>
    <xf numFmtId="167" fontId="0" fillId="0" borderId="6" xfId="0" applyNumberFormat="1" applyBorder="1" applyAlignment="1" applyProtection="1">
      <alignment horizontal="right" vertical="center"/>
    </xf>
    <xf numFmtId="0" fontId="6" fillId="3" borderId="13" xfId="0" applyNumberFormat="1" applyFont="1" applyFill="1" applyBorder="1" applyAlignment="1" applyProtection="1">
      <alignment horizontal="center" vertical="center" wrapText="1"/>
    </xf>
    <xf numFmtId="1" fontId="6" fillId="3" borderId="0" xfId="0" applyNumberFormat="1" applyFont="1" applyFill="1" applyBorder="1" applyAlignment="1" applyProtection="1">
      <alignment horizontal="center" vertical="center" wrapText="1"/>
    </xf>
    <xf numFmtId="49" fontId="9" fillId="2" borderId="14" xfId="0" applyNumberFormat="1" applyFont="1" applyFill="1" applyBorder="1" applyAlignment="1" applyProtection="1">
      <alignment horizontal="left" vertical="center"/>
    </xf>
    <xf numFmtId="49" fontId="9" fillId="2" borderId="13" xfId="0" applyNumberFormat="1" applyFont="1" applyFill="1" applyBorder="1" applyAlignment="1" applyProtection="1">
      <alignment horizontal="left" vertical="center"/>
    </xf>
    <xf numFmtId="49" fontId="9" fillId="2" borderId="22" xfId="0" applyNumberFormat="1" applyFont="1" applyFill="1" applyBorder="1" applyAlignment="1" applyProtection="1">
      <alignment horizontal="left" vertical="center"/>
    </xf>
    <xf numFmtId="0" fontId="0" fillId="0" borderId="18" xfId="0" applyBorder="1"/>
    <xf numFmtId="0" fontId="0" fillId="6" borderId="12" xfId="0" applyFill="1" applyBorder="1" applyAlignment="1" applyProtection="1">
      <alignment horizontal="center"/>
    </xf>
    <xf numFmtId="0" fontId="0" fillId="6" borderId="0" xfId="0" applyFill="1" applyBorder="1" applyAlignment="1" applyProtection="1">
      <alignment horizontal="center"/>
    </xf>
    <xf numFmtId="0" fontId="0" fillId="6" borderId="15" xfId="0" applyFill="1" applyBorder="1" applyAlignment="1" applyProtection="1">
      <alignment horizontal="center"/>
    </xf>
    <xf numFmtId="0" fontId="0" fillId="5" borderId="12" xfId="0" applyFill="1" applyBorder="1" applyAlignment="1">
      <alignment horizontal="center"/>
    </xf>
    <xf numFmtId="0" fontId="0" fillId="5" borderId="0" xfId="0" applyFill="1" applyBorder="1" applyAlignment="1">
      <alignment horizontal="center"/>
    </xf>
    <xf numFmtId="0" fontId="0" fillId="5" borderId="15" xfId="0" applyFill="1" applyBorder="1" applyAlignment="1">
      <alignment horizontal="center"/>
    </xf>
    <xf numFmtId="3" fontId="22" fillId="5" borderId="0" xfId="0" applyNumberFormat="1" applyFont="1" applyFill="1" applyBorder="1" applyAlignment="1" applyProtection="1">
      <alignment vertical="center"/>
    </xf>
    <xf numFmtId="0" fontId="11" fillId="5" borderId="0" xfId="0" applyFont="1" applyFill="1" applyBorder="1" applyAlignment="1" applyProtection="1">
      <alignment vertical="center"/>
    </xf>
    <xf numFmtId="0" fontId="0" fillId="0" borderId="15" xfId="0" applyBorder="1" applyAlignment="1" applyProtection="1">
      <alignment vertical="center"/>
    </xf>
    <xf numFmtId="167" fontId="11" fillId="0" borderId="3" xfId="0" applyNumberFormat="1" applyFont="1" applyFill="1" applyBorder="1" applyAlignment="1" applyProtection="1">
      <alignment horizontal="right" vertical="center"/>
      <protection locked="0"/>
    </xf>
    <xf numFmtId="167" fontId="0" fillId="0" borderId="3" xfId="0" applyNumberFormat="1" applyBorder="1" applyAlignment="1" applyProtection="1">
      <alignment horizontal="right" vertical="center"/>
      <protection locked="0"/>
    </xf>
    <xf numFmtId="167" fontId="11" fillId="0" borderId="18" xfId="0" applyNumberFormat="1" applyFont="1" applyFill="1" applyBorder="1" applyAlignment="1" applyProtection="1">
      <alignment horizontal="right" vertical="center"/>
      <protection locked="0"/>
    </xf>
    <xf numFmtId="167" fontId="11" fillId="2" borderId="2" xfId="0" applyNumberFormat="1" applyFont="1" applyFill="1" applyBorder="1" applyAlignment="1" applyProtection="1">
      <alignment horizontal="right" vertical="center" wrapText="1"/>
      <protection locked="0"/>
    </xf>
    <xf numFmtId="167" fontId="0" fillId="2" borderId="18" xfId="0" applyNumberFormat="1" applyFill="1" applyBorder="1" applyAlignment="1" applyProtection="1">
      <alignment horizontal="right" vertical="center" wrapText="1"/>
      <protection locked="0"/>
    </xf>
    <xf numFmtId="0" fontId="0" fillId="2" borderId="6" xfId="0" applyFill="1" applyBorder="1" applyAlignment="1" applyProtection="1">
      <alignment vertical="center" wrapText="1"/>
    </xf>
    <xf numFmtId="0" fontId="0" fillId="2" borderId="18" xfId="0" applyFill="1" applyBorder="1" applyAlignment="1" applyProtection="1">
      <alignment vertical="center" wrapText="1"/>
    </xf>
    <xf numFmtId="167" fontId="9" fillId="0" borderId="6" xfId="0" applyNumberFormat="1" applyFont="1" applyBorder="1" applyAlignment="1" applyProtection="1">
      <alignment horizontal="right" vertical="center" wrapText="1"/>
    </xf>
    <xf numFmtId="0" fontId="11" fillId="5" borderId="13" xfId="0" applyFont="1" applyFill="1" applyBorder="1" applyAlignment="1" applyProtection="1">
      <alignment vertical="center"/>
    </xf>
    <xf numFmtId="0" fontId="0" fillId="0" borderId="22" xfId="0" applyBorder="1" applyAlignment="1" applyProtection="1">
      <alignment vertical="center"/>
    </xf>
    <xf numFmtId="0" fontId="8" fillId="2" borderId="6" xfId="3" applyFill="1" applyBorder="1" applyAlignment="1" applyProtection="1">
      <alignment vertical="center" wrapText="1"/>
    </xf>
    <xf numFmtId="0" fontId="8" fillId="2" borderId="18" xfId="3" applyFill="1" applyBorder="1" applyAlignment="1" applyProtection="1">
      <alignment vertical="center" wrapText="1"/>
    </xf>
    <xf numFmtId="167" fontId="0" fillId="0" borderId="18" xfId="0" applyNumberFormat="1" applyBorder="1" applyAlignment="1" applyProtection="1">
      <alignment horizontal="right" vertical="center"/>
      <protection locked="0"/>
    </xf>
    <xf numFmtId="3" fontId="22" fillId="5" borderId="6" xfId="0" applyNumberFormat="1" applyFont="1" applyFill="1" applyBorder="1" applyAlignment="1" applyProtection="1">
      <alignment vertical="center"/>
    </xf>
    <xf numFmtId="0" fontId="6" fillId="3" borderId="3" xfId="0" applyFont="1" applyFill="1" applyBorder="1" applyAlignment="1" applyProtection="1">
      <alignment horizontal="center" vertical="center"/>
    </xf>
    <xf numFmtId="0" fontId="6" fillId="3" borderId="0" xfId="0" applyFont="1" applyFill="1" applyBorder="1" applyAlignment="1" applyProtection="1">
      <alignment horizontal="center" vertical="center"/>
    </xf>
    <xf numFmtId="0" fontId="6" fillId="3" borderId="3" xfId="0" applyFont="1" applyFill="1" applyBorder="1" applyAlignment="1" applyProtection="1">
      <alignment horizontal="center" vertical="center" wrapText="1"/>
    </xf>
    <xf numFmtId="0" fontId="6" fillId="3" borderId="2" xfId="0" applyFont="1" applyFill="1" applyBorder="1" applyAlignment="1" applyProtection="1">
      <alignment horizontal="center" vertical="center" wrapText="1"/>
    </xf>
    <xf numFmtId="0" fontId="6" fillId="3" borderId="6" xfId="0" applyFont="1" applyFill="1" applyBorder="1" applyAlignment="1" applyProtection="1">
      <alignment horizontal="center" vertical="center" wrapText="1"/>
    </xf>
    <xf numFmtId="0" fontId="6" fillId="3" borderId="18" xfId="0" applyFont="1" applyFill="1" applyBorder="1" applyAlignment="1" applyProtection="1">
      <alignment horizontal="center" vertical="center" wrapText="1"/>
    </xf>
    <xf numFmtId="49" fontId="6" fillId="3" borderId="2" xfId="0" applyNumberFormat="1" applyFont="1" applyFill="1" applyBorder="1" applyAlignment="1" applyProtection="1">
      <alignment horizontal="left"/>
    </xf>
    <xf numFmtId="49" fontId="6" fillId="3" borderId="6" xfId="0" applyNumberFormat="1" applyFont="1" applyFill="1" applyBorder="1" applyAlignment="1" applyProtection="1">
      <alignment horizontal="left"/>
    </xf>
    <xf numFmtId="49" fontId="6" fillId="3" borderId="18" xfId="0" applyNumberFormat="1" applyFont="1" applyFill="1" applyBorder="1" applyAlignment="1" applyProtection="1">
      <alignment horizontal="left"/>
    </xf>
    <xf numFmtId="0" fontId="6" fillId="3" borderId="2" xfId="0" applyFont="1" applyFill="1" applyBorder="1" applyAlignment="1" applyProtection="1">
      <alignment horizontal="center"/>
    </xf>
    <xf numFmtId="0" fontId="6" fillId="3" borderId="6" xfId="0" applyFont="1" applyFill="1" applyBorder="1" applyAlignment="1" applyProtection="1">
      <alignment horizontal="center"/>
    </xf>
    <xf numFmtId="0" fontId="6" fillId="3" borderId="18" xfId="0" applyFont="1" applyFill="1" applyBorder="1" applyAlignment="1" applyProtection="1">
      <alignment horizontal="center"/>
    </xf>
    <xf numFmtId="49" fontId="17" fillId="3" borderId="2" xfId="0" applyNumberFormat="1" applyFont="1" applyFill="1" applyBorder="1" applyAlignment="1" applyProtection="1">
      <alignment horizontal="left"/>
    </xf>
    <xf numFmtId="49" fontId="17" fillId="3" borderId="6" xfId="0" applyNumberFormat="1" applyFont="1" applyFill="1" applyBorder="1" applyAlignment="1" applyProtection="1">
      <alignment horizontal="left"/>
    </xf>
    <xf numFmtId="49" fontId="17" fillId="3" borderId="18" xfId="0" applyNumberFormat="1" applyFont="1" applyFill="1" applyBorder="1" applyAlignment="1" applyProtection="1">
      <alignment horizontal="left"/>
    </xf>
    <xf numFmtId="49" fontId="6" fillId="3" borderId="2" xfId="0" applyNumberFormat="1" applyFont="1" applyFill="1" applyBorder="1" applyAlignment="1" applyProtection="1">
      <alignment horizontal="center"/>
    </xf>
    <xf numFmtId="49" fontId="6" fillId="3" borderId="6" xfId="0" applyNumberFormat="1" applyFont="1" applyFill="1" applyBorder="1" applyAlignment="1" applyProtection="1">
      <alignment horizontal="center"/>
    </xf>
    <xf numFmtId="49" fontId="6" fillId="3" borderId="18" xfId="0" applyNumberFormat="1" applyFont="1" applyFill="1" applyBorder="1" applyAlignment="1" applyProtection="1">
      <alignment horizontal="center"/>
    </xf>
    <xf numFmtId="169" fontId="6" fillId="3" borderId="2" xfId="0" applyNumberFormat="1" applyFont="1" applyFill="1" applyBorder="1" applyAlignment="1" applyProtection="1">
      <alignment horizontal="right"/>
    </xf>
    <xf numFmtId="169" fontId="6" fillId="3" borderId="6" xfId="0" applyNumberFormat="1" applyFont="1" applyFill="1" applyBorder="1" applyAlignment="1" applyProtection="1">
      <alignment horizontal="right"/>
    </xf>
    <xf numFmtId="169" fontId="6" fillId="3" borderId="18" xfId="0" applyNumberFormat="1" applyFont="1" applyFill="1" applyBorder="1" applyAlignment="1" applyProtection="1">
      <alignment horizontal="right"/>
    </xf>
    <xf numFmtId="0" fontId="6" fillId="3" borderId="0" xfId="0" applyFont="1" applyFill="1" applyBorder="1" applyAlignment="1" applyProtection="1">
      <alignment vertical="center"/>
    </xf>
    <xf numFmtId="49" fontId="0" fillId="2" borderId="2" xfId="0" applyNumberFormat="1" applyFill="1" applyBorder="1" applyAlignment="1" applyProtection="1">
      <alignment horizontal="left"/>
      <protection locked="0"/>
    </xf>
    <xf numFmtId="49" fontId="0" fillId="0" borderId="6" xfId="0" applyNumberFormat="1" applyBorder="1" applyAlignment="1" applyProtection="1">
      <alignment horizontal="left"/>
      <protection locked="0"/>
    </xf>
    <xf numFmtId="49" fontId="0" fillId="0" borderId="18" xfId="0" applyNumberFormat="1" applyBorder="1" applyAlignment="1" applyProtection="1">
      <alignment horizontal="left"/>
      <protection locked="0"/>
    </xf>
    <xf numFmtId="49" fontId="0" fillId="2" borderId="2" xfId="0" applyNumberFormat="1" applyFill="1" applyBorder="1" applyAlignment="1" applyProtection="1">
      <alignment horizontal="center"/>
      <protection locked="0"/>
    </xf>
    <xf numFmtId="49" fontId="0" fillId="0" borderId="6" xfId="0" applyNumberFormat="1" applyBorder="1" applyAlignment="1" applyProtection="1">
      <alignment horizontal="center"/>
      <protection locked="0"/>
    </xf>
    <xf numFmtId="49" fontId="0" fillId="0" borderId="18" xfId="0" applyNumberFormat="1" applyBorder="1" applyAlignment="1" applyProtection="1">
      <alignment horizontal="center"/>
      <protection locked="0"/>
    </xf>
    <xf numFmtId="169" fontId="0" fillId="2" borderId="2" xfId="0" applyNumberFormat="1" applyFill="1" applyBorder="1" applyAlignment="1" applyProtection="1">
      <alignment horizontal="right"/>
      <protection locked="0"/>
    </xf>
    <xf numFmtId="169" fontId="0" fillId="0" borderId="6" xfId="0" applyNumberFormat="1" applyBorder="1" applyAlignment="1" applyProtection="1">
      <alignment horizontal="right"/>
      <protection locked="0"/>
    </xf>
    <xf numFmtId="169" fontId="0" fillId="0" borderId="18" xfId="0" applyNumberFormat="1" applyBorder="1" applyAlignment="1" applyProtection="1">
      <alignment horizontal="right"/>
      <protection locked="0"/>
    </xf>
    <xf numFmtId="0" fontId="6" fillId="4" borderId="0" xfId="0" applyFont="1" applyFill="1" applyBorder="1" applyAlignment="1" applyProtection="1">
      <alignment horizontal="left" vertical="center" wrapText="1"/>
    </xf>
    <xf numFmtId="167" fontId="0" fillId="3" borderId="2" xfId="0" applyNumberFormat="1" applyFill="1" applyBorder="1" applyAlignment="1" applyProtection="1">
      <alignment horizontal="right" vertical="center"/>
    </xf>
    <xf numFmtId="167" fontId="0" fillId="3" borderId="18" xfId="0" applyNumberFormat="1" applyFill="1" applyBorder="1" applyAlignment="1" applyProtection="1">
      <alignment horizontal="right" vertical="center"/>
    </xf>
    <xf numFmtId="0" fontId="7" fillId="4" borderId="0" xfId="0" applyNumberFormat="1" applyFont="1" applyFill="1" applyBorder="1" applyAlignment="1" applyProtection="1">
      <alignment horizontal="left" vertical="center" wrapText="1"/>
    </xf>
    <xf numFmtId="0" fontId="0" fillId="2" borderId="6" xfId="0" applyFill="1" applyBorder="1" applyAlignment="1" applyProtection="1">
      <alignment horizontal="left" vertical="center"/>
    </xf>
    <xf numFmtId="0" fontId="0" fillId="2" borderId="18" xfId="0" applyFill="1" applyBorder="1" applyAlignment="1" applyProtection="1">
      <alignment horizontal="left" vertical="center"/>
    </xf>
    <xf numFmtId="0" fontId="13" fillId="0" borderId="12" xfId="0" applyFont="1" applyFill="1" applyBorder="1" applyAlignment="1" applyProtection="1">
      <alignment horizontal="left" vertical="center" wrapText="1"/>
    </xf>
    <xf numFmtId="0" fontId="13" fillId="0" borderId="0" xfId="0" applyFont="1" applyFill="1" applyBorder="1" applyAlignment="1" applyProtection="1">
      <alignment horizontal="left" vertical="center" wrapText="1"/>
    </xf>
    <xf numFmtId="0" fontId="9" fillId="0" borderId="0" xfId="0" applyFont="1" applyFill="1" applyBorder="1" applyAlignment="1" applyProtection="1">
      <alignment horizontal="left" vertical="center" wrapText="1"/>
    </xf>
    <xf numFmtId="167" fontId="0" fillId="0" borderId="2" xfId="0" applyNumberFormat="1" applyFill="1" applyBorder="1" applyAlignment="1" applyProtection="1">
      <alignment horizontal="right" vertical="center"/>
      <protection locked="0"/>
    </xf>
    <xf numFmtId="167" fontId="0" fillId="0" borderId="18" xfId="0" applyNumberFormat="1" applyFill="1" applyBorder="1" applyAlignment="1" applyProtection="1">
      <alignment horizontal="right" vertical="center"/>
      <protection locked="0"/>
    </xf>
    <xf numFmtId="0" fontId="6" fillId="3" borderId="13" xfId="0" applyFont="1" applyFill="1" applyBorder="1" applyAlignment="1" applyProtection="1">
      <alignment horizontal="left" vertical="center" wrapText="1"/>
    </xf>
    <xf numFmtId="0" fontId="7" fillId="3" borderId="13" xfId="0" applyFont="1" applyFill="1" applyBorder="1" applyAlignment="1" applyProtection="1">
      <alignment horizontal="left" vertical="center" wrapText="1"/>
    </xf>
    <xf numFmtId="49" fontId="15" fillId="4" borderId="0" xfId="0" applyNumberFormat="1" applyFont="1" applyFill="1" applyBorder="1" applyAlignment="1" applyProtection="1">
      <alignment horizontal="left" vertical="center" wrapText="1"/>
    </xf>
    <xf numFmtId="49" fontId="15" fillId="4" borderId="0" xfId="0" applyNumberFormat="1" applyFont="1" applyFill="1" applyAlignment="1" applyProtection="1">
      <alignment horizontal="left" vertical="center" wrapText="1"/>
    </xf>
    <xf numFmtId="4" fontId="0" fillId="3" borderId="2" xfId="0" applyNumberFormat="1" applyFill="1" applyBorder="1" applyAlignment="1" applyProtection="1">
      <alignment horizontal="right" vertical="center"/>
    </xf>
    <xf numFmtId="4" fontId="0" fillId="3" borderId="18" xfId="0" applyNumberFormat="1" applyFill="1" applyBorder="1" applyAlignment="1" applyProtection="1">
      <alignment horizontal="right" vertical="center"/>
    </xf>
    <xf numFmtId="168" fontId="0" fillId="3" borderId="2" xfId="0" applyNumberFormat="1" applyFill="1" applyBorder="1" applyAlignment="1" applyProtection="1">
      <alignment horizontal="right" vertical="center"/>
    </xf>
    <xf numFmtId="168" fontId="0" fillId="3" borderId="18" xfId="0" applyNumberFormat="1" applyFill="1" applyBorder="1" applyAlignment="1" applyProtection="1">
      <alignment horizontal="right" vertical="center"/>
    </xf>
    <xf numFmtId="3" fontId="9" fillId="2" borderId="2" xfId="0" applyNumberFormat="1" applyFont="1" applyFill="1" applyBorder="1" applyAlignment="1" applyProtection="1">
      <alignment horizontal="right" vertical="center"/>
      <protection locked="0"/>
    </xf>
    <xf numFmtId="3" fontId="9" fillId="2" borderId="18" xfId="0" applyNumberFormat="1" applyFont="1" applyFill="1" applyBorder="1" applyAlignment="1" applyProtection="1">
      <alignment horizontal="right" vertical="center"/>
      <protection locked="0"/>
    </xf>
    <xf numFmtId="0" fontId="69" fillId="6" borderId="11" xfId="0" applyFont="1" applyFill="1" applyBorder="1" applyAlignment="1" applyProtection="1">
      <alignment horizontal="center" vertical="center" textRotation="180" wrapText="1"/>
    </xf>
    <xf numFmtId="0" fontId="12" fillId="19" borderId="12" xfId="0" applyFont="1" applyFill="1" applyBorder="1" applyAlignment="1" applyProtection="1">
      <alignment horizontal="center" vertical="center" wrapText="1"/>
    </xf>
    <xf numFmtId="0" fontId="12" fillId="19" borderId="0" xfId="0" applyFont="1" applyFill="1" applyBorder="1" applyAlignment="1" applyProtection="1">
      <alignment horizontal="center" vertical="center" wrapText="1"/>
    </xf>
    <xf numFmtId="49" fontId="8" fillId="2" borderId="2" xfId="3" applyNumberFormat="1" applyFont="1" applyFill="1" applyBorder="1" applyAlignment="1" applyProtection="1">
      <alignment horizontal="left" vertical="center" wrapText="1"/>
    </xf>
    <xf numFmtId="49" fontId="0" fillId="2" borderId="18" xfId="0" applyNumberFormat="1" applyFill="1" applyBorder="1" applyAlignment="1" applyProtection="1">
      <alignment horizontal="left" vertical="center"/>
    </xf>
    <xf numFmtId="49" fontId="11" fillId="2" borderId="6" xfId="0" applyNumberFormat="1" applyFont="1" applyFill="1" applyBorder="1" applyAlignment="1" applyProtection="1">
      <alignment horizontal="left" vertical="center"/>
    </xf>
    <xf numFmtId="49" fontId="0" fillId="6" borderId="12" xfId="0" applyNumberFormat="1" applyFill="1" applyBorder="1" applyAlignment="1" applyProtection="1">
      <alignment horizontal="center" vertical="center"/>
    </xf>
    <xf numFmtId="49" fontId="0" fillId="6" borderId="0" xfId="0" applyNumberFormat="1" applyFill="1" applyBorder="1" applyAlignment="1" applyProtection="1">
      <alignment horizontal="center" vertical="center"/>
    </xf>
    <xf numFmtId="49" fontId="0" fillId="6" borderId="15" xfId="0" applyNumberFormat="1" applyFill="1" applyBorder="1" applyAlignment="1" applyProtection="1">
      <alignment horizontal="center" vertical="center"/>
    </xf>
    <xf numFmtId="1" fontId="6" fillId="3" borderId="13" xfId="0" applyNumberFormat="1" applyFont="1" applyFill="1" applyBorder="1" applyAlignment="1" applyProtection="1">
      <alignment horizontal="center" vertical="center" wrapText="1"/>
    </xf>
    <xf numFmtId="1" fontId="10" fillId="5" borderId="11" xfId="0" applyNumberFormat="1" applyFont="1" applyFill="1" applyBorder="1" applyAlignment="1" applyProtection="1">
      <alignment horizontal="center" vertical="center"/>
    </xf>
    <xf numFmtId="1" fontId="10" fillId="5" borderId="16" xfId="0" applyNumberFormat="1" applyFont="1" applyFill="1" applyBorder="1" applyAlignment="1" applyProtection="1">
      <alignment horizontal="center" vertical="center"/>
    </xf>
    <xf numFmtId="1" fontId="10" fillId="5" borderId="17" xfId="0" applyNumberFormat="1" applyFont="1" applyFill="1" applyBorder="1" applyAlignment="1" applyProtection="1">
      <alignment horizontal="center" vertical="center"/>
    </xf>
    <xf numFmtId="1" fontId="11" fillId="2" borderId="2" xfId="0" applyNumberFormat="1" applyFont="1" applyFill="1" applyBorder="1" applyAlignment="1" applyProtection="1">
      <alignment horizontal="left" vertical="center" wrapText="1"/>
      <protection locked="0"/>
    </xf>
    <xf numFmtId="1" fontId="11" fillId="2" borderId="6" xfId="0" applyNumberFormat="1" applyFont="1" applyFill="1" applyBorder="1" applyAlignment="1" applyProtection="1">
      <alignment horizontal="left" vertical="center" wrapText="1"/>
      <protection locked="0"/>
    </xf>
    <xf numFmtId="1" fontId="11" fillId="2" borderId="18" xfId="0" applyNumberFormat="1" applyFon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xf>
    <xf numFmtId="0" fontId="0" fillId="2" borderId="18" xfId="0" applyNumberFormat="1" applyFill="1" applyBorder="1" applyAlignment="1" applyProtection="1">
      <alignment horizontal="left" vertical="center" wrapText="1"/>
    </xf>
    <xf numFmtId="3" fontId="0" fillId="0" borderId="2" xfId="0" applyNumberFormat="1" applyFill="1" applyBorder="1" applyAlignment="1" applyProtection="1">
      <alignment horizontal="right" vertical="center"/>
      <protection locked="0"/>
    </xf>
    <xf numFmtId="3" fontId="0" fillId="0" borderId="18" xfId="0" applyNumberFormat="1" applyFill="1" applyBorder="1" applyAlignment="1" applyProtection="1">
      <alignment horizontal="right" vertical="center"/>
      <protection locked="0"/>
    </xf>
    <xf numFmtId="0" fontId="0" fillId="6" borderId="14" xfId="0" applyFill="1" applyBorder="1" applyAlignment="1" applyProtection="1">
      <alignment horizontal="center"/>
    </xf>
    <xf numFmtId="0" fontId="0" fillId="6" borderId="13" xfId="0" applyFill="1" applyBorder="1" applyAlignment="1" applyProtection="1">
      <alignment horizontal="center"/>
    </xf>
    <xf numFmtId="0" fontId="0" fillId="6" borderId="22" xfId="0" applyFill="1" applyBorder="1" applyAlignment="1" applyProtection="1">
      <alignment horizontal="center"/>
    </xf>
    <xf numFmtId="0" fontId="6" fillId="3" borderId="0" xfId="0" applyNumberFormat="1" applyFont="1" applyFill="1" applyBorder="1" applyAlignment="1" applyProtection="1">
      <alignment horizontal="center" vertical="center" wrapText="1"/>
    </xf>
    <xf numFmtId="1" fontId="10" fillId="5" borderId="14" xfId="0" applyNumberFormat="1" applyFont="1" applyFill="1" applyBorder="1" applyAlignment="1" applyProtection="1">
      <alignment horizontal="center" vertical="center"/>
    </xf>
    <xf numFmtId="1" fontId="10" fillId="5" borderId="13" xfId="0" applyNumberFormat="1" applyFont="1" applyFill="1" applyBorder="1" applyAlignment="1" applyProtection="1">
      <alignment horizontal="center" vertical="center"/>
    </xf>
    <xf numFmtId="1" fontId="10" fillId="5" borderId="22" xfId="0" applyNumberFormat="1" applyFont="1" applyFill="1" applyBorder="1" applyAlignment="1" applyProtection="1">
      <alignment horizontal="center" vertical="center"/>
    </xf>
    <xf numFmtId="165" fontId="9" fillId="0" borderId="2" xfId="0" applyNumberFormat="1" applyFont="1" applyFill="1" applyBorder="1" applyAlignment="1" applyProtection="1">
      <alignment horizontal="left" vertical="center" wrapText="1"/>
    </xf>
    <xf numFmtId="165" fontId="9" fillId="0" borderId="6" xfId="0" applyNumberFormat="1" applyFont="1" applyFill="1" applyBorder="1" applyAlignment="1" applyProtection="1">
      <alignment horizontal="left" vertical="center" wrapText="1"/>
    </xf>
    <xf numFmtId="165" fontId="9" fillId="0" borderId="18" xfId="0" applyNumberFormat="1" applyFont="1" applyFill="1" applyBorder="1" applyAlignment="1" applyProtection="1">
      <alignment horizontal="left" vertical="center" wrapText="1"/>
    </xf>
    <xf numFmtId="0" fontId="13" fillId="5" borderId="11" xfId="0" applyFont="1" applyFill="1" applyBorder="1" applyAlignment="1">
      <alignment horizontal="center" vertical="center" wrapText="1"/>
    </xf>
    <xf numFmtId="0" fontId="13" fillId="5" borderId="16" xfId="0" applyFont="1" applyFill="1" applyBorder="1" applyAlignment="1">
      <alignment horizontal="center" vertical="center" wrapText="1"/>
    </xf>
    <xf numFmtId="0" fontId="13" fillId="5" borderId="17"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5" xfId="0" applyFont="1" applyFill="1" applyBorder="1" applyAlignment="1">
      <alignment horizontal="center" vertical="center" wrapText="1"/>
    </xf>
    <xf numFmtId="49" fontId="9" fillId="2" borderId="12" xfId="0" applyNumberFormat="1" applyFont="1" applyFill="1" applyBorder="1" applyAlignment="1" applyProtection="1">
      <alignment horizontal="left" vertical="center"/>
    </xf>
    <xf numFmtId="49" fontId="9" fillId="2" borderId="0" xfId="0" applyNumberFormat="1" applyFont="1" applyFill="1" applyBorder="1" applyAlignment="1" applyProtection="1">
      <alignment horizontal="left" vertical="center"/>
    </xf>
    <xf numFmtId="49" fontId="9" fillId="2" borderId="15" xfId="0" applyNumberFormat="1" applyFont="1" applyFill="1" applyBorder="1" applyAlignment="1" applyProtection="1">
      <alignment horizontal="left" vertical="center"/>
    </xf>
    <xf numFmtId="168" fontId="9" fillId="2" borderId="2" xfId="0" applyNumberFormat="1" applyFont="1" applyFill="1" applyBorder="1" applyAlignment="1" applyProtection="1">
      <alignment horizontal="right" vertical="center"/>
      <protection locked="0"/>
    </xf>
    <xf numFmtId="168" fontId="9" fillId="2" borderId="18" xfId="0" applyNumberFormat="1" applyFont="1" applyFill="1" applyBorder="1" applyAlignment="1" applyProtection="1">
      <alignment horizontal="right" vertical="center"/>
      <protection locked="0"/>
    </xf>
    <xf numFmtId="0" fontId="9" fillId="2" borderId="2" xfId="0" applyFont="1" applyFill="1" applyBorder="1" applyAlignment="1" applyProtection="1">
      <alignment horizontal="left" vertical="center"/>
    </xf>
    <xf numFmtId="0" fontId="9" fillId="0" borderId="6" xfId="0" applyFont="1" applyBorder="1" applyAlignment="1" applyProtection="1">
      <alignment horizontal="left" vertical="center"/>
    </xf>
    <xf numFmtId="0" fontId="9" fillId="0" borderId="18" xfId="0" applyFont="1" applyBorder="1" applyAlignment="1" applyProtection="1">
      <alignment horizontal="left" vertical="center"/>
    </xf>
    <xf numFmtId="4" fontId="0" fillId="2" borderId="2" xfId="0" applyNumberFormat="1" applyFill="1" applyBorder="1" applyAlignment="1" applyProtection="1">
      <alignment horizontal="right" vertical="center"/>
      <protection locked="0"/>
    </xf>
    <xf numFmtId="4" fontId="0" fillId="2" borderId="18" xfId="0" applyNumberFormat="1" applyFill="1" applyBorder="1" applyAlignment="1" applyProtection="1">
      <alignment horizontal="right" vertical="center"/>
      <protection locked="0"/>
    </xf>
    <xf numFmtId="167" fontId="9" fillId="2" borderId="2" xfId="0" applyNumberFormat="1" applyFont="1" applyFill="1" applyBorder="1" applyAlignment="1" applyProtection="1">
      <alignment horizontal="center" vertical="center"/>
      <protection locked="0"/>
    </xf>
    <xf numFmtId="167" fontId="9" fillId="2" borderId="18" xfId="0" applyNumberFormat="1" applyFont="1" applyFill="1" applyBorder="1" applyAlignment="1" applyProtection="1">
      <alignment horizontal="center" vertical="center"/>
      <protection locked="0"/>
    </xf>
    <xf numFmtId="168" fontId="0" fillId="2" borderId="2" xfId="0" applyNumberFormat="1" applyFill="1" applyBorder="1" applyAlignment="1" applyProtection="1">
      <alignment horizontal="right" vertical="center"/>
      <protection locked="0"/>
    </xf>
    <xf numFmtId="168" fontId="0" fillId="2" borderId="18" xfId="0" applyNumberFormat="1" applyFill="1" applyBorder="1" applyAlignment="1" applyProtection="1">
      <alignment horizontal="right" vertical="center"/>
      <protection locked="0"/>
    </xf>
    <xf numFmtId="0" fontId="11" fillId="2" borderId="2" xfId="0" applyFont="1" applyFill="1" applyBorder="1" applyAlignment="1" applyProtection="1">
      <alignment horizontal="left" vertical="center"/>
    </xf>
    <xf numFmtId="0" fontId="2" fillId="2" borderId="2" xfId="0" applyFont="1" applyFill="1" applyBorder="1" applyAlignment="1" applyProtection="1">
      <alignment horizontal="left" vertical="center"/>
    </xf>
    <xf numFmtId="166" fontId="2" fillId="3" borderId="2" xfId="0" applyNumberFormat="1" applyFont="1" applyFill="1" applyBorder="1" applyAlignment="1" applyProtection="1">
      <alignment horizontal="right" vertical="center"/>
    </xf>
    <xf numFmtId="166" fontId="2" fillId="3" borderId="18" xfId="0" applyNumberFormat="1" applyFont="1" applyFill="1" applyBorder="1" applyAlignment="1" applyProtection="1">
      <alignment horizontal="right" vertical="center"/>
    </xf>
    <xf numFmtId="0" fontId="6" fillId="3" borderId="0" xfId="0" applyFont="1" applyFill="1" applyBorder="1" applyAlignment="1" applyProtection="1">
      <alignment horizontal="left" vertical="top" wrapText="1"/>
    </xf>
    <xf numFmtId="0" fontId="0" fillId="0" borderId="0" xfId="0" applyAlignment="1" applyProtection="1">
      <alignment horizontal="left" vertical="top" wrapText="1"/>
    </xf>
    <xf numFmtId="0" fontId="0" fillId="0" borderId="13" xfId="0" applyBorder="1" applyAlignment="1" applyProtection="1">
      <alignment horizontal="left" vertical="top" wrapText="1"/>
    </xf>
    <xf numFmtId="0" fontId="7" fillId="3" borderId="0" xfId="0" applyFont="1" applyFill="1" applyBorder="1" applyAlignment="1" applyProtection="1">
      <alignment horizontal="center" wrapText="1"/>
    </xf>
    <xf numFmtId="0" fontId="0" fillId="0" borderId="0" xfId="0" applyAlignment="1" applyProtection="1">
      <alignment horizontal="center" wrapText="1"/>
    </xf>
    <xf numFmtId="0" fontId="0" fillId="0" borderId="13" xfId="0" applyBorder="1" applyAlignment="1" applyProtection="1">
      <alignment horizontal="center" wrapText="1"/>
    </xf>
    <xf numFmtId="0" fontId="7" fillId="3" borderId="0" xfId="0" applyFont="1" applyFill="1" applyBorder="1" applyAlignment="1" applyProtection="1">
      <alignment horizontal="center" vertical="center" wrapText="1"/>
    </xf>
    <xf numFmtId="49" fontId="6" fillId="4" borderId="0" xfId="0" applyNumberFormat="1" applyFont="1" applyFill="1" applyBorder="1" applyAlignment="1" applyProtection="1">
      <alignment horizontal="left" vertical="center" wrapText="1"/>
    </xf>
    <xf numFmtId="0" fontId="7" fillId="3" borderId="13" xfId="0" applyFont="1" applyFill="1" applyBorder="1" applyAlignment="1" applyProtection="1">
      <alignment horizontal="center" vertical="center" wrapText="1"/>
    </xf>
    <xf numFmtId="3" fontId="0" fillId="6" borderId="6" xfId="0" applyNumberFormat="1" applyFill="1" applyBorder="1" applyAlignment="1" applyProtection="1">
      <alignment horizontal="right" vertical="center"/>
    </xf>
    <xf numFmtId="3" fontId="0" fillId="6" borderId="18" xfId="0" applyNumberFormat="1" applyFill="1" applyBorder="1" applyAlignment="1" applyProtection="1">
      <alignment horizontal="right" vertical="center"/>
    </xf>
    <xf numFmtId="166" fontId="9" fillId="3" borderId="2" xfId="0" applyNumberFormat="1" applyFont="1" applyFill="1" applyBorder="1" applyAlignment="1" applyProtection="1">
      <alignment horizontal="right" vertical="center"/>
      <protection locked="0"/>
    </xf>
    <xf numFmtId="166" fontId="9" fillId="3" borderId="18" xfId="0" applyNumberFormat="1" applyFont="1" applyFill="1" applyBorder="1" applyAlignment="1" applyProtection="1">
      <alignment horizontal="right" vertical="center"/>
      <protection locked="0"/>
    </xf>
    <xf numFmtId="0" fontId="6" fillId="4" borderId="0" xfId="0" applyNumberFormat="1" applyFont="1" applyFill="1" applyBorder="1" applyAlignment="1" applyProtection="1">
      <alignment horizontal="left" vertical="center" wrapText="1"/>
    </xf>
    <xf numFmtId="0" fontId="0" fillId="0" borderId="0" xfId="0" applyBorder="1" applyAlignment="1" applyProtection="1">
      <alignment horizontal="left" vertical="center" wrapText="1"/>
    </xf>
    <xf numFmtId="166" fontId="0" fillId="16" borderId="2" xfId="0" applyNumberFormat="1" applyFill="1" applyBorder="1" applyAlignment="1" applyProtection="1">
      <alignment horizontal="right" vertical="center"/>
      <protection locked="0"/>
    </xf>
    <xf numFmtId="166" fontId="0" fillId="16" borderId="18" xfId="0" applyNumberFormat="1" applyFill="1" applyBorder="1" applyAlignment="1" applyProtection="1">
      <alignment horizontal="right" vertical="center"/>
      <protection locked="0"/>
    </xf>
    <xf numFmtId="0" fontId="12" fillId="4" borderId="11" xfId="0" applyFont="1" applyFill="1" applyBorder="1" applyAlignment="1" applyProtection="1">
      <alignment horizontal="left" vertical="center" wrapText="1"/>
    </xf>
    <xf numFmtId="0" fontId="0" fillId="0" borderId="12" xfId="0" applyBorder="1" applyAlignment="1" applyProtection="1">
      <alignment horizontal="left" vertical="center" wrapText="1"/>
    </xf>
    <xf numFmtId="0" fontId="0" fillId="0" borderId="15" xfId="0" applyBorder="1" applyAlignment="1" applyProtection="1">
      <alignment horizontal="left" vertical="center" wrapText="1"/>
    </xf>
    <xf numFmtId="166" fontId="0" fillId="0" borderId="2" xfId="0" applyNumberFormat="1" applyFill="1" applyBorder="1" applyAlignment="1" applyProtection="1">
      <alignment horizontal="right" vertical="center"/>
      <protection locked="0"/>
    </xf>
    <xf numFmtId="166" fontId="0" fillId="0" borderId="18" xfId="0" applyNumberFormat="1" applyFill="1" applyBorder="1" applyAlignment="1" applyProtection="1">
      <alignment horizontal="right" vertical="center"/>
      <protection locked="0"/>
    </xf>
    <xf numFmtId="0" fontId="13" fillId="4" borderId="11" xfId="0" applyFont="1" applyFill="1" applyBorder="1" applyAlignment="1" applyProtection="1">
      <alignment horizontal="left" vertical="center" wrapText="1"/>
    </xf>
    <xf numFmtId="0" fontId="13" fillId="4" borderId="16" xfId="0" applyFont="1" applyFill="1" applyBorder="1" applyAlignment="1" applyProtection="1">
      <alignment horizontal="left" vertical="center" wrapText="1"/>
    </xf>
    <xf numFmtId="0" fontId="13" fillId="4" borderId="17" xfId="0" applyFont="1" applyFill="1" applyBorder="1" applyAlignment="1" applyProtection="1">
      <alignment horizontal="left" vertical="center" wrapText="1"/>
    </xf>
    <xf numFmtId="0" fontId="13" fillId="4" borderId="12" xfId="0" applyFont="1" applyFill="1" applyBorder="1" applyAlignment="1" applyProtection="1">
      <alignment horizontal="left" vertical="center" wrapText="1"/>
    </xf>
    <xf numFmtId="0" fontId="13" fillId="4" borderId="0" xfId="0" applyFont="1" applyFill="1" applyBorder="1" applyAlignment="1" applyProtection="1">
      <alignment horizontal="left" vertical="center" wrapText="1"/>
    </xf>
    <xf numFmtId="0" fontId="13" fillId="4" borderId="15" xfId="0" applyFont="1" applyFill="1" applyBorder="1" applyAlignment="1" applyProtection="1">
      <alignment horizontal="left" vertical="center" wrapText="1"/>
    </xf>
    <xf numFmtId="0" fontId="13" fillId="4" borderId="14" xfId="0" applyFont="1" applyFill="1" applyBorder="1" applyAlignment="1" applyProtection="1">
      <alignment horizontal="left" vertical="center" wrapText="1"/>
    </xf>
    <xf numFmtId="0" fontId="13" fillId="4" borderId="13" xfId="0" applyFont="1" applyFill="1" applyBorder="1" applyAlignment="1" applyProtection="1">
      <alignment horizontal="left" vertical="center" wrapText="1"/>
    </xf>
    <xf numFmtId="0" fontId="13" fillId="4" borderId="22" xfId="0" applyFont="1" applyFill="1" applyBorder="1" applyAlignment="1" applyProtection="1">
      <alignment horizontal="left" vertical="center" wrapText="1"/>
    </xf>
    <xf numFmtId="166" fontId="9" fillId="3" borderId="2" xfId="0" applyNumberFormat="1" applyFont="1" applyFill="1" applyBorder="1" applyAlignment="1" applyProtection="1">
      <alignment horizontal="right" vertical="center"/>
    </xf>
    <xf numFmtId="166" fontId="9" fillId="3" borderId="18" xfId="0" applyNumberFormat="1" applyFont="1" applyFill="1" applyBorder="1" applyAlignment="1" applyProtection="1">
      <alignment horizontal="right" vertical="center"/>
    </xf>
    <xf numFmtId="0" fontId="0" fillId="0" borderId="16" xfId="0" applyBorder="1" applyAlignment="1" applyProtection="1"/>
    <xf numFmtId="0" fontId="0" fillId="0" borderId="13" xfId="0" applyBorder="1" applyAlignment="1" applyProtection="1"/>
    <xf numFmtId="0" fontId="0" fillId="3" borderId="0" xfId="0" applyFill="1" applyBorder="1" applyAlignment="1" applyProtection="1">
      <alignment horizontal="left" vertical="center"/>
    </xf>
    <xf numFmtId="0" fontId="6" fillId="3" borderId="0" xfId="0" applyFont="1" applyFill="1" applyBorder="1" applyAlignment="1" applyProtection="1">
      <alignment horizontal="center" vertical="center" wrapText="1"/>
    </xf>
    <xf numFmtId="167" fontId="0" fillId="0" borderId="3" xfId="0" applyNumberFormat="1" applyFill="1" applyBorder="1" applyAlignment="1" applyProtection="1">
      <alignment horizontal="right" vertical="center"/>
      <protection locked="0"/>
    </xf>
    <xf numFmtId="166" fontId="0" fillId="0" borderId="3" xfId="0" applyNumberFormat="1" applyFill="1" applyBorder="1" applyAlignment="1" applyProtection="1">
      <alignment horizontal="right" vertical="center"/>
      <protection locked="0"/>
    </xf>
    <xf numFmtId="166" fontId="2" fillId="0" borderId="3" xfId="0" applyNumberFormat="1" applyFont="1" applyFill="1" applyBorder="1" applyAlignment="1" applyProtection="1">
      <alignment horizontal="right" vertical="center"/>
      <protection locked="0"/>
    </xf>
    <xf numFmtId="167" fontId="0" fillId="3" borderId="3" xfId="0" applyNumberFormat="1" applyFill="1" applyBorder="1" applyAlignment="1" applyProtection="1">
      <alignment horizontal="right" vertical="center"/>
    </xf>
    <xf numFmtId="166" fontId="0" fillId="3" borderId="3" xfId="0" applyNumberFormat="1" applyFill="1" applyBorder="1" applyAlignment="1" applyProtection="1">
      <alignment horizontal="right" vertical="center"/>
    </xf>
    <xf numFmtId="0" fontId="9" fillId="2" borderId="6" xfId="0" applyFont="1" applyFill="1" applyBorder="1" applyAlignment="1" applyProtection="1">
      <alignment horizontal="left" vertical="center"/>
    </xf>
    <xf numFmtId="167" fontId="9" fillId="0" borderId="3" xfId="0" applyNumberFormat="1" applyFont="1" applyFill="1" applyBorder="1" applyAlignment="1" applyProtection="1">
      <alignment horizontal="right" vertical="center"/>
      <protection locked="0"/>
    </xf>
    <xf numFmtId="166" fontId="9" fillId="3" borderId="3" xfId="0" quotePrefix="1" applyNumberFormat="1" applyFont="1" applyFill="1" applyBorder="1" applyAlignment="1" applyProtection="1">
      <alignment horizontal="right" vertical="center"/>
    </xf>
    <xf numFmtId="166" fontId="9" fillId="3" borderId="3" xfId="0" applyNumberFormat="1" applyFont="1" applyFill="1" applyBorder="1" applyAlignment="1" applyProtection="1">
      <alignment horizontal="right" vertical="center"/>
    </xf>
    <xf numFmtId="0" fontId="8" fillId="2" borderId="3" xfId="3" applyFill="1" applyBorder="1" applyAlignment="1" applyProtection="1">
      <alignment horizontal="left" vertical="center" wrapText="1"/>
    </xf>
    <xf numFmtId="0" fontId="0" fillId="2" borderId="3" xfId="0" quotePrefix="1" applyFill="1" applyBorder="1" applyAlignment="1" applyProtection="1">
      <alignment horizontal="center" vertical="center"/>
    </xf>
    <xf numFmtId="0" fontId="0" fillId="0" borderId="3" xfId="0" applyBorder="1" applyAlignment="1" applyProtection="1">
      <alignment horizontal="left" vertical="center" wrapText="1"/>
    </xf>
    <xf numFmtId="0" fontId="0" fillId="0" borderId="0" xfId="0" applyAlignment="1" applyProtection="1">
      <alignment vertical="center" wrapText="1"/>
    </xf>
    <xf numFmtId="0" fontId="0" fillId="5" borderId="16" xfId="0" applyFill="1" applyBorder="1" applyAlignment="1" applyProtection="1">
      <alignment horizontal="center"/>
    </xf>
    <xf numFmtId="0" fontId="0" fillId="5" borderId="0" xfId="0" applyFill="1" applyBorder="1" applyAlignment="1" applyProtection="1">
      <alignment horizontal="center"/>
    </xf>
    <xf numFmtId="0" fontId="14" fillId="2" borderId="6" xfId="3" applyFont="1" applyFill="1" applyBorder="1" applyAlignment="1" applyProtection="1">
      <alignment horizontal="left" vertical="center" wrapText="1"/>
    </xf>
    <xf numFmtId="0" fontId="27" fillId="0" borderId="6" xfId="3" applyFont="1" applyBorder="1" applyAlignment="1" applyProtection="1">
      <alignment horizontal="left" vertical="center" wrapText="1"/>
    </xf>
    <xf numFmtId="0" fontId="27" fillId="0" borderId="18" xfId="3" applyFont="1" applyBorder="1" applyAlignment="1" applyProtection="1">
      <alignment horizontal="left" vertical="center" wrapText="1"/>
    </xf>
    <xf numFmtId="0" fontId="0" fillId="6" borderId="3" xfId="0" applyFill="1" applyBorder="1" applyAlignment="1" applyProtection="1">
      <alignment horizontal="center" vertical="center"/>
    </xf>
    <xf numFmtId="0" fontId="0" fillId="0" borderId="3" xfId="0" applyBorder="1" applyAlignment="1" applyProtection="1">
      <alignment vertical="center"/>
    </xf>
    <xf numFmtId="0" fontId="0" fillId="2" borderId="11" xfId="0" applyFill="1" applyBorder="1" applyAlignment="1" applyProtection="1">
      <alignment horizontal="center" vertical="center"/>
    </xf>
    <xf numFmtId="0" fontId="0" fillId="2" borderId="14" xfId="0" applyFill="1" applyBorder="1" applyAlignment="1" applyProtection="1">
      <alignment horizontal="center" vertical="center"/>
    </xf>
    <xf numFmtId="0" fontId="12" fillId="4" borderId="16" xfId="0" applyFont="1" applyFill="1" applyBorder="1" applyAlignment="1" applyProtection="1">
      <alignment horizontal="left" vertical="center" wrapText="1"/>
    </xf>
    <xf numFmtId="0" fontId="12" fillId="4" borderId="17" xfId="0" applyFont="1" applyFill="1" applyBorder="1" applyAlignment="1" applyProtection="1">
      <alignment horizontal="left" vertical="center" wrapText="1"/>
    </xf>
    <xf numFmtId="0" fontId="12" fillId="4" borderId="12" xfId="0" applyFont="1" applyFill="1" applyBorder="1" applyAlignment="1" applyProtection="1">
      <alignment horizontal="left" vertical="center" wrapText="1"/>
    </xf>
    <xf numFmtId="0" fontId="12" fillId="4" borderId="0" xfId="0" applyFont="1" applyFill="1" applyBorder="1" applyAlignment="1" applyProtection="1">
      <alignment horizontal="left" vertical="center" wrapText="1"/>
    </xf>
    <xf numFmtId="0" fontId="12" fillId="4" borderId="15" xfId="0" applyFont="1" applyFill="1" applyBorder="1" applyAlignment="1" applyProtection="1">
      <alignment horizontal="left" vertical="center" wrapText="1"/>
    </xf>
    <xf numFmtId="0" fontId="12" fillId="4" borderId="14" xfId="0" applyFont="1" applyFill="1" applyBorder="1" applyAlignment="1" applyProtection="1">
      <alignment horizontal="left" vertical="center" wrapText="1"/>
    </xf>
    <xf numFmtId="0" fontId="12" fillId="4" borderId="13" xfId="0" applyFont="1" applyFill="1" applyBorder="1" applyAlignment="1" applyProtection="1">
      <alignment horizontal="left" vertical="center" wrapText="1"/>
    </xf>
    <xf numFmtId="0" fontId="12" fillId="4" borderId="22" xfId="0" applyFont="1" applyFill="1" applyBorder="1" applyAlignment="1" applyProtection="1">
      <alignment horizontal="left" vertical="center" wrapText="1"/>
    </xf>
    <xf numFmtId="0" fontId="8" fillId="0" borderId="6" xfId="3" applyBorder="1" applyAlignment="1" applyProtection="1">
      <alignment horizontal="left" vertical="center" wrapText="1"/>
    </xf>
    <xf numFmtId="0" fontId="8" fillId="0" borderId="18" xfId="3" applyBorder="1" applyAlignment="1" applyProtection="1">
      <alignment horizontal="left" vertical="center" wrapText="1"/>
    </xf>
    <xf numFmtId="166" fontId="0" fillId="0" borderId="30" xfId="0" applyNumberFormat="1" applyFill="1" applyBorder="1" applyAlignment="1" applyProtection="1">
      <alignment horizontal="right" vertical="center"/>
      <protection locked="0"/>
    </xf>
    <xf numFmtId="5" fontId="12" fillId="4" borderId="11" xfId="0" applyNumberFormat="1" applyFont="1" applyFill="1" applyBorder="1" applyAlignment="1" applyProtection="1">
      <alignment horizontal="left" vertical="center" wrapText="1"/>
    </xf>
    <xf numFmtId="0" fontId="8" fillId="2" borderId="16" xfId="3" applyFont="1" applyFill="1" applyBorder="1" applyAlignment="1" applyProtection="1">
      <alignment horizontal="left" vertical="center" wrapText="1"/>
    </xf>
    <xf numFmtId="0" fontId="8" fillId="2" borderId="17" xfId="3" applyFill="1" applyBorder="1" applyAlignment="1" applyProtection="1">
      <alignment horizontal="left" vertical="center" wrapText="1"/>
    </xf>
    <xf numFmtId="0" fontId="8" fillId="0" borderId="13" xfId="3" applyBorder="1" applyAlignment="1" applyProtection="1">
      <alignment horizontal="left" vertical="center"/>
    </xf>
    <xf numFmtId="0" fontId="8" fillId="0" borderId="22" xfId="3" applyBorder="1" applyAlignment="1" applyProtection="1">
      <alignment horizontal="left" vertical="center"/>
    </xf>
    <xf numFmtId="0" fontId="0" fillId="2" borderId="19" xfId="0" applyFill="1" applyBorder="1" applyAlignment="1" applyProtection="1">
      <alignment horizontal="center" vertical="center"/>
    </xf>
    <xf numFmtId="0" fontId="0" fillId="2" borderId="30" xfId="0" applyFill="1" applyBorder="1" applyAlignment="1" applyProtection="1">
      <alignment horizontal="center" vertical="center"/>
    </xf>
    <xf numFmtId="166" fontId="0" fillId="0" borderId="3" xfId="0" applyNumberFormat="1" applyBorder="1" applyAlignment="1" applyProtection="1">
      <alignment horizontal="right" vertical="center"/>
    </xf>
    <xf numFmtId="166" fontId="0" fillId="0" borderId="2" xfId="0" applyNumberFormat="1" applyBorder="1" applyAlignment="1" applyProtection="1">
      <alignment horizontal="right" vertical="center"/>
    </xf>
    <xf numFmtId="166" fontId="0" fillId="2" borderId="2" xfId="0" applyNumberFormat="1" applyFill="1" applyBorder="1" applyAlignment="1" applyProtection="1">
      <alignment horizontal="right" vertical="center"/>
      <protection locked="0"/>
    </xf>
    <xf numFmtId="166" fontId="0" fillId="2" borderId="18" xfId="0" applyNumberFormat="1" applyFill="1" applyBorder="1" applyAlignment="1" applyProtection="1">
      <alignment horizontal="right" vertical="center"/>
      <protection locked="0"/>
    </xf>
    <xf numFmtId="49" fontId="24" fillId="2" borderId="2" xfId="3" applyNumberFormat="1" applyFont="1" applyFill="1" applyBorder="1" applyAlignment="1" applyProtection="1">
      <alignment horizontal="left" vertical="center" wrapText="1"/>
    </xf>
    <xf numFmtId="49" fontId="24" fillId="2" borderId="6" xfId="3" applyNumberFormat="1" applyFont="1" applyFill="1" applyBorder="1" applyAlignment="1" applyProtection="1">
      <alignment horizontal="left" vertical="center" wrapText="1"/>
    </xf>
    <xf numFmtId="49" fontId="24" fillId="2" borderId="18" xfId="3" applyNumberFormat="1" applyFont="1" applyFill="1" applyBorder="1" applyAlignment="1" applyProtection="1">
      <alignment horizontal="left" vertical="center" wrapText="1"/>
    </xf>
    <xf numFmtId="166" fontId="25" fillId="3" borderId="2" xfId="0" applyNumberFormat="1" applyFont="1" applyFill="1" applyBorder="1" applyAlignment="1" applyProtection="1">
      <alignment horizontal="right" vertical="center"/>
    </xf>
    <xf numFmtId="166" fontId="25" fillId="3" borderId="18" xfId="0" applyNumberFormat="1" applyFont="1" applyFill="1" applyBorder="1" applyAlignment="1" applyProtection="1">
      <alignment horizontal="right" vertical="center"/>
    </xf>
    <xf numFmtId="0" fontId="8" fillId="2" borderId="2" xfId="3" applyFill="1" applyBorder="1" applyAlignment="1" applyProtection="1">
      <alignment horizontal="left" vertical="center" wrapText="1"/>
    </xf>
    <xf numFmtId="10" fontId="0" fillId="2" borderId="2" xfId="0" applyNumberFormat="1" applyFill="1" applyBorder="1" applyAlignment="1" applyProtection="1">
      <alignment horizontal="right" vertical="center"/>
      <protection locked="0"/>
    </xf>
    <xf numFmtId="10" fontId="0" fillId="2" borderId="18" xfId="0" applyNumberFormat="1" applyFill="1" applyBorder="1" applyAlignment="1" applyProtection="1">
      <alignment horizontal="right" vertical="center"/>
      <protection locked="0"/>
    </xf>
    <xf numFmtId="0" fontId="71" fillId="2" borderId="12" xfId="0" applyFont="1" applyFill="1" applyBorder="1" applyAlignment="1" applyProtection="1">
      <alignment horizontal="left" vertical="center"/>
    </xf>
    <xf numFmtId="0" fontId="71" fillId="2" borderId="0" xfId="0" applyFont="1" applyFill="1" applyBorder="1" applyAlignment="1" applyProtection="1">
      <alignment horizontal="left" vertical="center"/>
    </xf>
    <xf numFmtId="9" fontId="0" fillId="2" borderId="2" xfId="0" applyNumberFormat="1" applyFill="1" applyBorder="1" applyAlignment="1" applyProtection="1">
      <alignment horizontal="right" vertical="center"/>
      <protection locked="0"/>
    </xf>
    <xf numFmtId="9" fontId="0" fillId="2" borderId="18" xfId="0" applyNumberFormat="1" applyFill="1" applyBorder="1" applyAlignment="1" applyProtection="1">
      <alignment horizontal="right" vertical="center"/>
      <protection locked="0"/>
    </xf>
    <xf numFmtId="166" fontId="11" fillId="14" borderId="18" xfId="0" applyNumberFormat="1" applyFont="1" applyFill="1" applyBorder="1" applyAlignment="1" applyProtection="1">
      <alignment horizontal="right" vertical="center"/>
      <protection locked="0"/>
    </xf>
    <xf numFmtId="0" fontId="23" fillId="6" borderId="11" xfId="0" applyFont="1" applyFill="1" applyBorder="1" applyAlignment="1" applyProtection="1">
      <alignment horizontal="center" vertical="center" textRotation="180"/>
    </xf>
    <xf numFmtId="0" fontId="23" fillId="6" borderId="17" xfId="0" applyFont="1" applyFill="1" applyBorder="1" applyAlignment="1" applyProtection="1">
      <alignment horizontal="center" vertical="center" textRotation="180"/>
    </xf>
    <xf numFmtId="0" fontId="23" fillId="6" borderId="14" xfId="0" applyFont="1" applyFill="1" applyBorder="1" applyAlignment="1" applyProtection="1">
      <alignment horizontal="center" vertical="center" textRotation="180"/>
    </xf>
    <xf numFmtId="0" fontId="23" fillId="6" borderId="22" xfId="0" applyFont="1" applyFill="1" applyBorder="1" applyAlignment="1" applyProtection="1">
      <alignment horizontal="center" vertical="center" textRotation="180"/>
    </xf>
    <xf numFmtId="0" fontId="68" fillId="6" borderId="11" xfId="0" applyFont="1" applyFill="1" applyBorder="1" applyAlignment="1" applyProtection="1">
      <alignment horizontal="center" vertical="center" textRotation="180" wrapText="1"/>
    </xf>
    <xf numFmtId="0" fontId="68" fillId="6" borderId="17" xfId="0" applyFont="1" applyFill="1" applyBorder="1" applyAlignment="1" applyProtection="1">
      <alignment horizontal="center" vertical="center" textRotation="180" wrapText="1"/>
    </xf>
    <xf numFmtId="0" fontId="68" fillId="6" borderId="14" xfId="0" applyFont="1" applyFill="1" applyBorder="1" applyAlignment="1" applyProtection="1">
      <alignment horizontal="center" vertical="center" textRotation="180" wrapText="1"/>
    </xf>
    <xf numFmtId="0" fontId="68" fillId="6" borderId="22" xfId="0" applyFont="1" applyFill="1" applyBorder="1" applyAlignment="1" applyProtection="1">
      <alignment horizontal="center" vertical="center" textRotation="180" wrapText="1"/>
    </xf>
    <xf numFmtId="166" fontId="9" fillId="14" borderId="2" xfId="0" applyNumberFormat="1" applyFont="1" applyFill="1" applyBorder="1" applyAlignment="1" applyProtection="1">
      <alignment horizontal="right" vertical="center"/>
      <protection locked="0"/>
    </xf>
    <xf numFmtId="166" fontId="9" fillId="14" borderId="18" xfId="0" applyNumberFormat="1" applyFont="1" applyFill="1" applyBorder="1" applyAlignment="1" applyProtection="1">
      <alignment horizontal="right" vertical="center"/>
      <protection locked="0"/>
    </xf>
    <xf numFmtId="0" fontId="23" fillId="6" borderId="16" xfId="0" applyFont="1" applyFill="1" applyBorder="1" applyAlignment="1" applyProtection="1">
      <alignment horizontal="center" vertical="center" textRotation="180"/>
    </xf>
    <xf numFmtId="0" fontId="23" fillId="6" borderId="0" xfId="0" applyFont="1" applyFill="1" applyBorder="1" applyAlignment="1" applyProtection="1">
      <alignment horizontal="center" vertical="center" textRotation="180"/>
    </xf>
    <xf numFmtId="0" fontId="23" fillId="6" borderId="15" xfId="0" applyFont="1" applyFill="1" applyBorder="1" applyAlignment="1" applyProtection="1">
      <alignment horizontal="center" vertical="center" textRotation="180"/>
    </xf>
    <xf numFmtId="0" fontId="23" fillId="6" borderId="13" xfId="0" applyFont="1" applyFill="1" applyBorder="1" applyAlignment="1" applyProtection="1">
      <alignment horizontal="center" vertical="center" textRotation="180"/>
    </xf>
    <xf numFmtId="49" fontId="2" fillId="2" borderId="2" xfId="0" applyNumberFormat="1" applyFont="1" applyFill="1" applyBorder="1" applyAlignment="1" applyProtection="1">
      <alignment horizontal="left" vertical="center" wrapText="1"/>
    </xf>
    <xf numFmtId="166" fontId="9" fillId="0" borderId="2" xfId="0" applyNumberFormat="1" applyFont="1" applyFill="1" applyBorder="1" applyAlignment="1" applyProtection="1">
      <alignment horizontal="right" vertical="center"/>
      <protection locked="0"/>
    </xf>
    <xf numFmtId="166" fontId="9" fillId="0" borderId="18" xfId="0" applyNumberFormat="1" applyFont="1" applyFill="1" applyBorder="1" applyAlignment="1" applyProtection="1">
      <alignment horizontal="right" vertical="center"/>
      <protection locked="0"/>
    </xf>
    <xf numFmtId="0" fontId="23" fillId="6" borderId="0" xfId="0" applyFont="1" applyFill="1" applyAlignment="1" applyProtection="1">
      <alignment horizontal="center" vertical="center" textRotation="180"/>
    </xf>
    <xf numFmtId="0" fontId="11" fillId="2" borderId="2" xfId="0" applyFont="1" applyFill="1" applyBorder="1" applyAlignment="1" applyProtection="1">
      <alignment horizontal="left" vertical="center" wrapText="1"/>
    </xf>
    <xf numFmtId="0" fontId="11" fillId="2" borderId="6" xfId="0" applyFont="1" applyFill="1" applyBorder="1" applyAlignment="1" applyProtection="1">
      <alignment horizontal="left" vertical="center" wrapText="1"/>
    </xf>
    <xf numFmtId="0" fontId="11" fillId="2" borderId="18" xfId="0" applyFont="1" applyFill="1" applyBorder="1" applyAlignment="1" applyProtection="1">
      <alignment horizontal="left" vertical="center" wrapText="1"/>
    </xf>
    <xf numFmtId="3" fontId="2" fillId="2" borderId="2" xfId="0" applyNumberFormat="1" applyFont="1" applyFill="1" applyBorder="1" applyAlignment="1" applyProtection="1">
      <alignment horizontal="right" vertical="center"/>
      <protection locked="0"/>
    </xf>
    <xf numFmtId="3" fontId="2" fillId="2" borderId="18" xfId="0" applyNumberFormat="1" applyFont="1" applyFill="1" applyBorder="1" applyAlignment="1" applyProtection="1">
      <alignment horizontal="right" vertical="center"/>
      <protection locked="0"/>
    </xf>
    <xf numFmtId="49" fontId="0" fillId="2" borderId="11" xfId="0" applyNumberFormat="1" applyFill="1" applyBorder="1" applyAlignment="1" applyProtection="1">
      <alignment horizontal="left" vertical="center" wrapText="1"/>
    </xf>
    <xf numFmtId="0" fontId="0" fillId="0" borderId="16" xfId="0" applyBorder="1" applyAlignment="1">
      <alignment horizontal="left" vertical="center" wrapText="1"/>
    </xf>
    <xf numFmtId="0" fontId="0" fillId="0" borderId="14" xfId="0" applyBorder="1" applyAlignment="1">
      <alignment horizontal="left" vertical="center" wrapText="1"/>
    </xf>
    <xf numFmtId="0" fontId="0" fillId="0" borderId="13" xfId="0" applyBorder="1" applyAlignment="1">
      <alignment horizontal="left" vertical="center" wrapText="1"/>
    </xf>
    <xf numFmtId="0" fontId="13" fillId="0" borderId="13" xfId="0" applyFont="1" applyBorder="1" applyAlignment="1">
      <alignment horizontal="left" wrapText="1"/>
    </xf>
    <xf numFmtId="0" fontId="13" fillId="0" borderId="22" xfId="0" applyFont="1" applyBorder="1" applyAlignment="1">
      <alignment horizontal="left" wrapText="1"/>
    </xf>
    <xf numFmtId="0" fontId="6" fillId="3" borderId="13" xfId="0" applyFont="1" applyFill="1" applyBorder="1" applyAlignment="1" applyProtection="1">
      <alignment vertical="center"/>
    </xf>
    <xf numFmtId="0" fontId="0" fillId="0" borderId="12" xfId="0" applyBorder="1" applyAlignment="1">
      <alignment horizontal="left" vertical="center" wrapText="1"/>
    </xf>
    <xf numFmtId="41" fontId="0" fillId="3" borderId="2" xfId="0" applyNumberFormat="1" applyFill="1" applyBorder="1" applyAlignment="1" applyProtection="1">
      <alignment horizontal="right" vertical="center"/>
    </xf>
    <xf numFmtId="41" fontId="0" fillId="3" borderId="18" xfId="0" applyNumberFormat="1" applyFill="1" applyBorder="1" applyAlignment="1" applyProtection="1">
      <alignment horizontal="right" vertical="center"/>
    </xf>
    <xf numFmtId="5" fontId="56" fillId="4" borderId="2" xfId="0" applyNumberFormat="1" applyFont="1" applyFill="1" applyBorder="1" applyAlignment="1" applyProtection="1">
      <alignment horizontal="left" vertical="center" wrapText="1"/>
    </xf>
    <xf numFmtId="0" fontId="56" fillId="4" borderId="6" xfId="0" applyFont="1" applyFill="1" applyBorder="1" applyAlignment="1" applyProtection="1">
      <alignment horizontal="left" vertical="center" wrapText="1"/>
    </xf>
    <xf numFmtId="0" fontId="56" fillId="0" borderId="18" xfId="0" applyFont="1" applyBorder="1" applyAlignment="1" applyProtection="1">
      <alignment horizontal="left" vertical="center" wrapText="1"/>
    </xf>
    <xf numFmtId="41" fontId="0" fillId="2" borderId="2" xfId="0" applyNumberFormat="1" applyFill="1" applyBorder="1" applyAlignment="1" applyProtection="1">
      <alignment horizontal="right" vertical="center"/>
      <protection locked="0"/>
    </xf>
    <xf numFmtId="41" fontId="0" fillId="2" borderId="18" xfId="0" applyNumberFormat="1" applyFill="1" applyBorder="1" applyAlignment="1" applyProtection="1">
      <alignment horizontal="right" vertical="center"/>
      <protection locked="0"/>
    </xf>
    <xf numFmtId="166" fontId="18" fillId="3" borderId="2" xfId="0" applyNumberFormat="1" applyFont="1" applyFill="1" applyBorder="1" applyAlignment="1" applyProtection="1">
      <alignment horizontal="right" vertical="center"/>
    </xf>
    <xf numFmtId="166" fontId="18" fillId="3" borderId="18" xfId="0" applyNumberFormat="1" applyFont="1" applyFill="1" applyBorder="1" applyAlignment="1" applyProtection="1">
      <alignment horizontal="right" vertical="center"/>
    </xf>
    <xf numFmtId="166" fontId="0" fillId="14" borderId="2" xfId="0" applyNumberFormat="1" applyFill="1" applyBorder="1" applyAlignment="1" applyProtection="1">
      <alignment horizontal="right" vertical="center"/>
      <protection locked="0"/>
    </xf>
    <xf numFmtId="0" fontId="8" fillId="2" borderId="11" xfId="3" applyFill="1" applyBorder="1" applyAlignment="1" applyProtection="1">
      <alignment horizontal="left" vertical="center" wrapText="1"/>
    </xf>
    <xf numFmtId="0" fontId="8" fillId="0" borderId="11" xfId="3" applyFill="1" applyBorder="1" applyAlignment="1" applyProtection="1">
      <alignment horizontal="left" vertical="center" wrapText="1"/>
    </xf>
    <xf numFmtId="0" fontId="8" fillId="0" borderId="16" xfId="3" applyFill="1" applyBorder="1" applyAlignment="1" applyProtection="1">
      <alignment horizontal="left" vertical="center" wrapText="1"/>
    </xf>
    <xf numFmtId="0" fontId="0" fillId="2" borderId="0" xfId="0" applyFill="1" applyBorder="1" applyAlignment="1" applyProtection="1">
      <alignment horizontal="right" vertical="center"/>
    </xf>
    <xf numFmtId="0" fontId="0" fillId="0" borderId="0" xfId="0" applyAlignment="1" applyProtection="1">
      <alignment horizontal="right" vertical="center"/>
    </xf>
    <xf numFmtId="0" fontId="0" fillId="0" borderId="15" xfId="0" applyBorder="1" applyAlignment="1" applyProtection="1">
      <alignment horizontal="right" vertical="center"/>
    </xf>
    <xf numFmtId="0" fontId="0" fillId="2" borderId="2" xfId="0" applyFill="1" applyBorder="1" applyAlignment="1" applyProtection="1">
      <alignment horizontal="left" vertical="center"/>
      <protection locked="0"/>
    </xf>
    <xf numFmtId="0" fontId="0" fillId="2" borderId="6" xfId="0" applyFill="1" applyBorder="1" applyAlignment="1" applyProtection="1">
      <alignment horizontal="left" vertical="center"/>
      <protection locked="0"/>
    </xf>
    <xf numFmtId="0" fontId="0" fillId="2" borderId="18" xfId="0" applyFill="1" applyBorder="1" applyAlignment="1" applyProtection="1">
      <alignment horizontal="left" vertical="center"/>
      <protection locked="0"/>
    </xf>
    <xf numFmtId="0" fontId="14" fillId="0" borderId="2" xfId="3"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11" fillId="0" borderId="6" xfId="0" applyFont="1" applyBorder="1" applyAlignment="1" applyProtection="1">
      <alignment horizontal="left" vertical="center" wrapText="1"/>
      <protection locked="0"/>
    </xf>
    <xf numFmtId="0" fontId="0" fillId="0" borderId="18" xfId="0" applyBorder="1" applyAlignment="1" applyProtection="1">
      <alignment horizontal="left" vertical="center" wrapText="1"/>
      <protection locked="0"/>
    </xf>
    <xf numFmtId="164" fontId="0" fillId="2" borderId="2" xfId="0" applyNumberFormat="1" applyFill="1" applyBorder="1" applyAlignment="1" applyProtection="1">
      <alignment horizontal="left" vertical="center"/>
      <protection locked="0"/>
    </xf>
    <xf numFmtId="164" fontId="0" fillId="2" borderId="6" xfId="0" applyNumberFormat="1" applyFill="1" applyBorder="1" applyAlignment="1" applyProtection="1">
      <alignment horizontal="left" vertical="center"/>
      <protection locked="0"/>
    </xf>
    <xf numFmtId="164" fontId="0" fillId="2" borderId="18" xfId="0" applyNumberFormat="1" applyFill="1" applyBorder="1" applyAlignment="1" applyProtection="1">
      <alignment horizontal="left" vertical="center"/>
      <protection locked="0"/>
    </xf>
    <xf numFmtId="0" fontId="6" fillId="4" borderId="0" xfId="0" applyFont="1" applyFill="1" applyBorder="1" applyAlignment="1" applyProtection="1">
      <alignment horizontal="left" vertical="center"/>
    </xf>
    <xf numFmtId="0" fontId="16" fillId="4" borderId="0" xfId="0" applyFont="1" applyFill="1" applyBorder="1" applyAlignment="1" applyProtection="1">
      <alignment horizontal="left" vertical="center"/>
    </xf>
    <xf numFmtId="0" fontId="8" fillId="2" borderId="0" xfId="3" applyFont="1" applyFill="1" applyBorder="1" applyAlignment="1" applyProtection="1">
      <alignment horizontal="left" vertical="center" wrapText="1"/>
    </xf>
    <xf numFmtId="0" fontId="7" fillId="4" borderId="0" xfId="0" applyFont="1" applyFill="1" applyBorder="1" applyAlignment="1" applyProtection="1">
      <alignment wrapText="1"/>
    </xf>
    <xf numFmtId="0" fontId="0" fillId="2" borderId="37" xfId="0" applyFill="1" applyBorder="1" applyAlignment="1" applyProtection="1">
      <alignment horizontal="right" vertical="center"/>
    </xf>
    <xf numFmtId="0" fontId="0" fillId="0" borderId="38" xfId="0" applyBorder="1" applyAlignment="1" applyProtection="1">
      <alignment horizontal="right" vertical="center"/>
    </xf>
    <xf numFmtId="164" fontId="11" fillId="2" borderId="2" xfId="0" applyNumberFormat="1" applyFont="1" applyFill="1" applyBorder="1" applyAlignment="1" applyProtection="1">
      <alignment horizontal="left" vertical="center"/>
      <protection locked="0"/>
    </xf>
    <xf numFmtId="164" fontId="11" fillId="2" borderId="6" xfId="0" applyNumberFormat="1" applyFont="1" applyFill="1" applyBorder="1" applyAlignment="1" applyProtection="1">
      <alignment horizontal="left" vertical="center"/>
      <protection locked="0"/>
    </xf>
    <xf numFmtId="164" fontId="11" fillId="2" borderId="18" xfId="0" applyNumberFormat="1" applyFont="1" applyFill="1" applyBorder="1" applyAlignment="1" applyProtection="1">
      <alignment horizontal="left" vertical="center"/>
      <protection locked="0"/>
    </xf>
    <xf numFmtId="0" fontId="12" fillId="2" borderId="12" xfId="0" applyFont="1" applyFill="1" applyBorder="1" applyAlignment="1" applyProtection="1">
      <alignment horizontal="left" wrapText="1"/>
    </xf>
    <xf numFmtId="0" fontId="12" fillId="2" borderId="0" xfId="0" applyFont="1" applyFill="1" applyBorder="1" applyAlignment="1" applyProtection="1">
      <alignment horizontal="left" wrapText="1"/>
    </xf>
    <xf numFmtId="0" fontId="0" fillId="0" borderId="0" xfId="0" applyAlignment="1" applyProtection="1">
      <alignment horizontal="left" wrapText="1"/>
    </xf>
    <xf numFmtId="0" fontId="9" fillId="2" borderId="2" xfId="0" applyNumberFormat="1" applyFont="1" applyFill="1" applyBorder="1" applyAlignment="1" applyProtection="1">
      <alignment horizontal="left" vertical="center"/>
      <protection locked="0"/>
    </xf>
    <xf numFmtId="0" fontId="9" fillId="0" borderId="6" xfId="0" applyNumberFormat="1" applyFont="1" applyBorder="1" applyAlignment="1" applyProtection="1">
      <alignment horizontal="left" vertical="center"/>
      <protection locked="0"/>
    </xf>
    <xf numFmtId="49" fontId="0" fillId="2" borderId="2" xfId="0" applyNumberFormat="1" applyFill="1" applyBorder="1" applyAlignment="1" applyProtection="1">
      <alignment horizontal="right" wrapText="1"/>
    </xf>
    <xf numFmtId="49" fontId="0" fillId="2" borderId="18" xfId="0" applyNumberFormat="1" applyFill="1" applyBorder="1" applyAlignment="1" applyProtection="1">
      <alignment horizontal="right" wrapText="1"/>
    </xf>
    <xf numFmtId="3" fontId="11" fillId="0" borderId="2" xfId="0" applyNumberFormat="1" applyFont="1" applyFill="1" applyBorder="1" applyAlignment="1" applyProtection="1">
      <alignment horizontal="center" vertical="center"/>
      <protection locked="0"/>
    </xf>
    <xf numFmtId="3" fontId="0" fillId="0" borderId="18" xfId="0" applyNumberFormat="1" applyBorder="1" applyAlignment="1" applyProtection="1">
      <alignment horizontal="center" vertical="center"/>
      <protection locked="0"/>
    </xf>
    <xf numFmtId="0" fontId="13" fillId="0" borderId="12" xfId="3" applyFont="1" applyBorder="1" applyAlignment="1" applyProtection="1">
      <alignment wrapText="1"/>
    </xf>
    <xf numFmtId="0" fontId="13" fillId="0" borderId="0" xfId="3" applyFont="1" applyAlignment="1" applyProtection="1">
      <alignment wrapText="1"/>
    </xf>
    <xf numFmtId="0" fontId="9" fillId="0" borderId="18" xfId="0" applyNumberFormat="1" applyFont="1" applyBorder="1" applyAlignment="1" applyProtection="1">
      <alignment horizontal="left" vertical="center"/>
      <protection locked="0"/>
    </xf>
    <xf numFmtId="14" fontId="11" fillId="0" borderId="2" xfId="0" applyNumberFormat="1" applyFont="1" applyFill="1" applyBorder="1" applyAlignment="1" applyProtection="1">
      <alignment horizontal="center" vertical="center"/>
      <protection locked="0"/>
    </xf>
    <xf numFmtId="14" fontId="0" fillId="0" borderId="18" xfId="0" applyNumberFormat="1" applyBorder="1" applyAlignment="1" applyProtection="1">
      <alignment horizontal="center" vertical="center"/>
      <protection locked="0"/>
    </xf>
    <xf numFmtId="164" fontId="9" fillId="2" borderId="2" xfId="0" applyNumberFormat="1" applyFont="1" applyFill="1" applyBorder="1" applyAlignment="1" applyProtection="1">
      <alignment horizontal="left" vertical="center"/>
      <protection locked="0"/>
    </xf>
    <xf numFmtId="164" fontId="9" fillId="0" borderId="6" xfId="0" applyNumberFormat="1" applyFont="1" applyBorder="1" applyAlignment="1" applyProtection="1">
      <alignment horizontal="left" vertical="center"/>
      <protection locked="0"/>
    </xf>
    <xf numFmtId="164" fontId="9" fillId="0" borderId="18" xfId="0" applyNumberFormat="1" applyFont="1" applyBorder="1" applyAlignment="1" applyProtection="1">
      <alignment horizontal="left" vertical="center"/>
      <protection locked="0"/>
    </xf>
    <xf numFmtId="49" fontId="7" fillId="3" borderId="2" xfId="0" applyNumberFormat="1" applyFont="1" applyFill="1" applyBorder="1" applyAlignment="1" applyProtection="1">
      <alignment horizontal="center" vertical="center" wrapText="1"/>
    </xf>
    <xf numFmtId="49" fontId="7" fillId="3" borderId="6" xfId="0" applyNumberFormat="1" applyFont="1" applyFill="1" applyBorder="1" applyAlignment="1" applyProtection="1">
      <alignment horizontal="center" vertical="center" wrapText="1"/>
    </xf>
    <xf numFmtId="49" fontId="7" fillId="3" borderId="18" xfId="0" applyNumberFormat="1" applyFont="1" applyFill="1" applyBorder="1" applyAlignment="1" applyProtection="1">
      <alignment horizontal="center" vertical="center" wrapText="1"/>
    </xf>
    <xf numFmtId="0" fontId="8" fillId="2" borderId="2" xfId="3" applyNumberFormat="1" applyFont="1" applyFill="1" applyBorder="1" applyAlignment="1" applyProtection="1">
      <alignment horizontal="left" wrapText="1"/>
      <protection locked="0"/>
    </xf>
    <xf numFmtId="0" fontId="0" fillId="2" borderId="18" xfId="0" applyNumberFormat="1" applyFill="1" applyBorder="1" applyAlignment="1" applyProtection="1">
      <alignment horizontal="left" wrapText="1"/>
      <protection locked="0"/>
    </xf>
    <xf numFmtId="0" fontId="9" fillId="0" borderId="18" xfId="0" applyFont="1" applyBorder="1" applyAlignment="1" applyProtection="1">
      <alignment horizontal="left" vertical="center" wrapText="1"/>
      <protection locked="0"/>
    </xf>
    <xf numFmtId="3" fontId="11" fillId="3" borderId="2" xfId="0" applyNumberFormat="1" applyFont="1" applyFill="1" applyBorder="1" applyAlignment="1" applyProtection="1">
      <alignment horizontal="right" vertical="center"/>
    </xf>
    <xf numFmtId="3" fontId="11" fillId="3" borderId="18" xfId="0" applyNumberFormat="1" applyFont="1" applyFill="1" applyBorder="1" applyAlignment="1" applyProtection="1">
      <alignment horizontal="right" vertical="center"/>
    </xf>
    <xf numFmtId="3" fontId="0" fillId="3" borderId="18" xfId="0" applyNumberFormat="1" applyFill="1" applyBorder="1" applyAlignment="1" applyProtection="1">
      <alignment horizontal="right" vertical="center"/>
    </xf>
    <xf numFmtId="0" fontId="9" fillId="2" borderId="2" xfId="0" applyNumberFormat="1" applyFont="1" applyFill="1" applyBorder="1" applyAlignment="1" applyProtection="1">
      <alignment horizontal="center" vertical="center" wrapText="1"/>
      <protection locked="0"/>
    </xf>
    <xf numFmtId="0" fontId="9" fillId="2" borderId="18" xfId="0" applyNumberFormat="1" applyFont="1" applyFill="1" applyBorder="1" applyAlignment="1" applyProtection="1">
      <alignment horizontal="center" vertical="center" wrapText="1"/>
      <protection locked="0"/>
    </xf>
    <xf numFmtId="0" fontId="8" fillId="2" borderId="18" xfId="3" applyFill="1" applyBorder="1" applyAlignment="1" applyProtection="1">
      <alignment horizontal="left" vertical="center" wrapText="1"/>
    </xf>
    <xf numFmtId="0" fontId="3" fillId="2" borderId="0" xfId="0" applyFont="1" applyFill="1" applyBorder="1" applyAlignment="1" applyProtection="1">
      <alignment horizontal="center"/>
    </xf>
    <xf numFmtId="0" fontId="4" fillId="2" borderId="0" xfId="0" applyFont="1" applyFill="1" applyBorder="1" applyAlignment="1" applyProtection="1">
      <alignment horizontal="center"/>
    </xf>
    <xf numFmtId="0" fontId="5" fillId="2" borderId="0" xfId="0" applyFont="1" applyFill="1" applyBorder="1" applyAlignment="1" applyProtection="1">
      <alignment horizontal="center"/>
    </xf>
    <xf numFmtId="0" fontId="10" fillId="4" borderId="14" xfId="0" applyFont="1" applyFill="1" applyBorder="1" applyAlignment="1" applyProtection="1">
      <alignment horizontal="left" vertical="center" wrapText="1"/>
    </xf>
    <xf numFmtId="0" fontId="11" fillId="0" borderId="13" xfId="0" applyFont="1" applyBorder="1" applyAlignment="1" applyProtection="1">
      <alignment horizontal="left" vertical="center" wrapText="1"/>
    </xf>
    <xf numFmtId="1" fontId="9" fillId="0" borderId="2" xfId="0" applyNumberFormat="1" applyFont="1" applyFill="1" applyBorder="1" applyAlignment="1" applyProtection="1">
      <alignment horizontal="center" vertical="center"/>
      <protection locked="0"/>
    </xf>
    <xf numFmtId="1" fontId="9" fillId="0" borderId="22" xfId="0" applyNumberFormat="1" applyFont="1" applyFill="1" applyBorder="1" applyAlignment="1" applyProtection="1">
      <alignment horizontal="center" vertical="center"/>
      <protection locked="0"/>
    </xf>
    <xf numFmtId="0" fontId="10" fillId="4" borderId="12" xfId="0" applyFont="1" applyFill="1" applyBorder="1" applyAlignment="1" applyProtection="1">
      <alignment horizontal="left" vertical="center" wrapText="1"/>
    </xf>
    <xf numFmtId="49" fontId="0" fillId="2" borderId="2" xfId="0" applyNumberFormat="1" applyFill="1" applyBorder="1" applyAlignment="1" applyProtection="1">
      <alignment horizontal="right" vertical="center" wrapText="1"/>
    </xf>
    <xf numFmtId="49" fontId="0" fillId="2" borderId="18" xfId="0" applyNumberFormat="1" applyFill="1" applyBorder="1" applyAlignment="1" applyProtection="1">
      <alignment horizontal="right" vertical="center" wrapText="1"/>
    </xf>
    <xf numFmtId="0" fontId="7" fillId="4" borderId="0" xfId="0" applyFont="1" applyFill="1" applyBorder="1" applyAlignment="1" applyProtection="1">
      <alignment vertical="center"/>
    </xf>
    <xf numFmtId="0" fontId="12" fillId="2" borderId="33" xfId="0" applyFont="1" applyFill="1" applyBorder="1" applyAlignment="1" applyProtection="1">
      <alignment horizontal="left" vertical="center" wrapText="1"/>
    </xf>
    <xf numFmtId="0" fontId="12" fillId="0" borderId="33" xfId="0" applyFont="1" applyBorder="1" applyAlignment="1">
      <alignment horizontal="left" vertical="center" wrapText="1"/>
    </xf>
    <xf numFmtId="0" fontId="0" fillId="2" borderId="34" xfId="0" applyFill="1" applyBorder="1" applyAlignment="1" applyProtection="1">
      <alignment horizontal="right" vertical="center"/>
    </xf>
    <xf numFmtId="0" fontId="0" fillId="0" borderId="35" xfId="0" applyBorder="1" applyAlignment="1" applyProtection="1">
      <alignment horizontal="right" vertical="center"/>
    </xf>
    <xf numFmtId="0" fontId="0" fillId="2" borderId="36" xfId="0" applyFill="1" applyBorder="1" applyAlignment="1" applyProtection="1">
      <alignment horizontal="right" vertical="center"/>
    </xf>
    <xf numFmtId="0" fontId="0" fillId="0" borderId="18" xfId="0" applyBorder="1" applyAlignment="1" applyProtection="1">
      <alignment horizontal="right" vertical="center"/>
    </xf>
    <xf numFmtId="0" fontId="12" fillId="0" borderId="0" xfId="0" applyFont="1" applyBorder="1" applyAlignment="1">
      <alignment horizontal="left" vertical="center" wrapText="1"/>
    </xf>
    <xf numFmtId="0" fontId="0" fillId="5" borderId="11" xfId="0" applyFill="1" applyBorder="1" applyAlignment="1" applyProtection="1">
      <alignment vertical="center"/>
    </xf>
    <xf numFmtId="0" fontId="0" fillId="5" borderId="17" xfId="0" applyFill="1" applyBorder="1" applyAlignment="1">
      <alignment vertical="center"/>
    </xf>
    <xf numFmtId="0" fontId="0" fillId="5" borderId="12" xfId="0" applyFill="1" applyBorder="1" applyAlignment="1">
      <alignment vertical="center"/>
    </xf>
    <xf numFmtId="0" fontId="0" fillId="5" borderId="15" xfId="0" applyFill="1" applyBorder="1" applyAlignment="1">
      <alignment vertical="center"/>
    </xf>
    <xf numFmtId="0" fontId="0" fillId="5" borderId="14" xfId="0" applyFill="1" applyBorder="1" applyAlignment="1">
      <alignment vertical="center"/>
    </xf>
    <xf numFmtId="0" fontId="0" fillId="5" borderId="22" xfId="0" applyFill="1" applyBorder="1" applyAlignment="1">
      <alignment vertical="center"/>
    </xf>
    <xf numFmtId="0" fontId="57" fillId="5" borderId="0" xfId="0" applyFont="1" applyFill="1" applyBorder="1" applyAlignment="1" applyProtection="1">
      <alignment vertical="center" wrapText="1"/>
      <protection locked="0"/>
    </xf>
    <xf numFmtId="0" fontId="57" fillId="5" borderId="15" xfId="0" applyFont="1" applyFill="1" applyBorder="1" applyAlignment="1" applyProtection="1">
      <alignment vertical="center" wrapText="1"/>
      <protection locked="0"/>
    </xf>
    <xf numFmtId="0" fontId="0" fillId="2" borderId="3" xfId="0" applyNumberFormat="1" applyFill="1" applyBorder="1" applyAlignment="1" applyProtection="1">
      <alignment horizontal="left" vertical="center" wrapText="1"/>
    </xf>
    <xf numFmtId="0" fontId="57" fillId="5" borderId="12" xfId="0" applyFont="1" applyFill="1" applyBorder="1" applyAlignment="1" applyProtection="1">
      <alignment vertical="center" wrapText="1"/>
      <protection locked="0"/>
    </xf>
    <xf numFmtId="0" fontId="6" fillId="3" borderId="2" xfId="0" applyNumberFormat="1" applyFont="1" applyFill="1" applyBorder="1" applyAlignment="1" applyProtection="1">
      <alignment horizontal="center" vertical="center" wrapText="1"/>
    </xf>
    <xf numFmtId="0" fontId="6" fillId="3" borderId="6" xfId="0" applyNumberFormat="1" applyFont="1" applyFill="1" applyBorder="1" applyAlignment="1" applyProtection="1">
      <alignment horizontal="center" vertical="center" wrapText="1"/>
    </xf>
    <xf numFmtId="0" fontId="6" fillId="3" borderId="18" xfId="0" applyNumberFormat="1" applyFont="1" applyFill="1" applyBorder="1" applyAlignment="1" applyProtection="1">
      <alignment horizontal="center" vertical="center" wrapText="1"/>
    </xf>
    <xf numFmtId="0" fontId="15" fillId="0" borderId="3" xfId="0" applyFont="1" applyBorder="1" applyAlignment="1">
      <alignment horizontal="center" vertical="center" wrapText="1"/>
    </xf>
    <xf numFmtId="0" fontId="9" fillId="2" borderId="16" xfId="0" applyNumberFormat="1" applyFont="1" applyFill="1" applyBorder="1" applyAlignment="1" applyProtection="1">
      <alignment horizontal="left" vertical="center" wrapText="1"/>
    </xf>
    <xf numFmtId="0" fontId="9" fillId="2" borderId="6" xfId="0" applyNumberFormat="1" applyFont="1" applyFill="1" applyBorder="1" applyAlignment="1" applyProtection="1">
      <alignment horizontal="left" vertical="center" wrapText="1"/>
    </xf>
    <xf numFmtId="0" fontId="9" fillId="2" borderId="18" xfId="0" applyNumberFormat="1" applyFont="1" applyFill="1" applyBorder="1" applyAlignment="1" applyProtection="1">
      <alignment horizontal="left" vertical="center" wrapText="1"/>
    </xf>
    <xf numFmtId="1" fontId="13" fillId="5" borderId="12" xfId="0" applyNumberFormat="1" applyFont="1" applyFill="1" applyBorder="1" applyAlignment="1" applyProtection="1">
      <alignment horizontal="left" vertical="center" wrapText="1"/>
    </xf>
    <xf numFmtId="0" fontId="0" fillId="0" borderId="0" xfId="0" applyBorder="1" applyAlignment="1">
      <alignment vertical="center" wrapText="1"/>
    </xf>
    <xf numFmtId="0" fontId="0" fillId="0" borderId="12" xfId="0" applyBorder="1" applyAlignment="1">
      <alignment vertical="center" wrapText="1"/>
    </xf>
    <xf numFmtId="49" fontId="0" fillId="2" borderId="11" xfId="0" applyNumberFormat="1" applyFont="1" applyFill="1" applyBorder="1" applyAlignment="1" applyProtection="1">
      <alignment horizontal="left" vertical="center" wrapText="1"/>
    </xf>
    <xf numFmtId="49" fontId="0" fillId="2" borderId="16" xfId="0" applyNumberFormat="1" applyFont="1" applyFill="1" applyBorder="1" applyAlignment="1" applyProtection="1">
      <alignment horizontal="left" vertical="center" wrapText="1"/>
    </xf>
    <xf numFmtId="49" fontId="0" fillId="2" borderId="17" xfId="0" applyNumberFormat="1" applyFont="1" applyFill="1" applyBorder="1" applyAlignment="1" applyProtection="1">
      <alignment horizontal="left" vertical="center" wrapText="1"/>
    </xf>
    <xf numFmtId="49" fontId="0" fillId="2" borderId="14" xfId="0" applyNumberFormat="1" applyFont="1" applyFill="1" applyBorder="1" applyAlignment="1" applyProtection="1">
      <alignment horizontal="left" vertical="center" wrapText="1"/>
    </xf>
    <xf numFmtId="49" fontId="0" fillId="2" borderId="13" xfId="0" applyNumberFormat="1" applyFont="1" applyFill="1" applyBorder="1" applyAlignment="1" applyProtection="1">
      <alignment horizontal="left" vertical="center" wrapText="1"/>
    </xf>
    <xf numFmtId="49" fontId="0" fillId="2" borderId="22" xfId="0" applyNumberFormat="1" applyFont="1" applyFill="1" applyBorder="1" applyAlignment="1" applyProtection="1">
      <alignment horizontal="left" vertical="center" wrapText="1"/>
    </xf>
    <xf numFmtId="0" fontId="13" fillId="5" borderId="14"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22" xfId="0" applyFont="1" applyFill="1" applyBorder="1" applyAlignment="1">
      <alignment horizontal="center" vertical="center" wrapText="1"/>
    </xf>
    <xf numFmtId="0" fontId="0" fillId="2" borderId="22" xfId="0" applyNumberFormat="1" applyFill="1" applyBorder="1" applyAlignment="1" applyProtection="1">
      <alignment horizontal="left" vertical="center" wrapText="1"/>
    </xf>
    <xf numFmtId="0" fontId="0" fillId="2" borderId="30" xfId="0" applyNumberFormat="1" applyFill="1" applyBorder="1" applyAlignment="1" applyProtection="1">
      <alignment horizontal="left" vertical="center" wrapText="1"/>
    </xf>
    <xf numFmtId="1" fontId="11" fillId="2" borderId="14" xfId="0" applyNumberFormat="1" applyFont="1" applyFill="1" applyBorder="1" applyAlignment="1" applyProtection="1">
      <alignment horizontal="center" vertical="center" wrapText="1"/>
      <protection locked="0"/>
    </xf>
    <xf numFmtId="0" fontId="11" fillId="0" borderId="22" xfId="0" applyFont="1" applyBorder="1" applyAlignment="1" applyProtection="1">
      <alignment horizontal="center" vertical="center" wrapText="1"/>
      <protection locked="0"/>
    </xf>
    <xf numFmtId="0" fontId="9" fillId="2" borderId="3" xfId="0" applyNumberFormat="1" applyFont="1" applyFill="1" applyBorder="1" applyAlignment="1" applyProtection="1">
      <alignment horizontal="left" vertical="center" wrapText="1"/>
    </xf>
    <xf numFmtId="167" fontId="9" fillId="3" borderId="3" xfId="0" applyNumberFormat="1" applyFont="1" applyFill="1" applyBorder="1" applyAlignment="1" applyProtection="1">
      <alignment horizontal="right" vertical="center"/>
    </xf>
    <xf numFmtId="167" fontId="9" fillId="3" borderId="2" xfId="0" applyNumberFormat="1" applyFont="1" applyFill="1" applyBorder="1" applyAlignment="1" applyProtection="1">
      <alignment vertical="center"/>
    </xf>
    <xf numFmtId="167" fontId="9" fillId="3" borderId="18" xfId="0" applyNumberFormat="1" applyFont="1" applyFill="1" applyBorder="1" applyAlignment="1" applyProtection="1">
      <alignment vertical="center"/>
    </xf>
    <xf numFmtId="1" fontId="11" fillId="14" borderId="14" xfId="0" applyNumberFormat="1" applyFont="1" applyFill="1" applyBorder="1" applyAlignment="1" applyProtection="1">
      <alignment horizontal="center" vertical="center" wrapText="1"/>
      <protection locked="0"/>
    </xf>
    <xf numFmtId="0" fontId="11" fillId="14" borderId="22" xfId="0" applyFont="1" applyFill="1" applyBorder="1" applyAlignment="1" applyProtection="1">
      <alignment horizontal="center" vertical="center" wrapText="1"/>
      <protection locked="0"/>
    </xf>
    <xf numFmtId="0" fontId="0" fillId="0" borderId="15" xfId="0" applyBorder="1" applyAlignment="1">
      <alignment vertical="center" wrapText="1"/>
    </xf>
    <xf numFmtId="0" fontId="0" fillId="0" borderId="14" xfId="0" applyBorder="1" applyAlignment="1">
      <alignment vertical="center" wrapText="1"/>
    </xf>
    <xf numFmtId="49" fontId="9" fillId="2" borderId="2" xfId="0" applyNumberFormat="1" applyFont="1" applyFill="1" applyBorder="1" applyAlignment="1" applyProtection="1">
      <alignment horizontal="center" vertical="center" wrapText="1"/>
    </xf>
    <xf numFmtId="49" fontId="9" fillId="2" borderId="6" xfId="0" applyNumberFormat="1" applyFont="1" applyFill="1" applyBorder="1" applyAlignment="1" applyProtection="1">
      <alignment horizontal="center" vertical="center" wrapText="1"/>
    </xf>
    <xf numFmtId="49" fontId="9" fillId="2" borderId="18" xfId="0" applyNumberFormat="1" applyFont="1" applyFill="1" applyBorder="1" applyAlignment="1" applyProtection="1">
      <alignment horizontal="center" vertical="center" wrapText="1"/>
    </xf>
    <xf numFmtId="0" fontId="7" fillId="5" borderId="11" xfId="0" applyFont="1" applyFill="1" applyBorder="1" applyAlignment="1" applyProtection="1">
      <alignment horizontal="center" vertical="center"/>
    </xf>
    <xf numFmtId="0" fontId="7" fillId="5" borderId="16" xfId="0" applyFont="1" applyFill="1" applyBorder="1" applyAlignment="1" applyProtection="1">
      <alignment horizontal="center" vertical="center"/>
    </xf>
    <xf numFmtId="0" fontId="7" fillId="5" borderId="17" xfId="0" applyFont="1" applyFill="1" applyBorder="1" applyAlignment="1" applyProtection="1">
      <alignment horizontal="center" vertical="center"/>
    </xf>
    <xf numFmtId="0" fontId="7" fillId="0" borderId="3" xfId="0" applyFont="1" applyFill="1" applyBorder="1" applyAlignment="1" applyProtection="1">
      <alignment horizontal="right" vertical="center"/>
      <protection locked="0"/>
    </xf>
    <xf numFmtId="0" fontId="7" fillId="5" borderId="12" xfId="0" applyFont="1" applyFill="1" applyBorder="1" applyAlignment="1" applyProtection="1">
      <alignment horizontal="center" vertical="center"/>
    </xf>
    <xf numFmtId="0" fontId="7" fillId="5" borderId="0" xfId="0" applyFont="1" applyFill="1" applyBorder="1" applyAlignment="1" applyProtection="1">
      <alignment horizontal="center" vertical="center"/>
    </xf>
    <xf numFmtId="0" fontId="7" fillId="5" borderId="15" xfId="0" applyFont="1" applyFill="1" applyBorder="1" applyAlignment="1" applyProtection="1">
      <alignment horizontal="center" vertical="center"/>
    </xf>
    <xf numFmtId="0" fontId="9" fillId="2" borderId="30" xfId="0" applyNumberFormat="1" applyFont="1" applyFill="1" applyBorder="1" applyAlignment="1" applyProtection="1">
      <alignment horizontal="left" vertical="center" wrapText="1"/>
    </xf>
    <xf numFmtId="0" fontId="0" fillId="2" borderId="30" xfId="0" applyFill="1" applyBorder="1" applyAlignment="1"/>
    <xf numFmtId="0" fontId="0" fillId="6" borderId="12" xfId="0" applyFill="1" applyBorder="1" applyAlignment="1">
      <alignment horizontal="center"/>
    </xf>
    <xf numFmtId="0" fontId="0" fillId="6" borderId="0" xfId="0" applyFill="1" applyBorder="1" applyAlignment="1">
      <alignment horizontal="center"/>
    </xf>
    <xf numFmtId="0" fontId="0" fillId="6" borderId="15" xfId="0" applyFill="1" applyBorder="1" applyAlignment="1">
      <alignment horizontal="center"/>
    </xf>
    <xf numFmtId="0" fontId="9" fillId="2" borderId="19" xfId="0" applyNumberFormat="1" applyFont="1" applyFill="1" applyBorder="1" applyAlignment="1" applyProtection="1">
      <alignment horizontal="left" vertical="center" wrapText="1"/>
    </xf>
    <xf numFmtId="0" fontId="0" fillId="2" borderId="19" xfId="0" applyFill="1" applyBorder="1" applyAlignment="1"/>
    <xf numFmtId="1" fontId="10" fillId="6" borderId="12" xfId="0" applyNumberFormat="1" applyFont="1" applyFill="1" applyBorder="1" applyAlignment="1" applyProtection="1">
      <alignment horizontal="center" vertical="center"/>
    </xf>
    <xf numFmtId="1" fontId="10" fillId="6" borderId="0" xfId="0" applyNumberFormat="1" applyFont="1" applyFill="1" applyBorder="1" applyAlignment="1" applyProtection="1">
      <alignment horizontal="center" vertical="center"/>
    </xf>
    <xf numFmtId="1" fontId="10" fillId="6" borderId="15" xfId="0" applyNumberFormat="1" applyFont="1" applyFill="1" applyBorder="1" applyAlignment="1" applyProtection="1">
      <alignment horizontal="center" vertical="center"/>
    </xf>
    <xf numFmtId="0" fontId="0" fillId="6" borderId="12" xfId="0" applyNumberFormat="1" applyFill="1" applyBorder="1" applyAlignment="1" applyProtection="1">
      <alignment horizontal="center" vertical="center" wrapText="1"/>
    </xf>
    <xf numFmtId="0" fontId="0" fillId="6" borderId="0" xfId="0" applyNumberFormat="1" applyFill="1" applyBorder="1" applyAlignment="1" applyProtection="1">
      <alignment horizontal="center" vertical="center" wrapText="1"/>
    </xf>
    <xf numFmtId="0" fontId="0" fillId="6" borderId="15" xfId="0" applyNumberFormat="1" applyFill="1" applyBorder="1" applyAlignment="1" applyProtection="1">
      <alignment horizontal="center" vertical="center" wrapText="1"/>
    </xf>
    <xf numFmtId="0" fontId="0" fillId="6" borderId="14" xfId="0" applyFill="1" applyBorder="1" applyAlignment="1">
      <alignment horizontal="center"/>
    </xf>
    <xf numFmtId="0" fontId="0" fillId="6" borderId="13" xfId="0" applyFill="1" applyBorder="1" applyAlignment="1">
      <alignment horizontal="center"/>
    </xf>
    <xf numFmtId="0" fontId="0" fillId="6" borderId="22" xfId="0" applyFill="1" applyBorder="1" applyAlignment="1">
      <alignment horizontal="center"/>
    </xf>
    <xf numFmtId="0" fontId="7" fillId="3" borderId="11" xfId="0" applyFont="1" applyFill="1" applyBorder="1" applyAlignment="1" applyProtection="1">
      <alignment horizontal="left" vertical="center"/>
    </xf>
    <xf numFmtId="0" fontId="7" fillId="3" borderId="16" xfId="0" applyFont="1" applyFill="1" applyBorder="1" applyAlignment="1" applyProtection="1">
      <alignment horizontal="left" vertical="center"/>
    </xf>
    <xf numFmtId="0" fontId="7" fillId="3" borderId="17" xfId="0" applyFont="1" applyFill="1" applyBorder="1" applyAlignment="1" applyProtection="1">
      <alignment horizontal="left" vertical="center"/>
    </xf>
    <xf numFmtId="0" fontId="7" fillId="3" borderId="14" xfId="0" applyFont="1" applyFill="1" applyBorder="1" applyAlignment="1" applyProtection="1">
      <alignment horizontal="center" vertical="center"/>
    </xf>
    <xf numFmtId="0" fontId="7" fillId="3" borderId="22" xfId="0" applyFont="1" applyFill="1" applyBorder="1" applyAlignment="1" applyProtection="1">
      <alignment horizontal="center" vertical="center"/>
    </xf>
    <xf numFmtId="0" fontId="6" fillId="3" borderId="19" xfId="0" applyNumberFormat="1" applyFont="1" applyFill="1" applyBorder="1" applyAlignment="1" applyProtection="1">
      <alignment horizontal="center" vertical="center" wrapText="1"/>
    </xf>
    <xf numFmtId="0" fontId="15" fillId="0" borderId="19" xfId="0" applyFont="1" applyBorder="1" applyAlignment="1">
      <alignment horizontal="center" vertical="center" wrapText="1"/>
    </xf>
    <xf numFmtId="1" fontId="6" fillId="3" borderId="22" xfId="0" applyNumberFormat="1" applyFont="1" applyFill="1" applyBorder="1" applyAlignment="1" applyProtection="1">
      <alignment horizontal="center" vertical="center" wrapText="1"/>
    </xf>
    <xf numFmtId="49" fontId="9" fillId="6" borderId="12" xfId="0" applyNumberFormat="1" applyFont="1" applyFill="1" applyBorder="1" applyAlignment="1" applyProtection="1">
      <alignment horizontal="center" vertical="center" wrapText="1"/>
    </xf>
    <xf numFmtId="49" fontId="9" fillId="6" borderId="0" xfId="0" applyNumberFormat="1" applyFont="1" applyFill="1" applyBorder="1" applyAlignment="1" applyProtection="1">
      <alignment horizontal="center" vertical="center" wrapText="1"/>
    </xf>
    <xf numFmtId="49" fontId="9" fillId="6" borderId="16" xfId="0" applyNumberFormat="1" applyFont="1" applyFill="1" applyBorder="1" applyAlignment="1" applyProtection="1">
      <alignment horizontal="center" vertical="center" wrapText="1"/>
    </xf>
    <xf numFmtId="49" fontId="9" fillId="6" borderId="17" xfId="0" applyNumberFormat="1" applyFont="1" applyFill="1" applyBorder="1" applyAlignment="1" applyProtection="1">
      <alignment horizontal="center" vertical="center" wrapText="1"/>
    </xf>
    <xf numFmtId="49" fontId="9" fillId="6" borderId="15" xfId="0" applyNumberFormat="1" applyFont="1" applyFill="1" applyBorder="1" applyAlignment="1" applyProtection="1">
      <alignment horizontal="center" vertical="center" wrapText="1"/>
    </xf>
    <xf numFmtId="0" fontId="7" fillId="0" borderId="2" xfId="0" applyFont="1" applyFill="1" applyBorder="1" applyAlignment="1" applyProtection="1">
      <alignment horizontal="right" vertical="center"/>
      <protection locked="0"/>
    </xf>
    <xf numFmtId="0" fontId="7" fillId="0" borderId="18" xfId="0" applyFont="1" applyFill="1" applyBorder="1" applyAlignment="1" applyProtection="1">
      <alignment horizontal="right" vertical="center"/>
      <protection locked="0"/>
    </xf>
    <xf numFmtId="49" fontId="0" fillId="2" borderId="13" xfId="0" applyNumberFormat="1" applyFill="1" applyBorder="1" applyAlignment="1" applyProtection="1">
      <alignment horizontal="left" vertical="center" wrapText="1"/>
    </xf>
    <xf numFmtId="49" fontId="0" fillId="2" borderId="22" xfId="0" applyNumberFormat="1" applyFill="1" applyBorder="1" applyAlignment="1" applyProtection="1">
      <alignment horizontal="left" vertical="center" wrapText="1"/>
    </xf>
    <xf numFmtId="0" fontId="6" fillId="3" borderId="22" xfId="0" applyNumberFormat="1" applyFont="1" applyFill="1" applyBorder="1" applyAlignment="1" applyProtection="1">
      <alignment horizontal="center" vertical="center" wrapText="1"/>
    </xf>
    <xf numFmtId="0" fontId="15" fillId="0" borderId="30" xfId="0" applyFont="1" applyBorder="1" applyAlignment="1">
      <alignment horizontal="center" vertical="center" wrapText="1"/>
    </xf>
    <xf numFmtId="1" fontId="6" fillId="3" borderId="14" xfId="0" applyNumberFormat="1" applyFont="1" applyFill="1" applyBorder="1" applyAlignment="1" applyProtection="1">
      <alignment horizontal="center" vertical="center" wrapText="1"/>
    </xf>
    <xf numFmtId="0" fontId="0" fillId="6" borderId="11" xfId="0" applyFill="1" applyBorder="1" applyAlignment="1">
      <alignment horizontal="center"/>
    </xf>
    <xf numFmtId="0" fontId="0" fillId="6" borderId="16" xfId="0" applyFill="1" applyBorder="1" applyAlignment="1">
      <alignment horizontal="center"/>
    </xf>
    <xf numFmtId="0" fontId="0" fillId="6" borderId="17" xfId="0" applyFill="1" applyBorder="1" applyAlignment="1">
      <alignment horizontal="center"/>
    </xf>
    <xf numFmtId="49" fontId="9" fillId="6" borderId="13" xfId="0" applyNumberFormat="1" applyFont="1" applyFill="1" applyBorder="1" applyAlignment="1" applyProtection="1">
      <alignment horizontal="center" vertical="center" wrapText="1"/>
    </xf>
    <xf numFmtId="49" fontId="9" fillId="6" borderId="22" xfId="0" applyNumberFormat="1" applyFont="1" applyFill="1" applyBorder="1" applyAlignment="1" applyProtection="1">
      <alignment horizontal="center" vertical="center" wrapText="1"/>
    </xf>
    <xf numFmtId="49" fontId="9" fillId="2" borderId="11" xfId="0" applyNumberFormat="1" applyFont="1" applyFill="1" applyBorder="1" applyAlignment="1" applyProtection="1">
      <alignment horizontal="left" vertical="center" wrapText="1"/>
    </xf>
    <xf numFmtId="49" fontId="9" fillId="2" borderId="16" xfId="0" applyNumberFormat="1" applyFont="1" applyFill="1" applyBorder="1" applyAlignment="1" applyProtection="1">
      <alignment horizontal="left" vertical="center" wrapText="1"/>
    </xf>
    <xf numFmtId="49" fontId="9" fillId="2" borderId="17" xfId="0" applyNumberFormat="1" applyFont="1" applyFill="1" applyBorder="1" applyAlignment="1" applyProtection="1">
      <alignment horizontal="left" vertical="center" wrapText="1"/>
    </xf>
    <xf numFmtId="49" fontId="9" fillId="2" borderId="14" xfId="0" applyNumberFormat="1" applyFont="1" applyFill="1" applyBorder="1" applyAlignment="1" applyProtection="1">
      <alignment horizontal="left" vertical="center" wrapText="1"/>
    </xf>
    <xf numFmtId="49" fontId="9" fillId="2" borderId="13" xfId="0" applyNumberFormat="1" applyFont="1" applyFill="1" applyBorder="1" applyAlignment="1" applyProtection="1">
      <alignment horizontal="left" vertical="center" wrapText="1"/>
    </xf>
    <xf numFmtId="49" fontId="9" fillId="2" borderId="22" xfId="0" applyNumberFormat="1" applyFont="1" applyFill="1" applyBorder="1" applyAlignment="1" applyProtection="1">
      <alignment horizontal="left" vertical="center" wrapText="1"/>
    </xf>
    <xf numFmtId="0" fontId="6" fillId="3" borderId="30" xfId="0" applyNumberFormat="1" applyFont="1" applyFill="1" applyBorder="1" applyAlignment="1" applyProtection="1">
      <alignment horizontal="center" vertical="center" wrapText="1"/>
    </xf>
    <xf numFmtId="0" fontId="15" fillId="0" borderId="14" xfId="0" applyFont="1" applyBorder="1" applyAlignment="1">
      <alignment horizontal="center" vertical="center" wrapText="1"/>
    </xf>
    <xf numFmtId="49" fontId="9" fillId="2" borderId="3" xfId="0" applyNumberFormat="1" applyFont="1" applyFill="1" applyBorder="1" applyAlignment="1" applyProtection="1">
      <alignment horizontal="left" vertical="center" wrapText="1"/>
    </xf>
    <xf numFmtId="1" fontId="11" fillId="2" borderId="30" xfId="0" applyNumberFormat="1" applyFont="1" applyFill="1" applyBorder="1" applyAlignment="1" applyProtection="1">
      <alignment horizontal="center" vertical="center" wrapText="1"/>
      <protection locked="0"/>
    </xf>
    <xf numFmtId="0" fontId="11" fillId="2" borderId="30" xfId="0" applyFont="1" applyFill="1" applyBorder="1" applyAlignment="1" applyProtection="1">
      <alignment horizontal="center" vertical="center" wrapText="1"/>
      <protection locked="0"/>
    </xf>
    <xf numFmtId="0" fontId="7" fillId="5" borderId="14" xfId="0" applyFont="1" applyFill="1" applyBorder="1" applyAlignment="1" applyProtection="1">
      <alignment horizontal="center" vertical="center"/>
    </xf>
    <xf numFmtId="0" fontId="7" fillId="5" borderId="13" xfId="0" applyFont="1" applyFill="1" applyBorder="1" applyAlignment="1" applyProtection="1">
      <alignment horizontal="center" vertical="center"/>
    </xf>
    <xf numFmtId="0" fontId="7" fillId="5" borderId="22" xfId="0" applyFont="1" applyFill="1" applyBorder="1" applyAlignment="1" applyProtection="1">
      <alignment horizontal="center" vertical="center"/>
    </xf>
    <xf numFmtId="0" fontId="6" fillId="5" borderId="11" xfId="0" applyNumberFormat="1" applyFont="1" applyFill="1" applyBorder="1" applyAlignment="1" applyProtection="1">
      <alignment horizontal="center" vertical="center" wrapText="1"/>
    </xf>
    <xf numFmtId="0" fontId="6" fillId="5" borderId="16" xfId="0" applyNumberFormat="1" applyFont="1" applyFill="1" applyBorder="1" applyAlignment="1" applyProtection="1">
      <alignment horizontal="center" vertical="center" wrapText="1"/>
    </xf>
    <xf numFmtId="0" fontId="6" fillId="5" borderId="17" xfId="0" applyNumberFormat="1" applyFont="1" applyFill="1" applyBorder="1" applyAlignment="1" applyProtection="1">
      <alignment horizontal="center" vertical="center" wrapText="1"/>
    </xf>
    <xf numFmtId="0" fontId="6" fillId="5" borderId="12" xfId="0" applyNumberFormat="1" applyFont="1" applyFill="1" applyBorder="1" applyAlignment="1" applyProtection="1">
      <alignment horizontal="center" vertical="center" wrapText="1"/>
    </xf>
    <xf numFmtId="0" fontId="6" fillId="5" borderId="0" xfId="0" applyNumberFormat="1" applyFont="1" applyFill="1" applyBorder="1" applyAlignment="1" applyProtection="1">
      <alignment horizontal="center" vertical="center" wrapText="1"/>
    </xf>
    <xf numFmtId="0" fontId="6" fillId="5" borderId="15" xfId="0" applyNumberFormat="1" applyFont="1" applyFill="1" applyBorder="1" applyAlignment="1" applyProtection="1">
      <alignment horizontal="center" vertical="center" wrapText="1"/>
    </xf>
    <xf numFmtId="0" fontId="6" fillId="5" borderId="14" xfId="0" applyNumberFormat="1" applyFont="1" applyFill="1" applyBorder="1" applyAlignment="1" applyProtection="1">
      <alignment horizontal="center" vertical="center" wrapText="1"/>
    </xf>
    <xf numFmtId="0" fontId="6" fillId="5" borderId="13" xfId="0" applyNumberFormat="1" applyFont="1" applyFill="1" applyBorder="1" applyAlignment="1" applyProtection="1">
      <alignment horizontal="center" vertical="center" wrapText="1"/>
    </xf>
    <xf numFmtId="0" fontId="6" fillId="5" borderId="22" xfId="0" applyNumberFormat="1" applyFont="1" applyFill="1" applyBorder="1" applyAlignment="1" applyProtection="1">
      <alignment horizontal="center" vertical="center" wrapText="1"/>
    </xf>
    <xf numFmtId="49" fontId="0" fillId="6" borderId="0" xfId="0" applyNumberFormat="1" applyFill="1" applyBorder="1" applyAlignment="1" applyProtection="1">
      <alignment horizontal="center" vertical="center" wrapText="1"/>
    </xf>
    <xf numFmtId="49" fontId="0" fillId="6" borderId="15" xfId="0" applyNumberFormat="1" applyFill="1" applyBorder="1" applyAlignment="1" applyProtection="1">
      <alignment horizontal="center" vertical="center" wrapText="1"/>
    </xf>
    <xf numFmtId="49" fontId="0" fillId="6" borderId="13" xfId="0" applyNumberFormat="1" applyFill="1" applyBorder="1" applyAlignment="1" applyProtection="1">
      <alignment horizontal="center" vertical="center" wrapText="1"/>
    </xf>
    <xf numFmtId="49" fontId="0" fillId="6" borderId="22" xfId="0" applyNumberFormat="1" applyFill="1" applyBorder="1" applyAlignment="1" applyProtection="1">
      <alignment horizontal="center" vertical="center" wrapText="1"/>
    </xf>
    <xf numFmtId="0" fontId="0" fillId="2" borderId="2" xfId="0" applyFill="1" applyBorder="1" applyAlignment="1" applyProtection="1">
      <alignment horizontal="right"/>
      <protection locked="0"/>
    </xf>
    <xf numFmtId="0" fontId="0" fillId="2" borderId="18" xfId="0" applyFill="1" applyBorder="1" applyAlignment="1" applyProtection="1">
      <alignment horizontal="right"/>
      <protection locked="0"/>
    </xf>
    <xf numFmtId="0" fontId="7" fillId="5" borderId="2" xfId="0" applyFont="1" applyFill="1" applyBorder="1" applyAlignment="1" applyProtection="1">
      <alignment horizontal="center" vertical="center"/>
    </xf>
    <xf numFmtId="0" fontId="7" fillId="5" borderId="6" xfId="0" applyFont="1" applyFill="1" applyBorder="1" applyAlignment="1" applyProtection="1">
      <alignment horizontal="center" vertical="center"/>
    </xf>
    <xf numFmtId="0" fontId="7" fillId="5" borderId="18" xfId="0" applyFont="1" applyFill="1" applyBorder="1" applyAlignment="1" applyProtection="1">
      <alignment horizontal="center" vertical="center"/>
    </xf>
    <xf numFmtId="0" fontId="12" fillId="0" borderId="12" xfId="0" applyFont="1" applyFill="1" applyBorder="1" applyAlignment="1" applyProtection="1">
      <alignment horizontal="center" vertical="center" wrapText="1"/>
    </xf>
    <xf numFmtId="0" fontId="12" fillId="0" borderId="0" xfId="0" applyFont="1" applyFill="1" applyBorder="1" applyAlignment="1" applyProtection="1">
      <alignment horizontal="center" vertical="center" wrapText="1"/>
    </xf>
    <xf numFmtId="0" fontId="13" fillId="0" borderId="16" xfId="0" applyFont="1" applyBorder="1" applyAlignment="1" applyProtection="1">
      <alignment horizontal="center" vertical="center"/>
    </xf>
    <xf numFmtId="0" fontId="66" fillId="2" borderId="12" xfId="3" applyFont="1" applyFill="1" applyBorder="1" applyAlignment="1" applyProtection="1">
      <alignment horizontal="left" vertical="center" wrapText="1"/>
    </xf>
    <xf numFmtId="0" fontId="66" fillId="2" borderId="0" xfId="3" applyFont="1" applyFill="1" applyBorder="1" applyAlignment="1" applyProtection="1">
      <alignment horizontal="left" vertical="center" wrapText="1"/>
    </xf>
    <xf numFmtId="0" fontId="66" fillId="0" borderId="12" xfId="3" applyFont="1" applyBorder="1" applyAlignment="1" applyProtection="1">
      <alignment horizontal="left" vertical="center" wrapText="1"/>
    </xf>
    <xf numFmtId="0" fontId="66" fillId="0" borderId="0" xfId="3" applyFont="1" applyAlignment="1" applyProtection="1">
      <alignment horizontal="left" vertical="center" wrapText="1"/>
    </xf>
    <xf numFmtId="5" fontId="8" fillId="4" borderId="11" xfId="3" applyNumberFormat="1" applyFill="1" applyBorder="1" applyAlignment="1" applyProtection="1">
      <alignment horizontal="left" vertical="center" wrapText="1"/>
    </xf>
    <xf numFmtId="0" fontId="8" fillId="4" borderId="16" xfId="3" applyFill="1" applyBorder="1" applyAlignment="1" applyProtection="1">
      <alignment horizontal="left" vertical="center" wrapText="1"/>
    </xf>
    <xf numFmtId="0" fontId="8" fillId="0" borderId="17" xfId="3" applyBorder="1" applyAlignment="1" applyProtection="1">
      <alignment horizontal="left" vertical="center" wrapText="1"/>
    </xf>
    <xf numFmtId="0" fontId="8" fillId="0" borderId="14" xfId="3" applyBorder="1" applyAlignment="1" applyProtection="1">
      <alignment horizontal="left" vertical="center" wrapText="1"/>
    </xf>
    <xf numFmtId="0" fontId="8" fillId="0" borderId="13" xfId="3" applyBorder="1" applyAlignment="1" applyProtection="1">
      <alignment horizontal="left" vertical="center" wrapText="1"/>
    </xf>
    <xf numFmtId="0" fontId="8" fillId="0" borderId="22" xfId="3" applyBorder="1" applyAlignment="1" applyProtection="1">
      <alignment horizontal="left" vertical="center" wrapText="1"/>
    </xf>
    <xf numFmtId="0" fontId="13" fillId="2" borderId="16" xfId="0" applyFont="1" applyFill="1" applyBorder="1" applyAlignment="1">
      <alignment horizontal="left" wrapText="1"/>
    </xf>
    <xf numFmtId="0" fontId="0" fillId="0" borderId="16" xfId="0" applyBorder="1" applyAlignment="1">
      <alignment horizontal="left"/>
    </xf>
    <xf numFmtId="0" fontId="0" fillId="0" borderId="17" xfId="0" applyBorder="1" applyAlignment="1">
      <alignment horizontal="left"/>
    </xf>
    <xf numFmtId="0" fontId="15" fillId="0" borderId="13" xfId="0" applyFont="1" applyBorder="1" applyAlignment="1">
      <alignment horizontal="center" vertical="center" wrapText="1"/>
    </xf>
    <xf numFmtId="5" fontId="10" fillId="2" borderId="12" xfId="0" applyNumberFormat="1" applyFont="1" applyFill="1" applyBorder="1" applyAlignment="1" applyProtection="1">
      <alignment horizontal="left" vertical="center" wrapText="1"/>
    </xf>
    <xf numFmtId="5" fontId="10" fillId="2" borderId="0" xfId="0" applyNumberFormat="1" applyFont="1" applyFill="1" applyBorder="1" applyAlignment="1" applyProtection="1">
      <alignment horizontal="left" vertical="center" wrapText="1"/>
    </xf>
    <xf numFmtId="0" fontId="11" fillId="2" borderId="0" xfId="0" applyFont="1" applyFill="1" applyAlignment="1" applyProtection="1">
      <alignment horizontal="left" vertical="center" wrapText="1"/>
    </xf>
    <xf numFmtId="3" fontId="0" fillId="6" borderId="11" xfId="0" applyNumberFormat="1" applyFill="1" applyBorder="1" applyAlignment="1" applyProtection="1">
      <alignment horizontal="center" vertical="center"/>
    </xf>
    <xf numFmtId="3" fontId="0" fillId="6" borderId="17" xfId="0" applyNumberFormat="1" applyFill="1" applyBorder="1" applyAlignment="1" applyProtection="1">
      <alignment horizontal="center" vertical="center"/>
    </xf>
    <xf numFmtId="3" fontId="0" fillId="6" borderId="12" xfId="0" applyNumberFormat="1" applyFill="1" applyBorder="1" applyAlignment="1" applyProtection="1">
      <alignment horizontal="center" vertical="center"/>
    </xf>
    <xf numFmtId="3" fontId="0" fillId="6" borderId="15" xfId="0" applyNumberFormat="1" applyFill="1" applyBorder="1" applyAlignment="1" applyProtection="1">
      <alignment horizontal="center" vertical="center"/>
    </xf>
    <xf numFmtId="3" fontId="0" fillId="6" borderId="14" xfId="0" applyNumberFormat="1" applyFill="1" applyBorder="1" applyAlignment="1" applyProtection="1">
      <alignment horizontal="center" vertical="center"/>
    </xf>
    <xf numFmtId="3" fontId="0" fillId="6" borderId="22" xfId="0" applyNumberFormat="1" applyFill="1" applyBorder="1" applyAlignment="1" applyProtection="1">
      <alignment horizontal="center" vertical="center"/>
    </xf>
    <xf numFmtId="1" fontId="10" fillId="6" borderId="11" xfId="0" applyNumberFormat="1" applyFont="1" applyFill="1" applyBorder="1" applyAlignment="1" applyProtection="1">
      <alignment horizontal="center" vertical="center"/>
    </xf>
    <xf numFmtId="1" fontId="10" fillId="6" borderId="16" xfId="0" applyNumberFormat="1" applyFont="1" applyFill="1" applyBorder="1" applyAlignment="1" applyProtection="1">
      <alignment horizontal="center" vertical="center"/>
    </xf>
    <xf numFmtId="1" fontId="10" fillId="6" borderId="17" xfId="0" applyNumberFormat="1" applyFont="1" applyFill="1" applyBorder="1" applyAlignment="1" applyProtection="1">
      <alignment horizontal="center" vertical="center"/>
    </xf>
    <xf numFmtId="0" fontId="68" fillId="6" borderId="14" xfId="0" applyFont="1" applyFill="1" applyBorder="1" applyAlignment="1" applyProtection="1">
      <alignment horizontal="center" vertical="center" textRotation="180"/>
    </xf>
    <xf numFmtId="0" fontId="68" fillId="6" borderId="22" xfId="0" applyFont="1" applyFill="1" applyBorder="1" applyAlignment="1" applyProtection="1">
      <alignment horizontal="center" vertical="center" textRotation="180"/>
    </xf>
    <xf numFmtId="49" fontId="0" fillId="3" borderId="2" xfId="0" applyNumberFormat="1" applyFill="1" applyBorder="1" applyAlignment="1" applyProtection="1">
      <alignment horizontal="left" vertical="center"/>
      <protection locked="0"/>
    </xf>
    <xf numFmtId="49" fontId="0" fillId="3" borderId="6" xfId="0" applyNumberFormat="1" applyFill="1" applyBorder="1" applyAlignment="1" applyProtection="1">
      <alignment horizontal="left" vertical="center"/>
      <protection locked="0"/>
    </xf>
    <xf numFmtId="49" fontId="0" fillId="3" borderId="18" xfId="0" applyNumberFormat="1" applyFill="1" applyBorder="1" applyAlignment="1" applyProtection="1">
      <alignment horizontal="left" vertical="center"/>
      <protection locked="0"/>
    </xf>
    <xf numFmtId="0" fontId="0" fillId="0" borderId="0" xfId="0" applyFill="1" applyBorder="1" applyAlignment="1" applyProtection="1">
      <alignment horizontal="left" vertical="center" wrapText="1"/>
    </xf>
    <xf numFmtId="167" fontId="0" fillId="3" borderId="2" xfId="0" applyNumberFormat="1" applyFill="1" applyBorder="1" applyAlignment="1" applyProtection="1">
      <alignment horizontal="right" vertical="center"/>
      <protection locked="0"/>
    </xf>
    <xf numFmtId="167" fontId="0" fillId="3" borderId="18" xfId="0" applyNumberFormat="1" applyFill="1" applyBorder="1" applyAlignment="1" applyProtection="1">
      <alignment horizontal="right" vertical="center"/>
      <protection locked="0"/>
    </xf>
    <xf numFmtId="0" fontId="51" fillId="2" borderId="0" xfId="3" applyFont="1" applyFill="1" applyAlignment="1" applyProtection="1">
      <alignment horizontal="left" vertical="center" wrapText="1"/>
    </xf>
    <xf numFmtId="0" fontId="51" fillId="0" borderId="0" xfId="3" applyFont="1" applyAlignment="1" applyProtection="1">
      <alignment horizontal="left" vertical="center" wrapText="1"/>
    </xf>
    <xf numFmtId="0" fontId="6" fillId="3" borderId="13" xfId="0" applyFont="1" applyFill="1" applyBorder="1" applyAlignment="1" applyProtection="1">
      <alignment horizontal="right" vertical="center" wrapText="1"/>
    </xf>
    <xf numFmtId="0" fontId="0" fillId="0" borderId="13" xfId="0" applyBorder="1" applyAlignment="1">
      <alignment horizontal="right" vertical="center" wrapText="1"/>
    </xf>
    <xf numFmtId="0" fontId="0" fillId="0" borderId="0" xfId="0" applyAlignment="1" applyProtection="1">
      <alignment horizontal="center" vertical="center" wrapText="1"/>
    </xf>
    <xf numFmtId="0" fontId="6" fillId="3" borderId="13"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0" fillId="0" borderId="13" xfId="0" applyBorder="1" applyAlignment="1" applyProtection="1">
      <alignment horizontal="left" vertical="center"/>
    </xf>
    <xf numFmtId="0" fontId="6" fillId="3" borderId="13" xfId="0" applyFont="1" applyFill="1" applyBorder="1" applyAlignment="1" applyProtection="1">
      <alignment horizontal="center" vertical="center"/>
    </xf>
    <xf numFmtId="165" fontId="52" fillId="5" borderId="11" xfId="3" applyNumberFormat="1" applyFont="1" applyFill="1" applyBorder="1" applyAlignment="1" applyProtection="1">
      <alignment horizontal="center" vertical="center" wrapText="1"/>
    </xf>
    <xf numFmtId="165" fontId="52" fillId="5" borderId="16" xfId="3" applyNumberFormat="1" applyFont="1" applyFill="1" applyBorder="1" applyAlignment="1" applyProtection="1">
      <alignment horizontal="center" vertical="center" wrapText="1"/>
    </xf>
    <xf numFmtId="0" fontId="52" fillId="0" borderId="16" xfId="3" applyFont="1" applyBorder="1" applyAlignment="1" applyProtection="1">
      <alignment horizontal="center" vertical="center" wrapText="1"/>
    </xf>
    <xf numFmtId="0" fontId="52" fillId="0" borderId="12" xfId="3" applyFont="1" applyBorder="1" applyAlignment="1" applyProtection="1">
      <alignment horizontal="center" vertical="center" wrapText="1"/>
    </xf>
    <xf numFmtId="0" fontId="52" fillId="0" borderId="0" xfId="3" applyFont="1" applyAlignment="1" applyProtection="1">
      <alignment horizontal="center" vertical="center" wrapText="1"/>
    </xf>
    <xf numFmtId="0" fontId="52" fillId="0" borderId="14" xfId="3" applyFont="1" applyBorder="1" applyAlignment="1" applyProtection="1">
      <alignment horizontal="center" vertical="center" wrapText="1"/>
    </xf>
    <xf numFmtId="0" fontId="52" fillId="0" borderId="13" xfId="3" applyFont="1" applyBorder="1" applyAlignment="1" applyProtection="1">
      <alignment horizontal="center" vertical="center" wrapText="1"/>
    </xf>
    <xf numFmtId="0" fontId="0" fillId="4" borderId="0" xfId="0" applyFill="1" applyBorder="1" applyAlignment="1" applyProtection="1">
      <alignment horizontal="left" vertical="center" wrapText="1"/>
    </xf>
    <xf numFmtId="167" fontId="11" fillId="3" borderId="2" xfId="0" applyNumberFormat="1" applyFont="1" applyFill="1" applyBorder="1" applyAlignment="1" applyProtection="1">
      <alignment horizontal="right" vertical="center" wrapText="1"/>
    </xf>
    <xf numFmtId="167" fontId="0" fillId="3" borderId="18" xfId="0" applyNumberFormat="1" applyFill="1" applyBorder="1" applyAlignment="1" applyProtection="1">
      <alignment horizontal="right" vertical="center" wrapText="1"/>
    </xf>
    <xf numFmtId="167" fontId="9" fillId="3" borderId="2" xfId="0" applyNumberFormat="1" applyFont="1" applyFill="1" applyBorder="1" applyAlignment="1" applyProtection="1">
      <alignment horizontal="right" vertical="center" wrapText="1"/>
      <protection locked="0"/>
    </xf>
    <xf numFmtId="167" fontId="9" fillId="3" borderId="6" xfId="0" applyNumberFormat="1" applyFont="1" applyFill="1" applyBorder="1" applyAlignment="1" applyProtection="1">
      <alignment horizontal="right" vertical="center" wrapText="1"/>
      <protection locked="0"/>
    </xf>
    <xf numFmtId="166" fontId="9" fillId="3" borderId="2" xfId="0" applyNumberFormat="1" applyFont="1" applyFill="1" applyBorder="1" applyAlignment="1" applyProtection="1">
      <alignment horizontal="right" vertical="center" wrapText="1"/>
      <protection locked="0"/>
    </xf>
    <xf numFmtId="166" fontId="9" fillId="3" borderId="18" xfId="0" applyNumberFormat="1" applyFont="1" applyFill="1" applyBorder="1" applyAlignment="1" applyProtection="1">
      <alignment horizontal="right" vertical="center" wrapText="1"/>
      <protection locked="0"/>
    </xf>
    <xf numFmtId="167" fontId="11" fillId="3" borderId="2" xfId="0" applyNumberFormat="1" applyFont="1" applyFill="1" applyBorder="1" applyAlignment="1" applyProtection="1">
      <alignment horizontal="right" vertical="center"/>
      <protection locked="0"/>
    </xf>
    <xf numFmtId="3" fontId="10" fillId="5" borderId="0" xfId="0" applyNumberFormat="1" applyFont="1" applyFill="1" applyBorder="1" applyAlignment="1" applyProtection="1">
      <alignment vertical="center"/>
    </xf>
    <xf numFmtId="0" fontId="0" fillId="0" borderId="0" xfId="0" applyBorder="1" applyAlignment="1" applyProtection="1">
      <alignment vertical="center"/>
    </xf>
    <xf numFmtId="167" fontId="22" fillId="5" borderId="0" xfId="0" applyNumberFormat="1" applyFont="1" applyFill="1" applyBorder="1" applyAlignment="1" applyProtection="1">
      <alignment vertical="center"/>
    </xf>
    <xf numFmtId="0" fontId="22" fillId="0" borderId="0" xfId="0" applyFont="1" applyBorder="1" applyAlignment="1" applyProtection="1">
      <alignment vertical="center"/>
    </xf>
    <xf numFmtId="0" fontId="8" fillId="2" borderId="6" xfId="3" applyFont="1" applyFill="1" applyBorder="1" applyAlignment="1" applyProtection="1">
      <alignment vertical="center" wrapText="1"/>
    </xf>
    <xf numFmtId="167" fontId="9" fillId="3" borderId="18" xfId="0" applyNumberFormat="1" applyFont="1" applyFill="1" applyBorder="1" applyAlignment="1" applyProtection="1">
      <alignment horizontal="right" vertical="center" wrapText="1"/>
      <protection locked="0"/>
    </xf>
    <xf numFmtId="0" fontId="0" fillId="0" borderId="0" xfId="0" applyAlignment="1">
      <alignment wrapText="1"/>
    </xf>
    <xf numFmtId="166" fontId="11" fillId="0" borderId="2" xfId="0" applyNumberFormat="1" applyFont="1" applyFill="1" applyBorder="1" applyAlignment="1" applyProtection="1">
      <alignment horizontal="right" vertical="center"/>
      <protection locked="0"/>
    </xf>
    <xf numFmtId="166" fontId="0" fillId="0" borderId="18" xfId="0" applyNumberFormat="1" applyBorder="1" applyAlignment="1" applyProtection="1">
      <alignment horizontal="right" vertical="center"/>
      <protection locked="0"/>
    </xf>
    <xf numFmtId="3" fontId="10" fillId="6" borderId="0" xfId="0" applyNumberFormat="1" applyFont="1" applyFill="1" applyBorder="1" applyAlignment="1" applyProtection="1">
      <alignment vertical="center"/>
    </xf>
    <xf numFmtId="0" fontId="0" fillId="2" borderId="0" xfId="0" applyFill="1" applyBorder="1" applyAlignment="1" applyProtection="1">
      <alignment vertical="center"/>
    </xf>
    <xf numFmtId="0" fontId="0" fillId="0" borderId="0" xfId="0" applyAlignment="1" applyProtection="1">
      <alignment vertical="center"/>
    </xf>
    <xf numFmtId="0" fontId="0" fillId="0" borderId="0" xfId="0" applyAlignment="1" applyProtection="1"/>
    <xf numFmtId="0" fontId="0" fillId="0" borderId="0" xfId="0" applyAlignment="1"/>
    <xf numFmtId="166" fontId="11" fillId="0" borderId="3" xfId="0" applyNumberFormat="1" applyFont="1" applyFill="1" applyBorder="1" applyAlignment="1" applyProtection="1">
      <alignment horizontal="right" vertical="center"/>
      <protection locked="0"/>
    </xf>
    <xf numFmtId="166" fontId="0" fillId="0" borderId="3" xfId="0" applyNumberFormat="1" applyBorder="1" applyAlignment="1" applyProtection="1">
      <alignment horizontal="right" vertical="center"/>
      <protection locked="0"/>
    </xf>
    <xf numFmtId="1" fontId="22" fillId="5" borderId="0" xfId="0" applyNumberFormat="1" applyFont="1" applyFill="1" applyBorder="1" applyAlignment="1" applyProtection="1">
      <alignment vertical="center"/>
    </xf>
    <xf numFmtId="1" fontId="22" fillId="0" borderId="15" xfId="0" applyNumberFormat="1" applyFont="1" applyBorder="1" applyAlignment="1" applyProtection="1">
      <alignment vertical="center"/>
    </xf>
    <xf numFmtId="1" fontId="22" fillId="0" borderId="0" xfId="0" applyNumberFormat="1" applyFont="1" applyBorder="1" applyAlignment="1" applyProtection="1">
      <alignment vertical="center"/>
    </xf>
    <xf numFmtId="166" fontId="9" fillId="3" borderId="6" xfId="0" applyNumberFormat="1" applyFont="1" applyFill="1" applyBorder="1" applyAlignment="1" applyProtection="1">
      <alignment horizontal="right" vertical="center" wrapText="1"/>
      <protection locked="0"/>
    </xf>
    <xf numFmtId="0" fontId="0" fillId="0" borderId="13" xfId="0" applyBorder="1" applyAlignment="1" applyProtection="1">
      <alignment vertical="center"/>
    </xf>
    <xf numFmtId="0" fontId="0" fillId="0" borderId="13" xfId="0" applyBorder="1" applyAlignment="1"/>
    <xf numFmtId="3" fontId="22" fillId="6" borderId="0" xfId="0" applyNumberFormat="1" applyFont="1" applyFill="1" applyBorder="1" applyAlignment="1" applyProtection="1">
      <alignment vertical="center"/>
    </xf>
    <xf numFmtId="0" fontId="22" fillId="2" borderId="15" xfId="0" applyFont="1" applyFill="1" applyBorder="1" applyAlignment="1" applyProtection="1">
      <alignment vertical="center"/>
    </xf>
    <xf numFmtId="0" fontId="22" fillId="2" borderId="0" xfId="0" applyFont="1" applyFill="1" applyBorder="1" applyAlignment="1" applyProtection="1">
      <alignment vertical="center"/>
    </xf>
    <xf numFmtId="0" fontId="22" fillId="0" borderId="15" xfId="0" applyFont="1" applyBorder="1" applyAlignment="1" applyProtection="1">
      <alignment vertical="center"/>
    </xf>
    <xf numFmtId="3" fontId="10" fillId="5" borderId="13" xfId="0" applyNumberFormat="1" applyFont="1" applyFill="1" applyBorder="1" applyAlignment="1" applyProtection="1">
      <alignment vertical="center"/>
    </xf>
    <xf numFmtId="0" fontId="6" fillId="3" borderId="0" xfId="0" applyFont="1" applyFill="1" applyBorder="1" applyAlignment="1" applyProtection="1">
      <alignment vertical="center" wrapText="1"/>
    </xf>
    <xf numFmtId="170" fontId="52" fillId="2" borderId="0" xfId="3" applyNumberFormat="1" applyFont="1" applyFill="1" applyBorder="1" applyAlignment="1" applyProtection="1">
      <alignment horizontal="center" vertical="center" wrapText="1"/>
    </xf>
    <xf numFmtId="0" fontId="11" fillId="14" borderId="68" xfId="0" applyFont="1" applyFill="1" applyBorder="1" applyAlignment="1" applyProtection="1">
      <alignment horizontal="left" vertical="center" wrapText="1"/>
    </xf>
    <xf numFmtId="0" fontId="11" fillId="14" borderId="69" xfId="0" applyFont="1" applyFill="1" applyBorder="1" applyAlignment="1" applyProtection="1">
      <alignment horizontal="left" vertical="center" wrapText="1"/>
    </xf>
    <xf numFmtId="0" fontId="11" fillId="14" borderId="70" xfId="0" applyFont="1" applyFill="1" applyBorder="1" applyAlignment="1" applyProtection="1">
      <alignment horizontal="left" vertical="center" wrapText="1"/>
    </xf>
    <xf numFmtId="0" fontId="11" fillId="14" borderId="47" xfId="0" applyFont="1" applyFill="1" applyBorder="1" applyAlignment="1" applyProtection="1">
      <alignment horizontal="left" vertical="top" wrapText="1"/>
      <protection locked="0"/>
    </xf>
    <xf numFmtId="0" fontId="0" fillId="14" borderId="0" xfId="0" applyFill="1" applyBorder="1" applyAlignment="1" applyProtection="1">
      <alignment horizontal="left" vertical="top" wrapText="1"/>
      <protection locked="0"/>
    </xf>
    <xf numFmtId="0" fontId="0" fillId="2" borderId="26" xfId="0" applyFill="1" applyBorder="1" applyAlignment="1" applyProtection="1">
      <alignment horizontal="left" vertical="top" wrapText="1"/>
      <protection locked="0"/>
    </xf>
    <xf numFmtId="0" fontId="0" fillId="2" borderId="71" xfId="0" applyFill="1" applyBorder="1" applyAlignment="1" applyProtection="1">
      <alignment horizontal="left" vertical="top" wrapText="1"/>
      <protection locked="0"/>
    </xf>
    <xf numFmtId="0" fontId="0" fillId="2" borderId="58" xfId="0" applyFill="1" applyBorder="1" applyAlignment="1" applyProtection="1">
      <alignment horizontal="left" vertical="top" wrapText="1"/>
      <protection locked="0"/>
    </xf>
    <xf numFmtId="0" fontId="0" fillId="2" borderId="27" xfId="0" applyFill="1" applyBorder="1" applyAlignment="1" applyProtection="1">
      <alignment horizontal="left" vertical="top" wrapText="1"/>
      <protection locked="0"/>
    </xf>
    <xf numFmtId="0" fontId="72" fillId="15" borderId="31" xfId="0" applyFont="1" applyFill="1" applyBorder="1" applyAlignment="1" applyProtection="1">
      <alignment horizontal="left" vertical="center"/>
    </xf>
    <xf numFmtId="0" fontId="72" fillId="15" borderId="40" xfId="0" applyFont="1" applyFill="1" applyBorder="1" applyAlignment="1" applyProtection="1">
      <alignment horizontal="left" vertical="center"/>
    </xf>
    <xf numFmtId="0" fontId="72" fillId="15" borderId="41" xfId="0" applyFont="1" applyFill="1" applyBorder="1" applyAlignment="1" applyProtection="1">
      <alignment horizontal="left" vertical="center"/>
    </xf>
    <xf numFmtId="0" fontId="0" fillId="2" borderId="47" xfId="0" applyFill="1" applyBorder="1" applyAlignment="1" applyProtection="1">
      <alignment horizontal="left" vertical="top" wrapText="1"/>
      <protection locked="0"/>
    </xf>
    <xf numFmtId="0" fontId="0" fillId="14" borderId="26" xfId="0" applyFill="1" applyBorder="1" applyAlignment="1" applyProtection="1">
      <alignment horizontal="left" vertical="top" wrapText="1"/>
      <protection locked="0"/>
    </xf>
    <xf numFmtId="0" fontId="11" fillId="14" borderId="45" xfId="0" applyFont="1" applyFill="1" applyBorder="1" applyAlignment="1" applyProtection="1">
      <alignment horizontal="left" vertical="center" wrapText="1"/>
    </xf>
    <xf numFmtId="0" fontId="0" fillId="14" borderId="6" xfId="0" applyFill="1" applyBorder="1" applyAlignment="1" applyProtection="1">
      <alignment horizontal="left" vertical="center" wrapText="1"/>
    </xf>
    <xf numFmtId="0" fontId="0" fillId="14" borderId="2" xfId="0" applyFill="1" applyBorder="1" applyAlignment="1" applyProtection="1">
      <alignment horizontal="center" vertical="center" wrapText="1"/>
      <protection locked="0"/>
    </xf>
    <xf numFmtId="0" fontId="0" fillId="14" borderId="6" xfId="0" applyFill="1" applyBorder="1" applyAlignment="1" applyProtection="1">
      <alignment horizontal="center" vertical="center" wrapText="1"/>
      <protection locked="0"/>
    </xf>
    <xf numFmtId="0" fontId="0" fillId="14" borderId="46" xfId="0" applyFill="1" applyBorder="1" applyAlignment="1" applyProtection="1">
      <alignment horizontal="center" vertical="center" wrapText="1"/>
      <protection locked="0"/>
    </xf>
    <xf numFmtId="0" fontId="11" fillId="0" borderId="68" xfId="0" applyFont="1" applyFill="1" applyBorder="1" applyAlignment="1" applyProtection="1">
      <alignment vertical="center" wrapText="1"/>
    </xf>
    <xf numFmtId="0" fontId="11" fillId="0" borderId="69" xfId="0" applyFont="1" applyFill="1" applyBorder="1" applyAlignment="1" applyProtection="1">
      <alignment vertical="center" wrapText="1"/>
    </xf>
    <xf numFmtId="0" fontId="11" fillId="0" borderId="70" xfId="0" applyFont="1" applyFill="1" applyBorder="1" applyAlignment="1" applyProtection="1">
      <alignment vertical="center" wrapText="1"/>
    </xf>
    <xf numFmtId="0" fontId="0" fillId="2" borderId="44" xfId="0" applyFill="1" applyBorder="1" applyAlignment="1" applyProtection="1">
      <alignment horizontal="left" vertical="top" wrapText="1"/>
      <protection locked="0"/>
    </xf>
    <xf numFmtId="0" fontId="0" fillId="2" borderId="13" xfId="0" applyFill="1" applyBorder="1" applyAlignment="1" applyProtection="1">
      <alignment horizontal="left" vertical="top" wrapText="1"/>
      <protection locked="0"/>
    </xf>
    <xf numFmtId="0" fontId="0" fillId="2" borderId="48" xfId="0" applyFill="1" applyBorder="1" applyAlignment="1" applyProtection="1">
      <alignment horizontal="left" vertical="top" wrapText="1"/>
      <protection locked="0"/>
    </xf>
    <xf numFmtId="0" fontId="11" fillId="14" borderId="68" xfId="0" applyFont="1" applyFill="1" applyBorder="1" applyAlignment="1" applyProtection="1">
      <alignment vertical="center"/>
    </xf>
    <xf numFmtId="0" fontId="11" fillId="14" borderId="69" xfId="0" applyFont="1" applyFill="1" applyBorder="1" applyAlignment="1" applyProtection="1">
      <alignment vertical="center"/>
    </xf>
    <xf numFmtId="0" fontId="11" fillId="14" borderId="70" xfId="0" applyFont="1" applyFill="1" applyBorder="1" applyAlignment="1" applyProtection="1">
      <alignment vertical="center"/>
    </xf>
    <xf numFmtId="0" fontId="11" fillId="14" borderId="0" xfId="0" applyFont="1" applyFill="1" applyBorder="1" applyAlignment="1" applyProtection="1">
      <alignment horizontal="left" vertical="top" wrapText="1"/>
      <protection locked="0"/>
    </xf>
    <xf numFmtId="0" fontId="11" fillId="14" borderId="26" xfId="0" applyFont="1" applyFill="1" applyBorder="1" applyAlignment="1" applyProtection="1">
      <alignment horizontal="left" vertical="top" wrapText="1"/>
      <protection locked="0"/>
    </xf>
    <xf numFmtId="0" fontId="11" fillId="14" borderId="71" xfId="0" applyFont="1" applyFill="1" applyBorder="1" applyAlignment="1" applyProtection="1">
      <alignment horizontal="left" vertical="top" wrapText="1"/>
      <protection locked="0"/>
    </xf>
    <xf numFmtId="0" fontId="11" fillId="14" borderId="58" xfId="0" applyFont="1" applyFill="1" applyBorder="1" applyAlignment="1" applyProtection="1">
      <alignment horizontal="left" vertical="top" wrapText="1"/>
      <protection locked="0"/>
    </xf>
    <xf numFmtId="0" fontId="11" fillId="14" borderId="27" xfId="0" applyFont="1" applyFill="1" applyBorder="1" applyAlignment="1" applyProtection="1">
      <alignment horizontal="left" vertical="top" wrapText="1"/>
      <protection locked="0"/>
    </xf>
    <xf numFmtId="0" fontId="6" fillId="15" borderId="31" xfId="0" applyFont="1" applyFill="1" applyBorder="1" applyAlignment="1" applyProtection="1">
      <alignment horizontal="left" vertical="center" wrapText="1"/>
    </xf>
    <xf numFmtId="0" fontId="6" fillId="15" borderId="40" xfId="0" applyFont="1" applyFill="1" applyBorder="1" applyAlignment="1" applyProtection="1">
      <alignment horizontal="left" vertical="center" wrapText="1"/>
    </xf>
    <xf numFmtId="0" fontId="6" fillId="15" borderId="41" xfId="0" applyFont="1" applyFill="1" applyBorder="1" applyAlignment="1" applyProtection="1">
      <alignment horizontal="left" vertical="center" wrapText="1"/>
    </xf>
    <xf numFmtId="0" fontId="11" fillId="14" borderId="42" xfId="0" applyFont="1" applyFill="1" applyBorder="1" applyAlignment="1" applyProtection="1">
      <alignment horizontal="left" vertical="center" wrapText="1"/>
    </xf>
    <xf numFmtId="0" fontId="11" fillId="14" borderId="16" xfId="0" applyFont="1" applyFill="1" applyBorder="1" applyAlignment="1" applyProtection="1">
      <alignment horizontal="left" vertical="center" wrapText="1"/>
    </xf>
    <xf numFmtId="0" fontId="11" fillId="14" borderId="17" xfId="0" applyFont="1" applyFill="1" applyBorder="1" applyAlignment="1" applyProtection="1">
      <alignment horizontal="left" vertical="center" wrapText="1"/>
    </xf>
    <xf numFmtId="0" fontId="11" fillId="14" borderId="2" xfId="0" applyFont="1" applyFill="1" applyBorder="1" applyAlignment="1" applyProtection="1">
      <alignment horizontal="center" vertical="center" wrapText="1"/>
      <protection locked="0"/>
    </xf>
    <xf numFmtId="0" fontId="11" fillId="14" borderId="6" xfId="0" applyFont="1" applyFill="1" applyBorder="1" applyAlignment="1" applyProtection="1">
      <alignment horizontal="center" vertical="center" wrapText="1"/>
      <protection locked="0"/>
    </xf>
    <xf numFmtId="0" fontId="11" fillId="14" borderId="46" xfId="0" applyFont="1" applyFill="1" applyBorder="1" applyAlignment="1" applyProtection="1">
      <alignment horizontal="center" vertical="center" wrapText="1"/>
      <protection locked="0"/>
    </xf>
    <xf numFmtId="0" fontId="6" fillId="15" borderId="65" xfId="0" applyFont="1" applyFill="1" applyBorder="1" applyAlignment="1" applyProtection="1">
      <alignment vertical="center" wrapText="1"/>
    </xf>
    <xf numFmtId="0" fontId="6" fillId="15" borderId="66" xfId="0" applyFont="1" applyFill="1" applyBorder="1" applyAlignment="1" applyProtection="1">
      <alignment vertical="center" wrapText="1"/>
    </xf>
    <xf numFmtId="0" fontId="6" fillId="15" borderId="67" xfId="0" applyFont="1" applyFill="1" applyBorder="1" applyAlignment="1" applyProtection="1">
      <alignment vertical="center" wrapText="1"/>
    </xf>
    <xf numFmtId="0" fontId="11" fillId="14" borderId="6" xfId="0" applyFont="1" applyFill="1" applyBorder="1" applyAlignment="1" applyProtection="1">
      <alignment horizontal="left" vertical="center" wrapText="1"/>
    </xf>
    <xf numFmtId="0" fontId="11" fillId="14" borderId="18" xfId="0" applyFont="1" applyFill="1" applyBorder="1" applyAlignment="1" applyProtection="1">
      <alignment horizontal="left" vertical="center" wrapText="1"/>
    </xf>
    <xf numFmtId="0" fontId="11" fillId="14" borderId="68" xfId="0" applyFont="1" applyFill="1" applyBorder="1" applyAlignment="1" applyProtection="1">
      <alignment vertical="center" wrapText="1"/>
    </xf>
    <xf numFmtId="0" fontId="11" fillId="14" borderId="69" xfId="0" applyFont="1" applyFill="1" applyBorder="1" applyAlignment="1" applyProtection="1">
      <alignment vertical="center" wrapText="1"/>
    </xf>
    <xf numFmtId="0" fontId="11" fillId="14" borderId="70" xfId="0" applyFont="1" applyFill="1" applyBorder="1" applyAlignment="1" applyProtection="1">
      <alignment vertical="center" wrapText="1"/>
    </xf>
    <xf numFmtId="0" fontId="0" fillId="14" borderId="44" xfId="0" applyFill="1" applyBorder="1" applyAlignment="1" applyProtection="1">
      <alignment horizontal="left" vertical="top" wrapText="1"/>
      <protection locked="0"/>
    </xf>
    <xf numFmtId="0" fontId="0" fillId="14" borderId="13" xfId="0" applyFill="1" applyBorder="1" applyAlignment="1" applyProtection="1">
      <alignment horizontal="left" vertical="top" wrapText="1"/>
      <protection locked="0"/>
    </xf>
    <xf numFmtId="0" fontId="0" fillId="14" borderId="48" xfId="0" applyFill="1" applyBorder="1" applyAlignment="1" applyProtection="1">
      <alignment horizontal="left" vertical="top" wrapText="1"/>
      <protection locked="0"/>
    </xf>
    <xf numFmtId="0" fontId="9" fillId="14" borderId="2" xfId="0" applyFont="1" applyFill="1" applyBorder="1" applyAlignment="1" applyProtection="1">
      <alignment horizontal="center" vertical="center" wrapText="1"/>
    </xf>
    <xf numFmtId="0" fontId="9" fillId="14" borderId="6" xfId="0" applyFont="1" applyFill="1" applyBorder="1" applyAlignment="1" applyProtection="1">
      <alignment horizontal="center" vertical="center" wrapText="1"/>
    </xf>
    <xf numFmtId="0" fontId="9" fillId="14" borderId="18" xfId="0" applyFont="1" applyFill="1" applyBorder="1" applyAlignment="1" applyProtection="1">
      <alignment horizontal="center" vertical="center" wrapText="1"/>
    </xf>
    <xf numFmtId="0" fontId="72" fillId="15" borderId="49" xfId="0" applyFont="1" applyFill="1" applyBorder="1" applyAlignment="1" applyProtection="1">
      <alignment horizontal="left" vertical="center" wrapText="1"/>
    </xf>
    <xf numFmtId="0" fontId="72" fillId="15" borderId="3" xfId="0" applyFont="1" applyFill="1" applyBorder="1" applyAlignment="1" applyProtection="1">
      <alignment horizontal="left" vertical="center" wrapText="1"/>
    </xf>
    <xf numFmtId="0" fontId="72" fillId="15" borderId="28" xfId="0" applyFont="1" applyFill="1" applyBorder="1" applyAlignment="1" applyProtection="1">
      <alignment horizontal="left" vertical="center" wrapText="1"/>
    </xf>
    <xf numFmtId="0" fontId="72" fillId="15" borderId="32" xfId="0" applyFont="1" applyFill="1" applyBorder="1" applyAlignment="1" applyProtection="1">
      <alignment horizontal="center" vertical="center" wrapText="1"/>
    </xf>
    <xf numFmtId="0" fontId="72" fillId="15" borderId="30" xfId="0" applyFont="1" applyFill="1" applyBorder="1" applyAlignment="1" applyProtection="1">
      <alignment horizontal="center" vertical="center" wrapText="1"/>
    </xf>
    <xf numFmtId="0" fontId="72" fillId="15" borderId="22" xfId="0" applyFont="1" applyFill="1" applyBorder="1" applyAlignment="1" applyProtection="1">
      <alignment horizontal="center" vertical="center" wrapText="1"/>
    </xf>
    <xf numFmtId="0" fontId="72" fillId="15" borderId="62" xfId="0" applyFont="1" applyFill="1" applyBorder="1" applyAlignment="1" applyProtection="1">
      <alignment horizontal="center" vertical="center" wrapText="1"/>
    </xf>
    <xf numFmtId="0" fontId="11" fillId="2" borderId="63" xfId="0" applyFont="1" applyFill="1" applyBorder="1" applyAlignment="1" applyProtection="1">
      <alignment horizontal="left" vertical="center" wrapText="1"/>
      <protection locked="0"/>
    </xf>
    <xf numFmtId="0" fontId="11" fillId="2" borderId="55" xfId="0" applyFont="1" applyFill="1" applyBorder="1" applyAlignment="1" applyProtection="1">
      <alignment horizontal="left" vertical="center" wrapText="1"/>
      <protection locked="0"/>
    </xf>
    <xf numFmtId="0" fontId="11" fillId="2" borderId="56" xfId="0" applyFont="1" applyFill="1" applyBorder="1" applyAlignment="1" applyProtection="1">
      <alignment horizontal="left" vertical="center" wrapText="1"/>
      <protection locked="0"/>
    </xf>
    <xf numFmtId="0" fontId="11" fillId="2" borderId="51" xfId="0" applyFont="1" applyFill="1" applyBorder="1" applyAlignment="1" applyProtection="1">
      <alignment horizontal="left" vertical="center" wrapText="1"/>
      <protection locked="0"/>
    </xf>
    <xf numFmtId="0" fontId="11" fillId="2" borderId="57" xfId="0" applyFont="1" applyFill="1" applyBorder="1" applyAlignment="1" applyProtection="1">
      <alignment horizontal="left" vertical="center" wrapText="1"/>
      <protection locked="0"/>
    </xf>
    <xf numFmtId="0" fontId="0" fillId="2" borderId="55" xfId="0" applyFill="1" applyBorder="1" applyAlignment="1" applyProtection="1">
      <alignment horizontal="left" vertical="center"/>
      <protection locked="0"/>
    </xf>
    <xf numFmtId="0" fontId="0" fillId="2" borderId="64" xfId="0" applyFill="1" applyBorder="1" applyAlignment="1" applyProtection="1">
      <alignment horizontal="left" vertical="center"/>
      <protection locked="0"/>
    </xf>
    <xf numFmtId="0" fontId="8" fillId="15" borderId="60" xfId="3" applyFill="1" applyBorder="1" applyAlignment="1" applyProtection="1">
      <alignment horizontal="center" vertical="center" wrapText="1"/>
    </xf>
    <xf numFmtId="0" fontId="8" fillId="15" borderId="61" xfId="3" applyFill="1" applyBorder="1" applyAlignment="1" applyProtection="1">
      <alignment horizontal="center" vertical="center" wrapText="1"/>
    </xf>
    <xf numFmtId="0" fontId="11" fillId="14" borderId="42" xfId="0" applyFont="1" applyFill="1" applyBorder="1" applyAlignment="1" applyProtection="1">
      <alignment horizontal="left" vertical="top" wrapText="1"/>
      <protection locked="0"/>
    </xf>
    <xf numFmtId="0" fontId="11" fillId="14" borderId="16" xfId="0" applyFont="1" applyFill="1" applyBorder="1" applyAlignment="1" applyProtection="1">
      <alignment horizontal="left" vertical="top" wrapText="1"/>
      <protection locked="0"/>
    </xf>
    <xf numFmtId="0" fontId="11" fillId="14" borderId="17" xfId="0" applyFont="1" applyFill="1" applyBorder="1" applyAlignment="1" applyProtection="1">
      <alignment horizontal="left" vertical="top" wrapText="1"/>
      <protection locked="0"/>
    </xf>
    <xf numFmtId="0" fontId="11" fillId="14" borderId="44" xfId="0" applyFont="1" applyFill="1" applyBorder="1" applyAlignment="1" applyProtection="1">
      <alignment horizontal="left" vertical="top" wrapText="1"/>
      <protection locked="0"/>
    </xf>
    <xf numFmtId="0" fontId="11" fillId="14" borderId="13" xfId="0" applyFont="1" applyFill="1" applyBorder="1" applyAlignment="1" applyProtection="1">
      <alignment horizontal="left" vertical="top" wrapText="1"/>
      <protection locked="0"/>
    </xf>
    <xf numFmtId="0" fontId="11" fillId="14" borderId="22" xfId="0" applyFont="1" applyFill="1" applyBorder="1" applyAlignment="1" applyProtection="1">
      <alignment horizontal="left" vertical="top" wrapText="1"/>
      <protection locked="0"/>
    </xf>
    <xf numFmtId="0" fontId="72" fillId="15" borderId="2" xfId="0" applyFont="1" applyFill="1" applyBorder="1" applyAlignment="1" applyProtection="1">
      <alignment horizontal="left" vertical="center"/>
    </xf>
    <xf numFmtId="0" fontId="72" fillId="15" borderId="6" xfId="0" applyFont="1" applyFill="1" applyBorder="1" applyAlignment="1" applyProtection="1">
      <alignment horizontal="left" vertical="center"/>
    </xf>
    <xf numFmtId="0" fontId="72" fillId="15" borderId="18" xfId="0" applyFont="1" applyFill="1" applyBorder="1" applyAlignment="1" applyProtection="1">
      <alignment horizontal="left" vertical="center"/>
    </xf>
    <xf numFmtId="0" fontId="11" fillId="2" borderId="47" xfId="0" applyFont="1" applyFill="1" applyBorder="1" applyAlignment="1" applyProtection="1">
      <alignment horizontal="right" vertical="center" wrapText="1"/>
    </xf>
    <xf numFmtId="0" fontId="11" fillId="2" borderId="0" xfId="0" applyFont="1" applyFill="1" applyBorder="1" applyAlignment="1" applyProtection="1">
      <alignment horizontal="right" vertical="center" wrapText="1"/>
    </xf>
    <xf numFmtId="0" fontId="11" fillId="2" borderId="15" xfId="0" applyFont="1" applyFill="1" applyBorder="1" applyAlignment="1" applyProtection="1">
      <alignment horizontal="right" vertical="center" wrapText="1"/>
    </xf>
    <xf numFmtId="166" fontId="11" fillId="0" borderId="2" xfId="0" applyNumberFormat="1" applyFont="1" applyBorder="1" applyAlignment="1" applyProtection="1">
      <alignment horizontal="left" vertical="center" indent="1"/>
      <protection locked="0"/>
    </xf>
    <xf numFmtId="166" fontId="11" fillId="0" borderId="18" xfId="0" applyNumberFormat="1" applyFont="1" applyBorder="1" applyAlignment="1" applyProtection="1">
      <alignment horizontal="left" vertical="center" indent="1"/>
      <protection locked="0"/>
    </xf>
    <xf numFmtId="0" fontId="11" fillId="2" borderId="53" xfId="0" applyFont="1" applyFill="1" applyBorder="1" applyAlignment="1" applyProtection="1">
      <alignment horizontal="center" vertical="center" wrapText="1"/>
    </xf>
    <xf numFmtId="0" fontId="11" fillId="2" borderId="54" xfId="0" applyFont="1" applyFill="1" applyBorder="1" applyAlignment="1" applyProtection="1">
      <alignment horizontal="center" vertical="center" wrapText="1"/>
    </xf>
    <xf numFmtId="0" fontId="11" fillId="2" borderId="55" xfId="0" applyFont="1" applyFill="1" applyBorder="1" applyAlignment="1" applyProtection="1">
      <alignment horizontal="center" vertical="center" wrapText="1"/>
    </xf>
    <xf numFmtId="3" fontId="11" fillId="2" borderId="55" xfId="0" applyNumberFormat="1" applyFont="1" applyFill="1" applyBorder="1" applyAlignment="1" applyProtection="1">
      <alignment horizontal="center" vertical="center"/>
      <protection locked="0"/>
    </xf>
    <xf numFmtId="3" fontId="0" fillId="2" borderId="55" xfId="0" applyNumberFormat="1" applyFill="1" applyBorder="1" applyAlignment="1" applyProtection="1">
      <alignment horizontal="center" vertical="center"/>
      <protection locked="0"/>
    </xf>
    <xf numFmtId="3" fontId="0" fillId="2" borderId="56" xfId="0" applyNumberFormat="1" applyFill="1" applyBorder="1" applyAlignment="1" applyProtection="1">
      <alignment horizontal="left" vertical="center" indent="1"/>
    </xf>
    <xf numFmtId="3" fontId="0" fillId="2" borderId="57" xfId="0" applyNumberFormat="1" applyFill="1" applyBorder="1" applyAlignment="1" applyProtection="1">
      <alignment horizontal="left" vertical="center" indent="1"/>
    </xf>
    <xf numFmtId="0" fontId="12" fillId="2" borderId="58" xfId="0" applyFont="1" applyFill="1" applyBorder="1" applyAlignment="1" applyProtection="1">
      <alignment horizontal="left" vertical="center" wrapText="1"/>
    </xf>
    <xf numFmtId="0" fontId="72" fillId="15" borderId="59" xfId="0" applyFont="1" applyFill="1" applyBorder="1" applyAlignment="1" applyProtection="1">
      <alignment horizontal="left" vertical="center"/>
    </xf>
    <xf numFmtId="0" fontId="72" fillId="15" borderId="60" xfId="0" applyFont="1" applyFill="1" applyBorder="1" applyAlignment="1" applyProtection="1">
      <alignment horizontal="center" vertical="center" wrapText="1"/>
    </xf>
    <xf numFmtId="0" fontId="72" fillId="15" borderId="13" xfId="0" applyFont="1" applyFill="1" applyBorder="1" applyAlignment="1" applyProtection="1">
      <alignment horizontal="center" vertical="center" wrapText="1"/>
    </xf>
    <xf numFmtId="0" fontId="11" fillId="0" borderId="2" xfId="0" applyNumberFormat="1" applyFont="1" applyBorder="1" applyAlignment="1" applyProtection="1">
      <alignment horizontal="left" vertical="center" indent="1"/>
      <protection locked="0"/>
    </xf>
    <xf numFmtId="0" fontId="11" fillId="0" borderId="6" xfId="0" applyNumberFormat="1" applyFont="1" applyBorder="1" applyAlignment="1" applyProtection="1">
      <alignment horizontal="left" vertical="center" indent="1"/>
      <protection locked="0"/>
    </xf>
    <xf numFmtId="0" fontId="11" fillId="0" borderId="18" xfId="0" applyNumberFormat="1" applyFont="1" applyBorder="1" applyAlignment="1" applyProtection="1">
      <alignment horizontal="left" vertical="center" indent="1"/>
      <protection locked="0"/>
    </xf>
    <xf numFmtId="0" fontId="12" fillId="14" borderId="12" xfId="0" applyFont="1" applyFill="1" applyBorder="1" applyAlignment="1" applyProtection="1">
      <alignment horizontal="left" vertical="center"/>
    </xf>
    <xf numFmtId="0" fontId="12" fillId="14" borderId="0" xfId="0" applyFont="1" applyFill="1" applyBorder="1" applyAlignment="1" applyProtection="1">
      <alignment horizontal="left" vertical="center"/>
    </xf>
    <xf numFmtId="0" fontId="6" fillId="19" borderId="49" xfId="0" applyFont="1" applyFill="1" applyBorder="1" applyAlignment="1" applyProtection="1">
      <alignment horizontal="right" vertical="center" wrapText="1"/>
    </xf>
    <xf numFmtId="0" fontId="6" fillId="19" borderId="3" xfId="0" applyFont="1" applyFill="1" applyBorder="1" applyAlignment="1" applyProtection="1">
      <alignment horizontal="right" vertical="center" wrapText="1"/>
    </xf>
    <xf numFmtId="0" fontId="9" fillId="0" borderId="2" xfId="0" applyNumberFormat="1" applyFont="1" applyBorder="1" applyAlignment="1" applyProtection="1">
      <alignment horizontal="left" vertical="center" indent="1"/>
      <protection locked="0"/>
    </xf>
    <xf numFmtId="0" fontId="9" fillId="0" borderId="6" xfId="0" applyNumberFormat="1" applyFont="1" applyBorder="1" applyAlignment="1" applyProtection="1">
      <alignment horizontal="left" vertical="center" indent="1"/>
      <protection locked="0"/>
    </xf>
    <xf numFmtId="0" fontId="9" fillId="0" borderId="18" xfId="0" applyNumberFormat="1" applyFont="1" applyBorder="1" applyAlignment="1" applyProtection="1">
      <alignment horizontal="left" vertical="center" indent="1"/>
      <protection locked="0"/>
    </xf>
    <xf numFmtId="0" fontId="11" fillId="18" borderId="50" xfId="0" applyFont="1" applyFill="1" applyBorder="1" applyAlignment="1" applyProtection="1">
      <alignment horizontal="center" vertical="center"/>
    </xf>
    <xf numFmtId="0" fontId="0" fillId="18" borderId="51" xfId="0" applyFill="1" applyBorder="1" applyAlignment="1" applyProtection="1">
      <alignment horizontal="center" vertical="center"/>
    </xf>
    <xf numFmtId="0" fontId="0" fillId="18" borderId="52" xfId="0" applyFill="1" applyBorder="1" applyAlignment="1" applyProtection="1">
      <alignment horizontal="center" vertical="center"/>
    </xf>
    <xf numFmtId="5" fontId="11" fillId="14" borderId="47" xfId="0" applyNumberFormat="1" applyFont="1" applyFill="1" applyBorder="1" applyAlignment="1" applyProtection="1">
      <alignment horizontal="right" vertical="center" wrapText="1"/>
    </xf>
    <xf numFmtId="5" fontId="11" fillId="14" borderId="0" xfId="0" applyNumberFormat="1" applyFont="1" applyFill="1" applyBorder="1" applyAlignment="1" applyProtection="1">
      <alignment horizontal="right" vertical="center" wrapText="1"/>
    </xf>
    <xf numFmtId="5" fontId="11" fillId="14" borderId="15" xfId="0" applyNumberFormat="1" applyFont="1" applyFill="1" applyBorder="1" applyAlignment="1" applyProtection="1">
      <alignment horizontal="right" vertical="center" wrapText="1"/>
    </xf>
    <xf numFmtId="0" fontId="24" fillId="2" borderId="3" xfId="3" applyFont="1" applyFill="1" applyBorder="1" applyAlignment="1" applyProtection="1">
      <alignment horizontal="center" vertical="center" wrapText="1"/>
    </xf>
    <xf numFmtId="0" fontId="11" fillId="2" borderId="42" xfId="0" applyFont="1" applyFill="1" applyBorder="1" applyAlignment="1" applyProtection="1">
      <alignment horizontal="right" vertical="center" wrapText="1"/>
    </xf>
    <xf numFmtId="0" fontId="11" fillId="2" borderId="16" xfId="0" applyFont="1" applyFill="1" applyBorder="1" applyAlignment="1" applyProtection="1">
      <alignment horizontal="right" vertical="center" wrapText="1"/>
    </xf>
    <xf numFmtId="0" fontId="11" fillId="2" borderId="17" xfId="0" applyFont="1" applyFill="1" applyBorder="1" applyAlignment="1" applyProtection="1">
      <alignment horizontal="right" vertical="center" wrapText="1"/>
    </xf>
    <xf numFmtId="0" fontId="11" fillId="14" borderId="43" xfId="0" applyFont="1" applyFill="1" applyBorder="1" applyAlignment="1" applyProtection="1">
      <alignment horizontal="left" vertical="top" wrapText="1"/>
      <protection locked="0"/>
    </xf>
    <xf numFmtId="0" fontId="6" fillId="3" borderId="45" xfId="0" applyFont="1" applyFill="1" applyBorder="1" applyAlignment="1" applyProtection="1">
      <alignment horizontal="left" vertical="center"/>
    </xf>
    <xf numFmtId="0" fontId="6" fillId="3" borderId="6" xfId="0" applyFont="1" applyFill="1" applyBorder="1" applyAlignment="1" applyProtection="1">
      <alignment horizontal="left" vertical="center"/>
    </xf>
    <xf numFmtId="0" fontId="72" fillId="3" borderId="6" xfId="0" applyFont="1" applyFill="1" applyBorder="1" applyAlignment="1" applyProtection="1">
      <alignment horizontal="center" vertical="center"/>
    </xf>
    <xf numFmtId="0" fontId="72" fillId="3" borderId="46" xfId="0" applyFont="1" applyFill="1" applyBorder="1" applyAlignment="1" applyProtection="1">
      <alignment horizontal="center" vertical="center"/>
    </xf>
    <xf numFmtId="0" fontId="8" fillId="2" borderId="47" xfId="3" applyFill="1" applyBorder="1" applyAlignment="1" applyProtection="1">
      <alignment horizontal="center" vertical="center" wrapText="1"/>
    </xf>
    <xf numFmtId="0" fontId="8" fillId="2" borderId="0" xfId="3" applyFill="1" applyBorder="1" applyAlignment="1" applyProtection="1">
      <alignment horizontal="center" vertical="center" wrapText="1"/>
    </xf>
    <xf numFmtId="0" fontId="76" fillId="18" borderId="14" xfId="0" applyFont="1" applyFill="1" applyBorder="1" applyAlignment="1" applyProtection="1">
      <alignment horizontal="center" vertical="center"/>
    </xf>
    <xf numFmtId="0" fontId="76" fillId="18" borderId="48" xfId="0" applyFont="1" applyFill="1" applyBorder="1" applyAlignment="1" applyProtection="1">
      <alignment horizontal="center" vertical="center"/>
    </xf>
    <xf numFmtId="0" fontId="2" fillId="14" borderId="42" xfId="0" applyFont="1" applyFill="1" applyBorder="1" applyAlignment="1" applyProtection="1">
      <alignment horizontal="left" vertical="top" wrapText="1"/>
      <protection locked="0"/>
    </xf>
    <xf numFmtId="0" fontId="9" fillId="14" borderId="0" xfId="0" applyFont="1" applyFill="1" applyBorder="1" applyAlignment="1" applyProtection="1">
      <alignment horizontal="left" vertical="center"/>
    </xf>
    <xf numFmtId="0" fontId="6" fillId="14" borderId="0" xfId="0" applyFont="1" applyFill="1" applyBorder="1" applyAlignment="1" applyProtection="1">
      <alignment vertical="center" wrapText="1"/>
    </xf>
    <xf numFmtId="0" fontId="0" fillId="14" borderId="0" xfId="0" applyFill="1" applyBorder="1" applyAlignment="1" applyProtection="1">
      <alignment horizontal="left" vertical="top" wrapText="1"/>
    </xf>
    <xf numFmtId="0" fontId="6" fillId="14" borderId="0" xfId="0" applyFont="1" applyFill="1" applyBorder="1" applyAlignment="1" applyProtection="1">
      <alignment vertical="center"/>
    </xf>
    <xf numFmtId="0" fontId="9" fillId="14" borderId="0" xfId="0" applyFont="1" applyFill="1" applyBorder="1" applyAlignment="1" applyProtection="1">
      <alignment horizontal="left" wrapText="1"/>
    </xf>
    <xf numFmtId="0" fontId="12" fillId="14" borderId="0" xfId="0" applyFont="1" applyFill="1" applyBorder="1" applyAlignment="1" applyProtection="1">
      <alignment vertical="center" wrapText="1"/>
    </xf>
    <xf numFmtId="0" fontId="0" fillId="14" borderId="0" xfId="0" applyFill="1" applyBorder="1" applyAlignment="1" applyProtection="1">
      <alignment wrapText="1"/>
    </xf>
    <xf numFmtId="0" fontId="24" fillId="14" borderId="0" xfId="3" applyFont="1" applyFill="1" applyBorder="1" applyAlignment="1" applyProtection="1">
      <alignment horizontal="left" vertical="center" wrapText="1"/>
    </xf>
    <xf numFmtId="14" fontId="0" fillId="14" borderId="0" xfId="0" applyNumberFormat="1" applyFill="1" applyBorder="1" applyAlignment="1" applyProtection="1">
      <alignment horizontal="right" vertical="center"/>
    </xf>
    <xf numFmtId="5" fontId="12" fillId="14" borderId="0" xfId="0" applyNumberFormat="1" applyFont="1" applyFill="1" applyBorder="1" applyAlignment="1" applyProtection="1">
      <alignment horizontal="left" vertical="center" wrapText="1"/>
    </xf>
    <xf numFmtId="0" fontId="12" fillId="14" borderId="0" xfId="0" applyFont="1" applyFill="1" applyBorder="1" applyAlignment="1" applyProtection="1">
      <alignment vertical="center"/>
    </xf>
    <xf numFmtId="0" fontId="6" fillId="14" borderId="0" xfId="0" applyFont="1" applyFill="1" applyBorder="1" applyAlignment="1" applyProtection="1">
      <alignment horizontal="left" vertical="center"/>
    </xf>
    <xf numFmtId="0" fontId="6" fillId="14" borderId="0" xfId="0" applyFont="1" applyFill="1" applyBorder="1" applyAlignment="1" applyProtection="1">
      <alignment horizontal="center" vertical="center"/>
    </xf>
    <xf numFmtId="0" fontId="8" fillId="14" borderId="0" xfId="3" applyFill="1" applyBorder="1" applyAlignment="1" applyProtection="1">
      <alignment horizontal="left" vertical="center" wrapText="1"/>
    </xf>
    <xf numFmtId="0" fontId="9" fillId="14" borderId="0" xfId="0" applyFont="1" applyFill="1" applyBorder="1" applyAlignment="1" applyProtection="1">
      <alignment horizontal="left" vertical="center" wrapText="1"/>
    </xf>
    <xf numFmtId="42" fontId="0" fillId="14" borderId="0" xfId="0" applyNumberFormat="1" applyFill="1" applyBorder="1" applyAlignment="1" applyProtection="1">
      <alignment horizontal="right" vertical="center"/>
    </xf>
    <xf numFmtId="0" fontId="15" fillId="14" borderId="0" xfId="0" applyFont="1" applyFill="1" applyBorder="1" applyAlignment="1" applyProtection="1">
      <alignment vertical="center" wrapText="1"/>
    </xf>
    <xf numFmtId="0" fontId="0" fillId="14" borderId="0" xfId="0" applyFill="1" applyBorder="1" applyAlignment="1" applyProtection="1">
      <alignment vertical="center"/>
    </xf>
    <xf numFmtId="0" fontId="11" fillId="14" borderId="0" xfId="0" applyNumberFormat="1" applyFont="1" applyFill="1" applyBorder="1" applyAlignment="1" applyProtection="1">
      <alignment horizontal="left" vertical="center"/>
    </xf>
    <xf numFmtId="14" fontId="11" fillId="0" borderId="2" xfId="0" applyNumberFormat="1" applyFont="1" applyBorder="1" applyAlignment="1" applyProtection="1">
      <alignment horizontal="left" vertical="center" indent="1"/>
      <protection locked="0"/>
    </xf>
    <xf numFmtId="170" fontId="9" fillId="2" borderId="24" xfId="0" applyNumberFormat="1" applyFont="1" applyFill="1" applyBorder="1" applyAlignment="1" applyProtection="1">
      <alignment horizontal="right" indent="1"/>
    </xf>
    <xf numFmtId="170" fontId="9" fillId="2" borderId="39" xfId="0" applyNumberFormat="1" applyFont="1" applyFill="1" applyBorder="1" applyAlignment="1" applyProtection="1">
      <alignment horizontal="right" indent="1"/>
    </xf>
    <xf numFmtId="0" fontId="6" fillId="3" borderId="31" xfId="0" applyFont="1" applyFill="1" applyBorder="1" applyAlignment="1" applyProtection="1">
      <alignment horizontal="left" vertical="center"/>
    </xf>
    <xf numFmtId="0" fontId="0" fillId="0" borderId="40" xfId="0" applyBorder="1" applyAlignment="1" applyProtection="1">
      <alignment horizontal="left" vertical="center"/>
    </xf>
    <xf numFmtId="0" fontId="8" fillId="3" borderId="40" xfId="3" applyFill="1" applyBorder="1" applyAlignment="1" applyProtection="1">
      <alignment horizontal="left" vertical="center"/>
    </xf>
    <xf numFmtId="0" fontId="72" fillId="3" borderId="40" xfId="0" applyFont="1" applyFill="1" applyBorder="1" applyAlignment="1" applyProtection="1">
      <alignment horizontal="center" vertical="center"/>
    </xf>
    <xf numFmtId="0" fontId="72" fillId="3" borderId="41" xfId="0" applyFont="1" applyFill="1" applyBorder="1" applyAlignment="1" applyProtection="1">
      <alignment horizontal="center" vertical="center"/>
    </xf>
    <xf numFmtId="0" fontId="6" fillId="4" borderId="11" xfId="0" applyNumberFormat="1" applyFont="1" applyFill="1" applyBorder="1" applyAlignment="1" applyProtection="1">
      <alignment horizontal="left" vertical="center" wrapText="1"/>
    </xf>
    <xf numFmtId="0" fontId="6" fillId="4" borderId="16" xfId="0" applyNumberFormat="1" applyFont="1" applyFill="1" applyBorder="1" applyAlignment="1" applyProtection="1">
      <alignment horizontal="left" vertical="center" wrapText="1"/>
    </xf>
    <xf numFmtId="0" fontId="6" fillId="4" borderId="17" xfId="0" applyNumberFormat="1" applyFont="1" applyFill="1" applyBorder="1" applyAlignment="1" applyProtection="1">
      <alignment horizontal="left" vertical="center" wrapText="1"/>
    </xf>
    <xf numFmtId="0" fontId="6" fillId="4" borderId="14" xfId="0" applyNumberFormat="1" applyFont="1" applyFill="1" applyBorder="1" applyAlignment="1" applyProtection="1">
      <alignment horizontal="left" vertical="center" wrapText="1"/>
    </xf>
    <xf numFmtId="0" fontId="6" fillId="4" borderId="13" xfId="0" applyNumberFormat="1" applyFont="1" applyFill="1" applyBorder="1" applyAlignment="1" applyProtection="1">
      <alignment horizontal="left" vertical="center" wrapText="1"/>
    </xf>
    <xf numFmtId="0" fontId="6" fillId="20" borderId="13" xfId="0" applyNumberFormat="1" applyFont="1" applyFill="1" applyBorder="1" applyAlignment="1" applyProtection="1">
      <alignment horizontal="left" vertical="center" wrapText="1"/>
    </xf>
    <xf numFmtId="0" fontId="6" fillId="20" borderId="22" xfId="0" applyNumberFormat="1" applyFont="1" applyFill="1" applyBorder="1" applyAlignment="1" applyProtection="1">
      <alignment horizontal="left" vertical="center" wrapText="1"/>
    </xf>
    <xf numFmtId="0" fontId="72" fillId="3" borderId="13" xfId="0" applyFont="1" applyFill="1" applyBorder="1" applyAlignment="1" applyProtection="1">
      <alignment horizontal="center" vertical="center"/>
    </xf>
    <xf numFmtId="0" fontId="72" fillId="3" borderId="48" xfId="0" applyFont="1" applyFill="1" applyBorder="1" applyAlignment="1" applyProtection="1">
      <alignment horizontal="center" vertical="center"/>
    </xf>
    <xf numFmtId="0" fontId="61" fillId="2" borderId="0" xfId="0" applyFont="1" applyFill="1" applyBorder="1" applyAlignment="1" applyProtection="1">
      <alignment horizontal="left" vertical="center"/>
    </xf>
    <xf numFmtId="0" fontId="0" fillId="2" borderId="0" xfId="0" applyFill="1" applyAlignment="1">
      <alignment vertical="center"/>
    </xf>
    <xf numFmtId="0" fontId="63" fillId="4" borderId="13" xfId="0" applyFont="1" applyFill="1" applyBorder="1" applyAlignment="1" applyProtection="1">
      <alignment horizontal="left" vertical="center" wrapText="1"/>
    </xf>
    <xf numFmtId="0" fontId="0" fillId="4" borderId="13" xfId="0" applyFill="1" applyBorder="1" applyAlignment="1">
      <alignment wrapText="1"/>
    </xf>
    <xf numFmtId="0" fontId="64" fillId="3" borderId="2" xfId="0" applyFont="1" applyFill="1" applyBorder="1" applyAlignment="1" applyProtection="1">
      <alignment horizontal="left" vertical="center"/>
    </xf>
    <xf numFmtId="0" fontId="0" fillId="3" borderId="6" xfId="0" applyFill="1" applyBorder="1" applyAlignment="1"/>
    <xf numFmtId="0" fontId="0" fillId="3" borderId="18" xfId="0" applyFill="1" applyBorder="1" applyAlignment="1"/>
    <xf numFmtId="165" fontId="6" fillId="3" borderId="19" xfId="0" applyNumberFormat="1" applyFont="1" applyFill="1" applyBorder="1" applyAlignment="1" applyProtection="1">
      <alignment horizontal="left" vertical="center"/>
    </xf>
    <xf numFmtId="0" fontId="0" fillId="3" borderId="30" xfId="0" applyFill="1" applyBorder="1" applyAlignment="1">
      <alignment horizontal="left" vertical="center"/>
    </xf>
    <xf numFmtId="165" fontId="6" fillId="3" borderId="19" xfId="0" applyNumberFormat="1" applyFont="1" applyFill="1" applyBorder="1" applyAlignment="1" applyProtection="1">
      <alignment horizontal="left" vertical="center" wrapText="1"/>
    </xf>
    <xf numFmtId="0" fontId="0" fillId="3" borderId="30" xfId="0" applyFill="1" applyBorder="1" applyAlignment="1">
      <alignment horizontal="left" vertical="center" wrapText="1"/>
    </xf>
    <xf numFmtId="0" fontId="0" fillId="2" borderId="0" xfId="0" applyFill="1" applyAlignment="1" applyProtection="1">
      <protection locked="0"/>
    </xf>
    <xf numFmtId="165" fontId="6" fillId="3" borderId="2" xfId="0" applyNumberFormat="1" applyFont="1" applyFill="1" applyBorder="1" applyAlignment="1" applyProtection="1">
      <alignment horizontal="left" vertical="center" wrapText="1"/>
    </xf>
    <xf numFmtId="0" fontId="0" fillId="3" borderId="18" xfId="0" applyFill="1" applyBorder="1" applyAlignment="1">
      <alignment wrapText="1"/>
    </xf>
    <xf numFmtId="0" fontId="8" fillId="0" borderId="16" xfId="3" applyBorder="1" applyAlignment="1" applyProtection="1">
      <alignment horizontal="left" vertical="center"/>
    </xf>
    <xf numFmtId="0" fontId="13" fillId="4" borderId="11" xfId="6" applyFont="1" applyFill="1" applyBorder="1">
      <alignment horizontal="left"/>
    </xf>
    <xf numFmtId="0" fontId="13" fillId="4" borderId="16" xfId="6" applyFont="1" applyFill="1" applyBorder="1">
      <alignment horizontal="left"/>
    </xf>
    <xf numFmtId="0" fontId="13" fillId="4" borderId="17" xfId="6" applyFont="1" applyFill="1" applyBorder="1">
      <alignment horizontal="left"/>
    </xf>
    <xf numFmtId="0" fontId="9" fillId="4" borderId="14" xfId="6" applyFont="1" applyFill="1" applyBorder="1">
      <alignment horizontal="left"/>
    </xf>
    <xf numFmtId="0" fontId="9" fillId="4" borderId="13" xfId="6" applyFont="1" applyFill="1" applyBorder="1">
      <alignment horizontal="left"/>
    </xf>
    <xf numFmtId="0" fontId="9" fillId="4" borderId="22" xfId="6" applyFont="1" applyFill="1" applyBorder="1">
      <alignment horizontal="left"/>
    </xf>
    <xf numFmtId="0" fontId="2" fillId="0" borderId="0" xfId="6" applyAlignment="1" applyProtection="1">
      <alignment horizontal="left" wrapText="1"/>
      <protection hidden="1"/>
    </xf>
    <xf numFmtId="0" fontId="9" fillId="4" borderId="2" xfId="6" applyFont="1" applyFill="1" applyBorder="1">
      <alignment horizontal="left"/>
    </xf>
    <xf numFmtId="0" fontId="9" fillId="4" borderId="6" xfId="6" applyFont="1" applyFill="1" applyBorder="1">
      <alignment horizontal="left"/>
    </xf>
    <xf numFmtId="0" fontId="9" fillId="4" borderId="18" xfId="6" applyFont="1" applyFill="1" applyBorder="1">
      <alignment horizontal="left"/>
    </xf>
    <xf numFmtId="0" fontId="13" fillId="4" borderId="14" xfId="6" applyFont="1" applyFill="1" applyBorder="1" applyAlignment="1">
      <alignment horizontal="left"/>
    </xf>
    <xf numFmtId="0" fontId="13" fillId="4" borderId="13" xfId="6" applyFont="1" applyFill="1" applyBorder="1" applyAlignment="1">
      <alignment horizontal="left"/>
    </xf>
    <xf numFmtId="0" fontId="13" fillId="4" borderId="22" xfId="6" applyFont="1" applyFill="1" applyBorder="1" applyAlignment="1">
      <alignment horizontal="left"/>
    </xf>
    <xf numFmtId="0" fontId="8" fillId="0" borderId="0" xfId="3" applyAlignment="1" applyProtection="1">
      <alignment horizontal="left" vertical="center"/>
    </xf>
    <xf numFmtId="0" fontId="10" fillId="4" borderId="11" xfId="6" applyFont="1" applyFill="1" applyBorder="1" applyAlignment="1" applyProtection="1">
      <alignment horizontal="left" vertical="center" wrapText="1"/>
    </xf>
    <xf numFmtId="0" fontId="10" fillId="4" borderId="17" xfId="6" applyFont="1" applyFill="1" applyBorder="1" applyAlignment="1" applyProtection="1">
      <alignment horizontal="left" vertical="center" wrapText="1"/>
    </xf>
    <xf numFmtId="0" fontId="10" fillId="4" borderId="12" xfId="6" applyFont="1" applyFill="1" applyBorder="1" applyAlignment="1" applyProtection="1">
      <alignment horizontal="left" vertical="center" wrapText="1"/>
    </xf>
    <xf numFmtId="0" fontId="10" fillId="4" borderId="15" xfId="6" applyFont="1" applyFill="1" applyBorder="1" applyAlignment="1" applyProtection="1">
      <alignment horizontal="left" vertical="center" wrapText="1"/>
    </xf>
    <xf numFmtId="0" fontId="10" fillId="4" borderId="14" xfId="6" applyFont="1" applyFill="1" applyBorder="1" applyAlignment="1" applyProtection="1">
      <alignment horizontal="left" vertical="center" wrapText="1"/>
    </xf>
    <xf numFmtId="0" fontId="10" fillId="4" borderId="22" xfId="6" applyFont="1" applyFill="1" applyBorder="1" applyAlignment="1" applyProtection="1">
      <alignment horizontal="left" vertical="center" wrapText="1"/>
    </xf>
    <xf numFmtId="0" fontId="13" fillId="0" borderId="0" xfId="6" applyFont="1" applyAlignment="1">
      <alignment horizontal="left" vertical="center" wrapText="1"/>
    </xf>
    <xf numFmtId="0" fontId="0" fillId="0" borderId="0" xfId="0" applyAlignment="1">
      <alignment horizontal="left"/>
    </xf>
    <xf numFmtId="44" fontId="0" fillId="16" borderId="2" xfId="0" applyNumberFormat="1" applyFill="1" applyBorder="1" applyAlignment="1" applyProtection="1">
      <alignment horizontal="right" vertical="center"/>
      <protection locked="0"/>
    </xf>
    <xf numFmtId="44" fontId="0" fillId="16" borderId="18" xfId="0" applyNumberFormat="1" applyFill="1" applyBorder="1" applyAlignment="1" applyProtection="1">
      <alignment horizontal="right" vertical="center"/>
      <protection locked="0"/>
    </xf>
    <xf numFmtId="44" fontId="0" fillId="3" borderId="2" xfId="0" applyNumberFormat="1" applyFill="1" applyBorder="1" applyAlignment="1" applyProtection="1">
      <alignment horizontal="right" vertical="center"/>
    </xf>
    <xf numFmtId="44" fontId="0" fillId="3" borderId="18" xfId="0" applyNumberFormat="1" applyFill="1" applyBorder="1" applyAlignment="1" applyProtection="1">
      <alignment horizontal="right" vertical="center"/>
    </xf>
    <xf numFmtId="0" fontId="44" fillId="2" borderId="0" xfId="0" applyFont="1" applyFill="1" applyBorder="1" applyAlignment="1" applyProtection="1">
      <alignment horizontal="center" wrapText="1"/>
    </xf>
    <xf numFmtId="0" fontId="59" fillId="2" borderId="0" xfId="0" applyFont="1" applyFill="1" applyBorder="1" applyAlignment="1" applyProtection="1">
      <alignment horizontal="center"/>
    </xf>
    <xf numFmtId="0" fontId="77" fillId="14" borderId="50" xfId="0" applyFont="1" applyFill="1" applyBorder="1" applyAlignment="1">
      <alignment horizontal="right" vertical="center"/>
    </xf>
    <xf numFmtId="0" fontId="77" fillId="14" borderId="57" xfId="0" applyFont="1" applyFill="1" applyBorder="1" applyAlignment="1">
      <alignment horizontal="right" vertical="center"/>
    </xf>
    <xf numFmtId="0" fontId="0" fillId="14" borderId="56" xfId="0" applyFill="1" applyBorder="1" applyAlignment="1">
      <alignment horizontal="left" vertical="top" wrapText="1"/>
    </xf>
    <xf numFmtId="0" fontId="0" fillId="14" borderId="51" xfId="0" applyFill="1" applyBorder="1" applyAlignment="1">
      <alignment horizontal="left" vertical="top" wrapText="1"/>
    </xf>
    <xf numFmtId="0" fontId="0" fillId="14" borderId="52" xfId="0" applyFill="1" applyBorder="1" applyAlignment="1">
      <alignment horizontal="left" vertical="top" wrapText="1"/>
    </xf>
    <xf numFmtId="0" fontId="80" fillId="15" borderId="40" xfId="0" applyFont="1" applyFill="1" applyBorder="1" applyAlignment="1">
      <alignment horizontal="right" vertical="center"/>
    </xf>
    <xf numFmtId="0" fontId="80" fillId="15" borderId="40" xfId="0" applyFont="1" applyFill="1" applyBorder="1" applyAlignment="1">
      <alignment horizontal="center" vertical="center"/>
    </xf>
    <xf numFmtId="0" fontId="80" fillId="15" borderId="41" xfId="0" applyFont="1" applyFill="1" applyBorder="1" applyAlignment="1">
      <alignment horizontal="center" vertical="center"/>
    </xf>
    <xf numFmtId="0" fontId="81" fillId="14" borderId="45" xfId="0" applyFont="1" applyFill="1" applyBorder="1" applyAlignment="1">
      <alignment horizontal="right" vertical="center"/>
    </xf>
    <xf numFmtId="0" fontId="81" fillId="14" borderId="6" xfId="0" applyFont="1" applyFill="1" applyBorder="1" applyAlignment="1">
      <alignment horizontal="right" vertical="center"/>
    </xf>
    <xf numFmtId="0" fontId="82" fillId="14" borderId="2" xfId="0" applyFont="1" applyFill="1" applyBorder="1" applyAlignment="1">
      <alignment vertical="center"/>
    </xf>
    <xf numFmtId="0" fontId="82" fillId="14" borderId="18" xfId="0" applyFont="1" applyFill="1" applyBorder="1" applyAlignment="1">
      <alignment vertical="center"/>
    </xf>
    <xf numFmtId="0" fontId="81" fillId="14" borderId="6" xfId="0" applyFont="1" applyFill="1" applyBorder="1" applyAlignment="1">
      <alignment horizontal="left" vertical="center"/>
    </xf>
    <xf numFmtId="0" fontId="81" fillId="14" borderId="46" xfId="0" applyFont="1" applyFill="1" applyBorder="1" applyAlignment="1">
      <alignment horizontal="left" vertical="center"/>
    </xf>
    <xf numFmtId="0" fontId="77" fillId="14" borderId="49" xfId="0" applyFont="1" applyFill="1" applyBorder="1" applyAlignment="1">
      <alignment horizontal="right" vertical="center"/>
    </xf>
    <xf numFmtId="0" fontId="77" fillId="14" borderId="3" xfId="0" applyFont="1" applyFill="1" applyBorder="1" applyAlignment="1">
      <alignment horizontal="right" vertical="center"/>
    </xf>
    <xf numFmtId="14" fontId="0" fillId="14" borderId="3" xfId="0" applyNumberFormat="1" applyFill="1" applyBorder="1" applyAlignment="1">
      <alignment horizontal="right" vertical="center"/>
    </xf>
    <xf numFmtId="14" fontId="0" fillId="14" borderId="6" xfId="0" applyNumberFormat="1" applyFill="1" applyBorder="1" applyAlignment="1">
      <alignment horizontal="left" vertical="center"/>
    </xf>
    <xf numFmtId="14" fontId="0" fillId="14" borderId="46" xfId="0" applyNumberFormat="1" applyFill="1" applyBorder="1" applyAlignment="1">
      <alignment horizontal="left" vertical="center"/>
    </xf>
    <xf numFmtId="166" fontId="0" fillId="14" borderId="3" xfId="2" applyNumberFormat="1" applyFont="1" applyFill="1" applyBorder="1" applyAlignment="1">
      <alignment horizontal="right" vertical="center"/>
    </xf>
    <xf numFmtId="0" fontId="0" fillId="14" borderId="6" xfId="0" applyFill="1" applyBorder="1" applyAlignment="1">
      <alignment horizontal="left" vertical="center"/>
    </xf>
    <xf numFmtId="0" fontId="0" fillId="14" borderId="46" xfId="0" applyFill="1" applyBorder="1" applyAlignment="1">
      <alignment horizontal="left" vertical="center"/>
    </xf>
    <xf numFmtId="0" fontId="8" fillId="0" borderId="0" xfId="3" applyAlignment="1" applyProtection="1">
      <alignment horizontal="center" vertical="center" wrapText="1"/>
    </xf>
    <xf numFmtId="0" fontId="78" fillId="15" borderId="2" xfId="0" applyFont="1" applyFill="1" applyBorder="1" applyAlignment="1">
      <alignment horizontal="center" vertical="center"/>
    </xf>
    <xf numFmtId="0" fontId="78" fillId="15" borderId="6" xfId="0" applyFont="1" applyFill="1" applyBorder="1" applyAlignment="1">
      <alignment horizontal="center" vertical="center"/>
    </xf>
    <xf numFmtId="0" fontId="78" fillId="15" borderId="18" xfId="0" applyFont="1" applyFill="1" applyBorder="1" applyAlignment="1">
      <alignment horizontal="center" vertical="center"/>
    </xf>
    <xf numFmtId="0" fontId="79" fillId="19" borderId="11" xfId="0" applyFont="1" applyFill="1" applyBorder="1" applyAlignment="1">
      <alignment horizontal="left" vertical="center" wrapText="1"/>
    </xf>
    <xf numFmtId="0" fontId="79" fillId="19" borderId="16" xfId="0" applyFont="1" applyFill="1" applyBorder="1" applyAlignment="1">
      <alignment horizontal="left" vertical="center" wrapText="1"/>
    </xf>
    <xf numFmtId="0" fontId="79" fillId="19" borderId="17" xfId="0" applyFont="1" applyFill="1" applyBorder="1" applyAlignment="1">
      <alignment horizontal="left" vertical="center" wrapText="1"/>
    </xf>
    <xf numFmtId="0" fontId="79" fillId="19" borderId="14" xfId="0" applyFont="1" applyFill="1" applyBorder="1" applyAlignment="1">
      <alignment horizontal="left" vertical="center" wrapText="1"/>
    </xf>
    <xf numFmtId="0" fontId="79" fillId="19" borderId="13" xfId="0" applyFont="1" applyFill="1" applyBorder="1" applyAlignment="1">
      <alignment horizontal="left" vertical="center" wrapText="1"/>
    </xf>
    <xf numFmtId="0" fontId="79" fillId="19" borderId="22" xfId="0" applyFont="1" applyFill="1" applyBorder="1" applyAlignment="1">
      <alignment horizontal="left" vertical="center" wrapText="1"/>
    </xf>
    <xf numFmtId="0" fontId="79" fillId="19" borderId="2" xfId="0" applyFont="1" applyFill="1" applyBorder="1" applyAlignment="1">
      <alignment horizontal="left" vertical="center" wrapText="1"/>
    </xf>
    <xf numFmtId="0" fontId="79" fillId="19" borderId="6" xfId="0" applyFont="1" applyFill="1" applyBorder="1" applyAlignment="1">
      <alignment horizontal="left" vertical="center" wrapText="1"/>
    </xf>
    <xf numFmtId="0" fontId="79" fillId="19" borderId="18" xfId="0" applyFont="1" applyFill="1" applyBorder="1" applyAlignment="1">
      <alignment horizontal="left" vertical="center" wrapText="1"/>
    </xf>
    <xf numFmtId="0" fontId="40" fillId="13" borderId="0" xfId="7" applyFont="1" applyFill="1" applyAlignment="1" applyProtection="1">
      <alignment vertical="top" wrapText="1"/>
    </xf>
    <xf numFmtId="0" fontId="19" fillId="13" borderId="0" xfId="7" applyFont="1" applyFill="1" applyAlignment="1" applyProtection="1">
      <alignment vertical="top" wrapText="1"/>
    </xf>
    <xf numFmtId="0" fontId="44" fillId="2" borderId="0" xfId="0" applyFont="1" applyFill="1" applyBorder="1" applyAlignment="1">
      <alignment horizontal="center" wrapText="1"/>
    </xf>
    <xf numFmtId="0" fontId="45" fillId="0" borderId="0" xfId="0" applyFont="1" applyAlignment="1">
      <alignment horizontal="center" wrapText="1"/>
    </xf>
    <xf numFmtId="0" fontId="9" fillId="2" borderId="16" xfId="0" applyFont="1" applyFill="1" applyBorder="1" applyAlignment="1">
      <alignment horizontal="left" vertical="top" wrapText="1"/>
    </xf>
    <xf numFmtId="0" fontId="9" fillId="2" borderId="0" xfId="0" applyFont="1" applyFill="1" applyBorder="1" applyAlignment="1">
      <alignment horizontal="left" vertical="top" wrapText="1"/>
    </xf>
    <xf numFmtId="0" fontId="9" fillId="2" borderId="13" xfId="0" applyFont="1" applyFill="1" applyBorder="1" applyAlignment="1">
      <alignment horizontal="left" vertical="top" wrapText="1"/>
    </xf>
    <xf numFmtId="165" fontId="14" fillId="2" borderId="11" xfId="3" applyNumberFormat="1" applyFont="1" applyFill="1" applyBorder="1" applyAlignment="1" applyProtection="1">
      <alignment horizontal="left" vertical="top"/>
    </xf>
    <xf numFmtId="165" fontId="14" fillId="2" borderId="12" xfId="3" applyNumberFormat="1" applyFont="1" applyFill="1" applyBorder="1" applyAlignment="1" applyProtection="1">
      <alignment horizontal="left" vertical="top"/>
    </xf>
    <xf numFmtId="165" fontId="14" fillId="2" borderId="14" xfId="3" applyNumberFormat="1" applyFont="1" applyFill="1" applyBorder="1" applyAlignment="1" applyProtection="1">
      <alignment horizontal="left" vertical="top"/>
    </xf>
    <xf numFmtId="0" fontId="11" fillId="2" borderId="17" xfId="0" applyFont="1" applyFill="1" applyBorder="1" applyAlignment="1">
      <alignment horizontal="left" vertical="top" wrapText="1"/>
    </xf>
    <xf numFmtId="0" fontId="11" fillId="2" borderId="15" xfId="0" applyFont="1" applyFill="1" applyBorder="1" applyAlignment="1">
      <alignment horizontal="left" vertical="top" wrapText="1"/>
    </xf>
    <xf numFmtId="0" fontId="11" fillId="2" borderId="15" xfId="0" applyFont="1" applyFill="1" applyBorder="1" applyAlignment="1">
      <alignment horizontal="left" wrapText="1"/>
    </xf>
    <xf numFmtId="0" fontId="11" fillId="2" borderId="22" xfId="0" applyFont="1" applyFill="1" applyBorder="1" applyAlignment="1">
      <alignment horizontal="left" wrapText="1"/>
    </xf>
    <xf numFmtId="0" fontId="2" fillId="2" borderId="17" xfId="0" applyFont="1" applyFill="1" applyBorder="1" applyAlignment="1">
      <alignment horizontal="left" vertical="top" wrapText="1"/>
    </xf>
    <xf numFmtId="0" fontId="11" fillId="2" borderId="22" xfId="0" applyFont="1" applyFill="1" applyBorder="1" applyAlignment="1">
      <alignment horizontal="left" vertical="top" wrapText="1"/>
    </xf>
    <xf numFmtId="0" fontId="11" fillId="0" borderId="0" xfId="4" applyFont="1" applyFill="1" applyBorder="1" applyAlignment="1">
      <alignment horizontal="left" vertical="top" wrapText="1"/>
    </xf>
  </cellXfs>
  <cellStyles count="12">
    <cellStyle name="Comma" xfId="1" builtinId="3"/>
    <cellStyle name="Comma 2" xfId="10" xr:uid="{00000000-0005-0000-0000-000001000000}"/>
    <cellStyle name="Currency" xfId="2" builtinId="4"/>
    <cellStyle name="Hyperlink" xfId="3" builtinId="8"/>
    <cellStyle name="Normal" xfId="0" builtinId="0"/>
    <cellStyle name="Normal 2" xfId="11" xr:uid="{00000000-0005-0000-0000-000005000000}"/>
    <cellStyle name="Normal 2 2" xfId="4" xr:uid="{00000000-0005-0000-0000-000006000000}"/>
    <cellStyle name="Normal_Audit_Tab_Data" xfId="5" xr:uid="{00000000-0005-0000-0000-000007000000}"/>
    <cellStyle name="Normal_har2006" xfId="6" xr:uid="{00000000-0005-0000-0000-000008000000}"/>
    <cellStyle name="Normal_Reclassification_Worksheet_Template_2005" xfId="7" xr:uid="{00000000-0005-0000-0000-000009000000}"/>
    <cellStyle name="Normal_Sheet1" xfId="8" xr:uid="{00000000-0005-0000-0000-00000A000000}"/>
    <cellStyle name="Percent" xfId="9" builtinId="5"/>
  </cellStyles>
  <dxfs count="1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ndense val="0"/>
        <extend val="0"/>
        <color indexed="10"/>
      </font>
      <fill>
        <patternFill>
          <bgColor indexed="13"/>
        </patternFill>
      </fill>
    </dxf>
    <dxf>
      <font>
        <b val="0"/>
        <i/>
        <condense val="0"/>
        <extend val="0"/>
        <color indexed="10"/>
      </font>
      <fill>
        <patternFill>
          <bgColor indexed="13"/>
        </patternFill>
      </fill>
    </dxf>
    <dxf>
      <font>
        <b val="0"/>
        <i/>
        <condense val="0"/>
        <extend val="0"/>
        <color indexed="10"/>
      </font>
      <fill>
        <patternFill>
          <bgColor indexed="13"/>
        </patternFill>
      </fill>
    </dxf>
    <dxf>
      <font>
        <b val="0"/>
        <i/>
        <condense val="0"/>
        <extend val="0"/>
        <color indexed="10"/>
      </font>
      <fill>
        <patternFill>
          <bgColor indexed="13"/>
        </patternFill>
      </fill>
    </dxf>
    <dxf>
      <font>
        <b val="0"/>
        <i/>
        <condense val="0"/>
        <extend val="0"/>
        <color indexed="10"/>
      </font>
      <fill>
        <patternFill>
          <bgColor indexed="13"/>
        </patternFill>
      </fill>
    </dxf>
    <dxf>
      <fill>
        <patternFill>
          <bgColor indexed="31"/>
        </patternFill>
      </fill>
    </dxf>
    <dxf>
      <fill>
        <patternFill>
          <bgColor indexed="43"/>
        </patternFill>
      </fill>
    </dxf>
    <dxf>
      <fill>
        <patternFill>
          <bgColor indexed="43"/>
        </patternFill>
      </fill>
    </dxf>
    <dxf>
      <fill>
        <patternFill>
          <bgColor indexed="10"/>
        </patternFill>
      </fill>
    </dxf>
    <dxf>
      <fill>
        <patternFill>
          <bgColor indexed="10"/>
        </patternFill>
      </fill>
    </dxf>
    <dxf>
      <fill>
        <patternFill>
          <bgColor indexed="10"/>
        </patternFill>
      </fill>
      <border>
        <left style="thin">
          <color indexed="64"/>
        </left>
        <right style="thin">
          <color indexed="64"/>
        </right>
        <top style="thin">
          <color indexed="64"/>
        </top>
        <bottom style="thin">
          <color indexed="64"/>
        </bottom>
      </border>
    </dxf>
    <dxf>
      <fill>
        <patternFill>
          <bgColor indexed="10"/>
        </patternFill>
      </fill>
    </dxf>
    <dxf>
      <fill>
        <patternFill>
          <bgColor indexed="10"/>
        </patternFill>
      </fill>
    </dxf>
    <dxf>
      <fill>
        <patternFill>
          <bgColor indexed="10"/>
        </patternFill>
      </fill>
      <border>
        <left style="thin">
          <color indexed="64"/>
        </left>
        <right style="thin">
          <color indexed="64"/>
        </right>
        <top style="thin">
          <color indexed="64"/>
        </top>
        <bottom style="thin">
          <color indexed="64"/>
        </bottom>
      </border>
    </dxf>
    <dxf>
      <fill>
        <patternFill>
          <bgColor indexed="10"/>
        </patternFill>
      </fill>
    </dxf>
    <dxf>
      <fill>
        <patternFill>
          <bgColor indexed="10"/>
        </patternFill>
      </fill>
    </dxf>
    <dxf>
      <fill>
        <patternFill>
          <bgColor indexed="10"/>
        </patternFill>
      </fill>
      <border>
        <left style="thin">
          <color indexed="64"/>
        </left>
        <right style="thin">
          <color indexed="64"/>
        </right>
        <top style="thin">
          <color indexed="64"/>
        </top>
        <bottom style="thin">
          <color indexed="64"/>
        </bottom>
      </border>
    </dxf>
    <dxf>
      <fill>
        <patternFill>
          <bgColor rgb="FFC0C0C0"/>
        </patternFill>
      </fill>
    </dxf>
    <dxf>
      <fill>
        <patternFill>
          <bgColor rgb="FFC0C0C0"/>
        </patternFill>
      </fill>
    </dxf>
    <dxf>
      <fill>
        <patternFill>
          <bgColor rgb="FFC0C0C0"/>
        </patternFill>
      </fill>
    </dxf>
    <dxf>
      <fill>
        <patternFill>
          <bgColor rgb="FFC0C0C0"/>
        </patternFill>
      </fill>
    </dxf>
    <dxf>
      <fill>
        <patternFill>
          <bgColor rgb="FFC0C0C0"/>
        </patternFill>
      </fill>
    </dxf>
    <dxf>
      <font>
        <color rgb="FFFF0000"/>
      </font>
      <fill>
        <patternFill>
          <bgColor rgb="FFFFFF00"/>
        </patternFill>
      </fill>
    </dxf>
    <dxf>
      <font>
        <b/>
        <i val="0"/>
        <condense val="0"/>
        <extend val="0"/>
        <color indexed="10"/>
      </font>
      <fill>
        <patternFill>
          <bgColor indexed="13"/>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12"/>
      </font>
      <fill>
        <patternFill>
          <bgColor indexed="42"/>
        </patternFill>
      </fill>
      <border>
        <left style="thin">
          <color indexed="64"/>
        </left>
        <right/>
        <top/>
        <bottom/>
      </border>
    </dxf>
    <dxf>
      <font>
        <condense val="0"/>
        <extend val="0"/>
        <color indexed="12"/>
      </font>
      <fill>
        <patternFill>
          <bgColor indexed="42"/>
        </patternFill>
      </fill>
      <border>
        <left style="thin">
          <color indexed="64"/>
        </left>
        <right/>
        <top/>
        <bottom/>
      </border>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12"/>
      </font>
      <fill>
        <patternFill>
          <bgColor indexed="42"/>
        </patternFill>
      </fill>
      <border>
        <left style="thin">
          <color indexed="64"/>
        </left>
        <right/>
        <top/>
        <bottom/>
      </border>
    </dxf>
    <dxf>
      <fill>
        <patternFill>
          <bgColor indexed="22"/>
        </patternFill>
      </fill>
    </dxf>
    <dxf>
      <font>
        <condense val="0"/>
        <extend val="0"/>
        <color indexed="12"/>
      </font>
      <fill>
        <patternFill>
          <bgColor indexed="42"/>
        </patternFill>
      </fill>
      <border>
        <left style="thin">
          <color indexed="64"/>
        </left>
        <right/>
        <top/>
        <bottom/>
      </border>
    </dxf>
    <dxf>
      <font>
        <condense val="0"/>
        <extend val="0"/>
        <color indexed="12"/>
      </font>
      <fill>
        <patternFill>
          <bgColor indexed="42"/>
        </patternFill>
      </fill>
      <border>
        <left style="thin">
          <color indexed="64"/>
        </left>
        <right/>
        <top/>
        <bottom/>
      </border>
    </dxf>
    <dxf>
      <fill>
        <patternFill>
          <bgColor indexed="22"/>
        </patternFill>
      </fill>
    </dxf>
    <dxf>
      <fill>
        <patternFill>
          <bgColor indexed="22"/>
        </patternFill>
      </fill>
    </dxf>
    <dxf>
      <fill>
        <patternFill>
          <bgColor indexed="22"/>
        </patternFill>
      </fill>
    </dxf>
    <dxf>
      <font>
        <b/>
        <i val="0"/>
        <condense val="0"/>
        <extend val="0"/>
        <color indexed="10"/>
      </font>
      <fill>
        <patternFill>
          <bgColor indexed="13"/>
        </patternFill>
      </fill>
      <border>
        <left style="thin">
          <color indexed="64"/>
        </left>
        <right/>
        <top/>
        <bottom/>
      </border>
    </dxf>
    <dxf>
      <font>
        <b/>
        <i val="0"/>
        <condense val="0"/>
        <extend val="0"/>
        <color indexed="10"/>
      </font>
      <fill>
        <patternFill>
          <bgColor indexed="13"/>
        </patternFill>
      </fill>
      <border>
        <left style="thin">
          <color indexed="64"/>
        </left>
        <right/>
        <top/>
        <bottom/>
      </border>
    </dxf>
    <dxf>
      <font>
        <b/>
        <i val="0"/>
        <condense val="0"/>
        <extend val="0"/>
        <color indexed="10"/>
      </font>
      <fill>
        <patternFill>
          <bgColor indexed="13"/>
        </patternFill>
      </fill>
      <border>
        <left style="thin">
          <color indexed="64"/>
        </left>
        <right/>
        <top/>
        <bottom/>
      </border>
    </dxf>
    <dxf>
      <font>
        <b/>
        <i val="0"/>
        <condense val="0"/>
        <extend val="0"/>
        <color indexed="10"/>
      </font>
      <fill>
        <patternFill>
          <bgColor indexed="13"/>
        </patternFill>
      </fill>
      <border>
        <left style="thin">
          <color indexed="64"/>
        </left>
        <right/>
        <top/>
        <bottom/>
      </border>
    </dxf>
    <dxf>
      <font>
        <b/>
        <i val="0"/>
        <condense val="0"/>
        <extend val="0"/>
        <color indexed="10"/>
      </font>
      <fill>
        <patternFill>
          <bgColor indexed="13"/>
        </patternFill>
      </fill>
      <border>
        <left style="thin">
          <color indexed="64"/>
        </left>
        <right/>
        <top/>
        <bottom/>
      </border>
    </dxf>
    <dxf>
      <font>
        <b/>
        <i val="0"/>
        <condense val="0"/>
        <extend val="0"/>
        <color indexed="10"/>
      </font>
      <fill>
        <patternFill>
          <bgColor indexed="13"/>
        </patternFill>
      </fill>
      <border>
        <left style="thin">
          <color indexed="64"/>
        </left>
        <right/>
        <top/>
        <bottom/>
      </border>
    </dxf>
    <dxf>
      <font>
        <b/>
        <i val="0"/>
        <condense val="0"/>
        <extend val="0"/>
        <color indexed="10"/>
      </font>
      <fill>
        <patternFill>
          <bgColor indexed="13"/>
        </patternFill>
      </fill>
      <border>
        <left style="thin">
          <color indexed="64"/>
        </left>
        <right/>
        <top/>
        <bottom/>
      </border>
    </dxf>
    <dxf>
      <font>
        <b/>
        <i val="0"/>
        <condense val="0"/>
        <extend val="0"/>
        <color indexed="10"/>
      </font>
      <fill>
        <patternFill>
          <bgColor indexed="13"/>
        </patternFill>
      </fill>
      <border>
        <left style="thin">
          <color indexed="64"/>
        </left>
        <right/>
        <top/>
        <bottom/>
      </border>
    </dxf>
    <dxf>
      <font>
        <b/>
        <i val="0"/>
        <condense val="0"/>
        <extend val="0"/>
        <color indexed="10"/>
      </font>
      <fill>
        <patternFill>
          <bgColor indexed="13"/>
        </patternFill>
      </fill>
      <border>
        <left style="thin">
          <color indexed="64"/>
        </left>
        <right/>
        <top/>
        <bottom/>
      </border>
    </dxf>
    <dxf>
      <font>
        <b/>
        <i val="0"/>
        <condense val="0"/>
        <extend val="0"/>
        <color indexed="10"/>
      </font>
      <fill>
        <patternFill>
          <bgColor indexed="13"/>
        </patternFill>
      </fill>
      <border>
        <left style="thin">
          <color indexed="64"/>
        </left>
        <right/>
        <top/>
        <bottom/>
      </border>
    </dxf>
    <dxf>
      <fill>
        <patternFill>
          <bgColor indexed="22"/>
        </patternFill>
      </fill>
    </dxf>
    <dxf>
      <fill>
        <patternFill>
          <bgColor indexed="22"/>
        </patternFill>
      </fill>
    </dxf>
    <dxf>
      <font>
        <b/>
        <i val="0"/>
        <condense val="0"/>
        <extend val="0"/>
        <color indexed="10"/>
      </font>
      <fill>
        <patternFill>
          <bgColor indexed="13"/>
        </patternFill>
      </fill>
      <border>
        <left style="thin">
          <color indexed="64"/>
        </left>
        <right/>
        <top/>
        <bottom/>
      </border>
    </dxf>
    <dxf>
      <font>
        <color rgb="FFFF0000"/>
      </font>
      <fill>
        <patternFill>
          <bgColor rgb="FFFFFF00"/>
        </patternFill>
      </fill>
    </dxf>
    <dxf>
      <font>
        <condense val="0"/>
        <extend val="0"/>
        <color indexed="12"/>
      </font>
    </dxf>
    <dxf>
      <font>
        <b/>
        <i val="0"/>
        <strike val="0"/>
        <condense val="0"/>
        <extend val="0"/>
        <color indexed="10"/>
      </font>
      <fill>
        <patternFill patternType="solid">
          <bgColor indexed="13"/>
        </patternFill>
      </fill>
    </dxf>
    <dxf>
      <font>
        <b/>
        <i val="0"/>
        <strike val="0"/>
        <condense val="0"/>
        <extend val="0"/>
        <color indexed="10"/>
      </font>
      <fill>
        <patternFill patternType="solid">
          <bgColor indexed="13"/>
        </patternFill>
      </fill>
    </dxf>
    <dxf>
      <font>
        <b/>
        <i val="0"/>
        <strike val="0"/>
        <condense val="0"/>
        <extend val="0"/>
        <color indexed="10"/>
      </font>
      <fill>
        <patternFill patternType="solid">
          <bgColor indexed="13"/>
        </patternFill>
      </fill>
    </dxf>
    <dxf>
      <font>
        <b/>
        <i val="0"/>
        <condense val="0"/>
        <extend val="0"/>
        <color indexed="10"/>
      </font>
      <fill>
        <patternFill>
          <bgColor indexed="13"/>
        </patternFill>
      </fill>
    </dxf>
    <dxf>
      <fill>
        <patternFill>
          <bgColor indexed="22"/>
        </patternFill>
      </fill>
    </dxf>
    <dxf>
      <font>
        <b/>
        <i val="0"/>
        <condense val="0"/>
        <extend val="0"/>
        <color indexed="10"/>
      </font>
      <fill>
        <patternFill>
          <bgColor indexed="13"/>
        </patternFill>
      </fill>
    </dxf>
    <dxf>
      <font>
        <b val="0"/>
        <i val="0"/>
        <condense val="0"/>
        <extend val="0"/>
        <color indexed="12"/>
      </font>
      <fill>
        <patternFill>
          <bgColor indexed="4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ndense val="0"/>
        <extend val="0"/>
        <color indexed="12"/>
      </font>
      <fill>
        <patternFill>
          <bgColor indexed="42"/>
        </patternFill>
      </fill>
      <border>
        <left style="thin">
          <color indexed="64"/>
        </left>
        <right/>
        <top/>
        <bottom/>
      </border>
    </dxf>
    <dxf>
      <font>
        <b/>
        <i val="0"/>
        <strike val="0"/>
        <condense val="0"/>
        <extend val="0"/>
        <u/>
        <color indexed="12"/>
      </font>
      <fill>
        <patternFill patternType="none">
          <bgColor indexed="65"/>
        </patternFill>
      </fill>
    </dxf>
    <dxf>
      <font>
        <condense val="0"/>
        <extend val="0"/>
        <color indexed="12"/>
      </font>
      <fill>
        <patternFill>
          <bgColor indexed="4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strike val="0"/>
        <condense val="0"/>
        <extend val="0"/>
        <color indexed="10"/>
      </font>
      <fill>
        <patternFill patternType="solid">
          <bgColor indexed="13"/>
        </patternFill>
      </fill>
    </dxf>
    <dxf>
      <font>
        <b/>
        <i val="0"/>
        <strike val="0"/>
        <condense val="0"/>
        <extend val="0"/>
        <color indexed="10"/>
      </font>
      <fill>
        <patternFill patternType="solid">
          <bgColor indexed="13"/>
        </patternFill>
      </fill>
    </dxf>
    <dxf>
      <font>
        <b/>
        <i val="0"/>
        <strike val="0"/>
        <condense val="0"/>
        <extend val="0"/>
        <color indexed="10"/>
      </font>
      <fill>
        <patternFill patternType="solid">
          <bgColor indexed="13"/>
        </patternFill>
      </fill>
    </dxf>
    <dxf>
      <font>
        <b/>
        <i val="0"/>
        <strike val="0"/>
        <condense val="0"/>
        <extend val="0"/>
        <color indexed="10"/>
      </font>
      <fill>
        <patternFill patternType="solid">
          <bgColor indexed="13"/>
        </patternFill>
      </fill>
    </dxf>
    <dxf>
      <font>
        <b/>
        <i val="0"/>
        <strike val="0"/>
        <condense val="0"/>
        <extend val="0"/>
        <color indexed="10"/>
      </font>
      <fill>
        <patternFill patternType="solid">
          <bgColor indexed="13"/>
        </patternFill>
      </fill>
    </dxf>
    <dxf>
      <font>
        <b/>
        <i val="0"/>
        <strike val="0"/>
        <condense val="0"/>
        <extend val="0"/>
        <color indexed="10"/>
      </font>
      <fill>
        <patternFill patternType="solid">
          <bgColor indexed="13"/>
        </patternFill>
      </fill>
    </dxf>
    <dxf>
      <font>
        <b/>
        <i val="0"/>
        <strike val="0"/>
        <condense val="0"/>
        <extend val="0"/>
        <color indexed="10"/>
      </font>
      <fill>
        <patternFill patternType="solid">
          <bgColor indexed="13"/>
        </patternFill>
      </fill>
    </dxf>
    <dxf>
      <fill>
        <patternFill>
          <bgColor indexed="22"/>
        </patternFill>
      </fill>
    </dxf>
    <dxf>
      <font>
        <b val="0"/>
        <i val="0"/>
        <condense val="0"/>
        <extend val="0"/>
        <u/>
        <color indexed="12"/>
      </font>
    </dxf>
  </dxfs>
  <tableStyles count="0" defaultTableStyle="TableStyleMedium9" defaultPivotStyle="PivotStyleLight16"/>
  <colors>
    <mruColors>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30</xdr:row>
      <xdr:rowOff>38100</xdr:rowOff>
    </xdr:from>
    <xdr:to>
      <xdr:col>10</xdr:col>
      <xdr:colOff>523875</xdr:colOff>
      <xdr:row>34</xdr:row>
      <xdr:rowOff>152400</xdr:rowOff>
    </xdr:to>
    <xdr:pic>
      <xdr:nvPicPr>
        <xdr:cNvPr id="17412" name="Picture 1" descr="MHA logo solid">
          <a:extLst>
            <a:ext uri="{FF2B5EF4-FFF2-40B4-BE49-F238E27FC236}">
              <a16:creationId xmlns:a16="http://schemas.microsoft.com/office/drawing/2014/main" id="{00000000-0008-0000-0000-0000044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33825" y="8582025"/>
          <a:ext cx="268605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276225</xdr:colOff>
      <xdr:row>30</xdr:row>
      <xdr:rowOff>38100</xdr:rowOff>
    </xdr:from>
    <xdr:to>
      <xdr:col>10</xdr:col>
      <xdr:colOff>523875</xdr:colOff>
      <xdr:row>34</xdr:row>
      <xdr:rowOff>152400</xdr:rowOff>
    </xdr:to>
    <xdr:pic>
      <xdr:nvPicPr>
        <xdr:cNvPr id="17414" name="Picture 3" descr="MHA logo solid">
          <a:extLst>
            <a:ext uri="{FF2B5EF4-FFF2-40B4-BE49-F238E27FC236}">
              <a16:creationId xmlns:a16="http://schemas.microsoft.com/office/drawing/2014/main" id="{00000000-0008-0000-0000-0000064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33825" y="8582025"/>
          <a:ext cx="268605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161925</xdr:colOff>
      <xdr:row>31</xdr:row>
      <xdr:rowOff>133350</xdr:rowOff>
    </xdr:from>
    <xdr:to>
      <xdr:col>5</xdr:col>
      <xdr:colOff>273984</xdr:colOff>
      <xdr:row>34</xdr:row>
      <xdr:rowOff>28576</xdr:rowOff>
    </xdr:to>
    <xdr:pic>
      <xdr:nvPicPr>
        <xdr:cNvPr id="5" name="Picture 4" descr="C:\Users\jsanislo\AppData\Local\Microsoft\Windows\INetCache\Content.Word\logo-mdh-mn-h-blu_rgb.png">
          <a:extLst>
            <a:ext uri="{FF2B5EF4-FFF2-40B4-BE49-F238E27FC236}">
              <a16:creationId xmlns:a16="http://schemas.microsoft.com/office/drawing/2014/main" id="{F184802D-F6B0-45D5-8A91-D562BD04712E}"/>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61925" y="8839200"/>
          <a:ext cx="3160059" cy="381001"/>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371475</xdr:colOff>
      <xdr:row>29</xdr:row>
      <xdr:rowOff>28575</xdr:rowOff>
    </xdr:from>
    <xdr:to>
      <xdr:col>13</xdr:col>
      <xdr:colOff>485775</xdr:colOff>
      <xdr:row>31</xdr:row>
      <xdr:rowOff>142875</xdr:rowOff>
    </xdr:to>
    <xdr:pic>
      <xdr:nvPicPr>
        <xdr:cNvPr id="18438" name="Picture 2" descr="MHA logo solid">
          <a:extLst>
            <a:ext uri="{FF2B5EF4-FFF2-40B4-BE49-F238E27FC236}">
              <a16:creationId xmlns:a16="http://schemas.microsoft.com/office/drawing/2014/main" id="{00000000-0008-0000-0100-0000064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6275" y="9420225"/>
          <a:ext cx="268605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371475</xdr:colOff>
      <xdr:row>29</xdr:row>
      <xdr:rowOff>28575</xdr:rowOff>
    </xdr:from>
    <xdr:to>
      <xdr:col>13</xdr:col>
      <xdr:colOff>485775</xdr:colOff>
      <xdr:row>31</xdr:row>
      <xdr:rowOff>142875</xdr:rowOff>
    </xdr:to>
    <xdr:pic>
      <xdr:nvPicPr>
        <xdr:cNvPr id="18440" name="Picture 4" descr="MHA logo solid">
          <a:extLst>
            <a:ext uri="{FF2B5EF4-FFF2-40B4-BE49-F238E27FC236}">
              <a16:creationId xmlns:a16="http://schemas.microsoft.com/office/drawing/2014/main" id="{00000000-0008-0000-0100-0000084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6275" y="9420225"/>
          <a:ext cx="268605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220</xdr:row>
      <xdr:rowOff>38100</xdr:rowOff>
    </xdr:from>
    <xdr:to>
      <xdr:col>13</xdr:col>
      <xdr:colOff>0</xdr:colOff>
      <xdr:row>220</xdr:row>
      <xdr:rowOff>295275</xdr:rowOff>
    </xdr:to>
    <xdr:sp macro="" textlink="">
      <xdr:nvSpPr>
        <xdr:cNvPr id="18441" name="AutoShape 6">
          <a:extLst>
            <a:ext uri="{FF2B5EF4-FFF2-40B4-BE49-F238E27FC236}">
              <a16:creationId xmlns:a16="http://schemas.microsoft.com/office/drawing/2014/main" id="{00000000-0008-0000-0100-000009480000}"/>
            </a:ext>
          </a:extLst>
        </xdr:cNvPr>
        <xdr:cNvSpPr>
          <a:spLocks noChangeArrowheads="1"/>
        </xdr:cNvSpPr>
      </xdr:nvSpPr>
      <xdr:spPr bwMode="auto">
        <a:xfrm>
          <a:off x="5848350" y="71285100"/>
          <a:ext cx="838200" cy="257175"/>
        </a:xfrm>
        <a:prstGeom prst="leftArrow">
          <a:avLst>
            <a:gd name="adj1" fmla="val 50000"/>
            <a:gd name="adj2" fmla="val 81481"/>
          </a:avLst>
        </a:prstGeom>
        <a:solidFill>
          <a:srgbClr val="FFFF00"/>
        </a:solidFill>
        <a:ln w="12700">
          <a:solidFill>
            <a:srgbClr val="000000"/>
          </a:solidFill>
          <a:miter lim="800000"/>
          <a:headEnd/>
          <a:tailEnd/>
        </a:ln>
      </xdr:spPr>
    </xdr:sp>
    <xdr:clientData/>
  </xdr:twoCellAnchor>
  <xdr:twoCellAnchor editAs="oneCell">
    <xdr:from>
      <xdr:col>0</xdr:col>
      <xdr:colOff>100853</xdr:colOff>
      <xdr:row>30</xdr:row>
      <xdr:rowOff>44822</xdr:rowOff>
    </xdr:from>
    <xdr:to>
      <xdr:col>6</xdr:col>
      <xdr:colOff>168088</xdr:colOff>
      <xdr:row>31</xdr:row>
      <xdr:rowOff>100853</xdr:rowOff>
    </xdr:to>
    <xdr:pic>
      <xdr:nvPicPr>
        <xdr:cNvPr id="6" name="Picture 5" descr="C:\Users\jsanislo\AppData\Local\Microsoft\Windows\INetCache\Content.Word\logo-mdh-mn-h-blu_rgb.png">
          <a:extLst>
            <a:ext uri="{FF2B5EF4-FFF2-40B4-BE49-F238E27FC236}">
              <a16:creationId xmlns:a16="http://schemas.microsoft.com/office/drawing/2014/main" id="{A23187D5-A2B1-4CDA-A404-6BEE99DFB767}"/>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853" y="9793940"/>
          <a:ext cx="3160059" cy="381001"/>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jpeters/Desktop/har2006.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2017%20H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p Sheet"/>
      <sheetName val="2006 HAR"/>
      <sheetName val="Audit Checks"/>
      <sheetName val="Reclassifications"/>
      <sheetName val="Definitions"/>
      <sheetName val="HCCIS_ID"/>
      <sheetName val="Audit_Tab_Data"/>
      <sheetName val="Surcharge-Final"/>
      <sheetName val="Surcharge-Filed"/>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 H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lhovila@mnhospitals.org" TargetMode="External"/><Relationship Id="rId1" Type="http://schemas.openxmlformats.org/officeDocument/2006/relationships/hyperlink" Target="https://portal.mnhospitals.org/"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K30"/>
  <sheetViews>
    <sheetView zoomScaleNormal="100" workbookViewId="0">
      <selection sqref="A1:K1"/>
    </sheetView>
  </sheetViews>
  <sheetFormatPr defaultColWidth="9.1796875" defaultRowHeight="12.5" x14ac:dyDescent="0.25"/>
  <cols>
    <col min="1" max="16384" width="9.1796875" style="1"/>
  </cols>
  <sheetData>
    <row r="1" spans="1:11" ht="23" x14ac:dyDescent="0.45">
      <c r="A1" s="513" t="s">
        <v>3612</v>
      </c>
      <c r="B1" s="514"/>
      <c r="C1" s="514"/>
      <c r="D1" s="514"/>
      <c r="E1" s="514"/>
      <c r="F1" s="514"/>
      <c r="G1" s="514"/>
      <c r="H1" s="514"/>
      <c r="I1" s="514"/>
      <c r="J1" s="514"/>
      <c r="K1" s="514"/>
    </row>
    <row r="2" spans="1:11" ht="20" x14ac:dyDescent="0.4">
      <c r="A2" s="515" t="s">
        <v>784</v>
      </c>
      <c r="B2" s="516"/>
      <c r="C2" s="516"/>
      <c r="D2" s="516"/>
      <c r="E2" s="516"/>
      <c r="F2" s="516"/>
      <c r="G2" s="516"/>
      <c r="H2" s="516"/>
      <c r="I2" s="516"/>
      <c r="J2" s="516"/>
      <c r="K2" s="516"/>
    </row>
    <row r="3" spans="1:11" ht="12.75" customHeight="1" x14ac:dyDescent="0.25">
      <c r="A3" s="85"/>
    </row>
    <row r="4" spans="1:11" ht="40.5" customHeight="1" x14ac:dyDescent="0.25">
      <c r="A4" s="86">
        <v>1</v>
      </c>
      <c r="B4" s="511" t="s">
        <v>1720</v>
      </c>
      <c r="C4" s="510"/>
      <c r="D4" s="510"/>
      <c r="E4" s="510"/>
      <c r="F4" s="510"/>
      <c r="G4" s="510"/>
      <c r="H4" s="510"/>
      <c r="I4" s="510"/>
      <c r="J4" s="510"/>
      <c r="K4" s="510"/>
    </row>
    <row r="5" spans="1:11" ht="12.75" customHeight="1" x14ac:dyDescent="0.25">
      <c r="A5" s="85"/>
    </row>
    <row r="6" spans="1:11" ht="15.75" customHeight="1" x14ac:dyDescent="0.25">
      <c r="A6" s="86">
        <v>2</v>
      </c>
      <c r="B6" s="510" t="s">
        <v>785</v>
      </c>
      <c r="C6" s="510"/>
      <c r="D6" s="510"/>
      <c r="E6" s="510"/>
      <c r="F6" s="510"/>
      <c r="G6" s="510"/>
      <c r="H6" s="510"/>
      <c r="I6" s="510"/>
      <c r="J6" s="510"/>
      <c r="K6" s="510"/>
    </row>
    <row r="7" spans="1:11" ht="13.5" customHeight="1" x14ac:dyDescent="0.25">
      <c r="A7" s="86"/>
      <c r="B7" s="88" t="s">
        <v>786</v>
      </c>
      <c r="C7" s="510" t="s">
        <v>794</v>
      </c>
      <c r="D7" s="510"/>
      <c r="E7" s="510"/>
      <c r="F7" s="510"/>
      <c r="G7" s="510"/>
      <c r="H7" s="510"/>
      <c r="I7" s="510"/>
      <c r="J7" s="510"/>
      <c r="K7" s="510"/>
    </row>
    <row r="8" spans="1:11" ht="13.5" customHeight="1" x14ac:dyDescent="0.25">
      <c r="A8" s="86"/>
      <c r="B8" s="88" t="s">
        <v>787</v>
      </c>
      <c r="C8" s="517" t="s">
        <v>795</v>
      </c>
      <c r="D8" s="517"/>
      <c r="E8" s="517"/>
      <c r="F8" s="517"/>
      <c r="G8" s="517"/>
      <c r="H8" s="517"/>
      <c r="I8" s="517"/>
      <c r="J8" s="517"/>
      <c r="K8" s="517"/>
    </row>
    <row r="9" spans="1:11" ht="14.25" customHeight="1" x14ac:dyDescent="0.25">
      <c r="A9" s="86"/>
      <c r="B9" s="88" t="s">
        <v>788</v>
      </c>
      <c r="C9" s="508" t="s">
        <v>796</v>
      </c>
      <c r="D9" s="509"/>
      <c r="E9" s="509"/>
      <c r="F9" s="509"/>
      <c r="G9" s="509"/>
      <c r="H9" s="509"/>
      <c r="I9" s="509"/>
      <c r="J9" s="509"/>
      <c r="K9" s="509"/>
    </row>
    <row r="10" spans="1:11" ht="12" customHeight="1" x14ac:dyDescent="0.25">
      <c r="A10" s="86"/>
      <c r="B10" s="88" t="s">
        <v>789</v>
      </c>
      <c r="C10" s="510" t="s">
        <v>1718</v>
      </c>
      <c r="D10" s="510"/>
      <c r="E10" s="510"/>
      <c r="F10" s="510"/>
      <c r="G10" s="510"/>
      <c r="H10" s="510"/>
      <c r="I10" s="510"/>
      <c r="J10" s="510"/>
      <c r="K10" s="87"/>
    </row>
    <row r="11" spans="1:11" ht="13.5" customHeight="1" x14ac:dyDescent="0.25">
      <c r="A11" s="86"/>
      <c r="B11" s="88" t="s">
        <v>790</v>
      </c>
      <c r="C11" s="511" t="s">
        <v>791</v>
      </c>
      <c r="D11" s="512"/>
      <c r="E11" s="512"/>
      <c r="F11" s="512"/>
      <c r="G11" s="512"/>
      <c r="H11" s="512"/>
      <c r="I11" s="512"/>
      <c r="J11" s="512"/>
      <c r="K11" s="512"/>
    </row>
    <row r="12" spans="1:11" ht="12.75" customHeight="1" x14ac:dyDescent="0.25">
      <c r="A12" s="85"/>
    </row>
    <row r="13" spans="1:11" ht="66" customHeight="1" x14ac:dyDescent="0.25">
      <c r="A13" s="86">
        <v>3</v>
      </c>
      <c r="B13" s="518" t="s">
        <v>430</v>
      </c>
      <c r="C13" s="518"/>
      <c r="D13" s="518"/>
      <c r="E13" s="518"/>
      <c r="F13" s="518"/>
      <c r="G13" s="518"/>
      <c r="H13" s="518"/>
      <c r="I13" s="518"/>
      <c r="J13" s="518"/>
      <c r="K13" s="518"/>
    </row>
    <row r="14" spans="1:11" ht="12.75" customHeight="1" x14ac:dyDescent="0.25">
      <c r="A14" s="85"/>
    </row>
    <row r="15" spans="1:11" ht="78" customHeight="1" x14ac:dyDescent="0.25">
      <c r="A15" s="86">
        <v>4</v>
      </c>
      <c r="B15" s="510" t="s">
        <v>1945</v>
      </c>
      <c r="C15" s="510"/>
      <c r="D15" s="510"/>
      <c r="E15" s="510"/>
      <c r="F15" s="510"/>
      <c r="G15" s="510"/>
      <c r="H15" s="510"/>
      <c r="I15" s="510"/>
      <c r="J15" s="510"/>
      <c r="K15" s="510"/>
    </row>
    <row r="16" spans="1:11" ht="12.75" customHeight="1" x14ac:dyDescent="0.25">
      <c r="A16" s="85"/>
    </row>
    <row r="17" spans="1:11" ht="27.75" customHeight="1" x14ac:dyDescent="0.25">
      <c r="A17" s="86">
        <v>5</v>
      </c>
      <c r="B17" s="510" t="s">
        <v>1719</v>
      </c>
      <c r="C17" s="510"/>
      <c r="D17" s="510"/>
      <c r="E17" s="510"/>
      <c r="F17" s="510"/>
      <c r="G17" s="510"/>
      <c r="H17" s="510"/>
      <c r="I17" s="510"/>
      <c r="J17" s="510"/>
      <c r="K17" s="510"/>
    </row>
    <row r="18" spans="1:11" ht="12.75" customHeight="1" x14ac:dyDescent="0.25">
      <c r="A18" s="85"/>
    </row>
    <row r="19" spans="1:11" ht="53.25" customHeight="1" x14ac:dyDescent="0.25">
      <c r="A19" s="86">
        <v>6</v>
      </c>
      <c r="B19" s="522" t="s">
        <v>797</v>
      </c>
      <c r="C19" s="522"/>
      <c r="D19" s="522"/>
      <c r="E19" s="522"/>
      <c r="F19" s="522"/>
      <c r="G19" s="522"/>
      <c r="H19" s="522"/>
      <c r="I19" s="522"/>
      <c r="J19" s="522"/>
      <c r="K19" s="522"/>
    </row>
    <row r="20" spans="1:11" ht="12.75" customHeight="1" x14ac:dyDescent="0.25">
      <c r="A20" s="85"/>
    </row>
    <row r="21" spans="1:11" ht="34.5" customHeight="1" x14ac:dyDescent="0.25">
      <c r="A21" s="86">
        <v>7</v>
      </c>
      <c r="B21" s="510" t="s">
        <v>798</v>
      </c>
      <c r="C21" s="510"/>
      <c r="D21" s="510"/>
      <c r="E21" s="510"/>
      <c r="F21" s="510"/>
      <c r="G21" s="510"/>
      <c r="H21" s="510"/>
      <c r="I21" s="510"/>
      <c r="J21" s="510"/>
      <c r="K21" s="510"/>
    </row>
    <row r="22" spans="1:11" ht="35.25" customHeight="1" x14ac:dyDescent="0.25">
      <c r="A22" s="86">
        <v>8</v>
      </c>
      <c r="B22" s="511" t="s">
        <v>3618</v>
      </c>
      <c r="C22" s="510"/>
      <c r="D22" s="510"/>
      <c r="E22" s="510"/>
      <c r="F22" s="510"/>
      <c r="G22" s="510"/>
      <c r="H22" s="510"/>
      <c r="I22" s="510"/>
      <c r="J22" s="510"/>
      <c r="K22" s="510"/>
    </row>
    <row r="23" spans="1:11" ht="12.75" customHeight="1" x14ac:dyDescent="0.25">
      <c r="A23" s="89">
        <v>9</v>
      </c>
      <c r="B23" s="523" t="s">
        <v>3619</v>
      </c>
      <c r="C23" s="523"/>
      <c r="D23" s="523"/>
      <c r="E23" s="523"/>
      <c r="F23" s="523"/>
      <c r="G23" s="523"/>
      <c r="H23" s="523"/>
      <c r="I23" s="523"/>
      <c r="J23" s="523"/>
      <c r="K23" s="523"/>
    </row>
    <row r="24" spans="1:11" x14ac:dyDescent="0.25">
      <c r="B24" s="523"/>
      <c r="C24" s="523"/>
      <c r="D24" s="523"/>
      <c r="E24" s="523"/>
      <c r="F24" s="523"/>
      <c r="G24" s="523"/>
      <c r="H24" s="523"/>
      <c r="I24" s="523"/>
      <c r="J24" s="523"/>
      <c r="K24" s="523"/>
    </row>
    <row r="25" spans="1:11" x14ac:dyDescent="0.25">
      <c r="B25" s="523"/>
      <c r="C25" s="523"/>
      <c r="D25" s="523"/>
      <c r="E25" s="523"/>
      <c r="F25" s="523"/>
      <c r="G25" s="523"/>
      <c r="H25" s="523"/>
      <c r="I25" s="523"/>
      <c r="J25" s="523"/>
      <c r="K25" s="523"/>
    </row>
    <row r="26" spans="1:11" ht="13.5" customHeight="1" x14ac:dyDescent="0.25">
      <c r="A26" s="86"/>
      <c r="B26" s="87"/>
      <c r="C26" s="87"/>
      <c r="D26" s="87"/>
      <c r="E26" s="87"/>
      <c r="F26" s="87"/>
      <c r="G26" s="87"/>
      <c r="H26" s="87"/>
      <c r="I26" s="87"/>
      <c r="J26" s="87"/>
      <c r="K26" s="87"/>
    </row>
    <row r="27" spans="1:11" ht="29.25" customHeight="1" x14ac:dyDescent="0.25">
      <c r="A27" s="90"/>
      <c r="B27" s="90"/>
      <c r="C27" s="520" t="s">
        <v>792</v>
      </c>
      <c r="D27" s="520"/>
      <c r="E27" s="520"/>
      <c r="F27" s="520"/>
      <c r="G27" s="520"/>
      <c r="H27" s="520"/>
      <c r="I27" s="520"/>
      <c r="J27" s="91"/>
      <c r="K27" s="91"/>
    </row>
    <row r="28" spans="1:11" ht="13" x14ac:dyDescent="0.3">
      <c r="A28" s="86"/>
      <c r="B28" s="92"/>
      <c r="C28" s="92"/>
      <c r="D28" s="92"/>
      <c r="E28" s="92"/>
      <c r="F28" s="92"/>
      <c r="G28" s="92"/>
      <c r="H28" s="92"/>
      <c r="I28" s="92"/>
      <c r="J28" s="92"/>
      <c r="K28" s="92"/>
    </row>
    <row r="29" spans="1:11" x14ac:dyDescent="0.25">
      <c r="A29" s="86"/>
      <c r="B29" s="90"/>
      <c r="C29" s="90"/>
      <c r="D29" s="519" t="s">
        <v>934</v>
      </c>
      <c r="E29" s="519"/>
      <c r="F29" s="90"/>
      <c r="G29" s="521" t="s">
        <v>793</v>
      </c>
      <c r="H29" s="521"/>
      <c r="I29" s="90"/>
      <c r="J29" s="90"/>
      <c r="K29" s="90"/>
    </row>
    <row r="30" spans="1:11" ht="15.5" x14ac:dyDescent="0.25">
      <c r="A30" s="85"/>
    </row>
  </sheetData>
  <sheetProtection algorithmName="SHA-512" hashValue="1+BB5ry96CGdT1ENE+jlvlYWQTHLMUsLZ69g5veAGOURJ9PvvvhO5ntOp21Jwzg6dFJrgzX82kn1PUEFPt1zxQ==" saltValue="Int3PbuzyJqXvxFr/dEnYw==" spinCount="100000" sheet="1" objects="1" scenarios="1"/>
  <mergeCells count="19">
    <mergeCell ref="B15:K15"/>
    <mergeCell ref="B13:K13"/>
    <mergeCell ref="D29:E29"/>
    <mergeCell ref="C27:I27"/>
    <mergeCell ref="G29:H29"/>
    <mergeCell ref="B19:K19"/>
    <mergeCell ref="B21:K21"/>
    <mergeCell ref="B17:K17"/>
    <mergeCell ref="B23:K25"/>
    <mergeCell ref="B22:K22"/>
    <mergeCell ref="C9:K9"/>
    <mergeCell ref="C10:J10"/>
    <mergeCell ref="C11:K11"/>
    <mergeCell ref="A1:K1"/>
    <mergeCell ref="A2:K2"/>
    <mergeCell ref="B6:K6"/>
    <mergeCell ref="C7:K7"/>
    <mergeCell ref="B4:K4"/>
    <mergeCell ref="C8:K8"/>
  </mergeCells>
  <phoneticPr fontId="0" type="noConversion"/>
  <hyperlinks>
    <hyperlink ref="B23:K25" r:id="rId1" display="To securely transmit the HAR 2016 and other electronic documents, please go to https://portal.mnhospitals.org/ and follow the instructions on the web page." xr:uid="{00000000-0004-0000-0000-000000000000}"/>
    <hyperlink ref="D29:E29" location="'2016 HAR'!A1" display="start of formset" xr:uid="{00000000-0004-0000-0000-000001000000}"/>
    <hyperlink ref="G29:H29" r:id="rId2" display="e-mail MHA" xr:uid="{00000000-0004-0000-0000-000002000000}"/>
  </hyperlinks>
  <pageMargins left="0.75" right="0.75" top="1" bottom="1" header="0.5" footer="0.5"/>
  <pageSetup scale="89" orientation="portrait" r:id="rId3"/>
  <headerFooter alignWithMargins="0">
    <oddFooter xml:space="preserve">&amp;LMDH
http://health.state.mn.us/divs/hpsc/dap/hccis
Phone: 651-201-3572
Fax: 651-201-5179&amp;CPage &amp;P
2017 Hospital Annual Report
Health Care Cost  Information System (HCCIS)&amp;RMHA
Jsanislo@mnhospitals.org
Phone: 651-641-1121 
Fax: 651-659-1477 </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A1:C77"/>
  <sheetViews>
    <sheetView showGridLines="0" zoomScaleNormal="100" workbookViewId="0">
      <selection sqref="A1:C1"/>
    </sheetView>
  </sheetViews>
  <sheetFormatPr defaultColWidth="9.1796875" defaultRowHeight="12.5" x14ac:dyDescent="0.25"/>
  <cols>
    <col min="1" max="1" width="9.1796875" style="222"/>
    <col min="2" max="2" width="36.7265625" style="222" customWidth="1"/>
    <col min="3" max="3" width="48.7265625" style="222" customWidth="1"/>
    <col min="4" max="16384" width="9.1796875" style="182"/>
  </cols>
  <sheetData>
    <row r="1" spans="1:3" ht="20" x14ac:dyDescent="0.4">
      <c r="A1" s="1526" t="s">
        <v>3635</v>
      </c>
      <c r="B1" s="1527"/>
      <c r="C1" s="1527"/>
    </row>
    <row r="2" spans="1:3" ht="13" x14ac:dyDescent="0.3">
      <c r="A2" s="183"/>
      <c r="B2" s="184"/>
      <c r="C2" s="185"/>
    </row>
    <row r="3" spans="1:3" ht="13" x14ac:dyDescent="0.3">
      <c r="A3" s="183" t="s">
        <v>1722</v>
      </c>
      <c r="B3" s="184" t="s">
        <v>1723</v>
      </c>
      <c r="C3" s="186" t="s">
        <v>1724</v>
      </c>
    </row>
    <row r="4" spans="1:3" ht="62.5" x14ac:dyDescent="0.25">
      <c r="A4" s="187">
        <v>7082</v>
      </c>
      <c r="B4" s="188" t="s">
        <v>61</v>
      </c>
      <c r="C4" s="189" t="s">
        <v>1743</v>
      </c>
    </row>
    <row r="5" spans="1:3" ht="13" x14ac:dyDescent="0.3">
      <c r="A5" s="183"/>
      <c r="B5" s="184"/>
      <c r="C5" s="186"/>
    </row>
    <row r="6" spans="1:3" ht="18" customHeight="1" x14ac:dyDescent="0.25">
      <c r="A6" s="465"/>
      <c r="B6" s="192" t="s">
        <v>603</v>
      </c>
      <c r="C6" s="1538" t="s">
        <v>3636</v>
      </c>
    </row>
    <row r="7" spans="1:3" ht="13" x14ac:dyDescent="0.25">
      <c r="A7" s="468">
        <v>216</v>
      </c>
      <c r="B7" s="195"/>
      <c r="C7" s="1535"/>
    </row>
    <row r="8" spans="1:3" ht="13" x14ac:dyDescent="0.25">
      <c r="A8" s="468">
        <v>739</v>
      </c>
      <c r="B8" s="195"/>
      <c r="C8" s="1535"/>
    </row>
    <row r="9" spans="1:3" ht="264" customHeight="1" x14ac:dyDescent="0.25">
      <c r="A9" s="468">
        <v>8100</v>
      </c>
      <c r="B9" s="195"/>
      <c r="C9" s="1539"/>
    </row>
    <row r="10" spans="1:3" ht="13" x14ac:dyDescent="0.3">
      <c r="A10" s="466"/>
      <c r="B10" s="467"/>
      <c r="C10" s="189"/>
    </row>
    <row r="11" spans="1:3" ht="175.5" customHeight="1" x14ac:dyDescent="0.25">
      <c r="A11" s="191">
        <v>762</v>
      </c>
      <c r="B11" s="192" t="s">
        <v>650</v>
      </c>
      <c r="C11" s="193" t="s">
        <v>1674</v>
      </c>
    </row>
    <row r="12" spans="1:3" ht="183" customHeight="1" x14ac:dyDescent="0.25">
      <c r="A12" s="194" t="s">
        <v>1725</v>
      </c>
      <c r="B12" s="195"/>
      <c r="C12" s="196" t="s">
        <v>692</v>
      </c>
    </row>
    <row r="13" spans="1:3" ht="25" x14ac:dyDescent="0.25">
      <c r="A13" s="197"/>
      <c r="B13" s="198"/>
      <c r="C13" s="338" t="s">
        <v>1943</v>
      </c>
    </row>
    <row r="14" spans="1:3" ht="13" x14ac:dyDescent="0.3">
      <c r="A14" s="190"/>
      <c r="B14" s="184"/>
      <c r="C14" s="185"/>
    </row>
    <row r="15" spans="1:3" x14ac:dyDescent="0.25">
      <c r="A15" s="1531">
        <v>630</v>
      </c>
      <c r="B15" s="1528" t="s">
        <v>442</v>
      </c>
      <c r="C15" s="449" t="s">
        <v>1726</v>
      </c>
    </row>
    <row r="16" spans="1:3" ht="87.5" x14ac:dyDescent="0.25">
      <c r="A16" s="1532"/>
      <c r="B16" s="1529"/>
      <c r="C16" s="199" t="s">
        <v>693</v>
      </c>
    </row>
    <row r="17" spans="1:3" ht="50" x14ac:dyDescent="0.25">
      <c r="A17" s="1532"/>
      <c r="B17" s="1529"/>
      <c r="C17" s="199" t="s">
        <v>1727</v>
      </c>
    </row>
    <row r="18" spans="1:3" ht="100" x14ac:dyDescent="0.25">
      <c r="A18" s="1532"/>
      <c r="B18" s="1529"/>
      <c r="C18" s="199" t="s">
        <v>80</v>
      </c>
    </row>
    <row r="19" spans="1:3" ht="100" x14ac:dyDescent="0.25">
      <c r="A19" s="1532"/>
      <c r="B19" s="1529"/>
      <c r="C19" s="199" t="s">
        <v>81</v>
      </c>
    </row>
    <row r="20" spans="1:3" ht="100" x14ac:dyDescent="0.25">
      <c r="A20" s="1532"/>
      <c r="B20" s="1529"/>
      <c r="C20" s="199" t="s">
        <v>82</v>
      </c>
    </row>
    <row r="21" spans="1:3" ht="137.5" x14ac:dyDescent="0.25">
      <c r="A21" s="1532"/>
      <c r="B21" s="1529"/>
      <c r="C21" s="199" t="s">
        <v>83</v>
      </c>
    </row>
    <row r="22" spans="1:3" ht="62.5" x14ac:dyDescent="0.25">
      <c r="A22" s="1532"/>
      <c r="B22" s="1529"/>
      <c r="C22" s="199" t="s">
        <v>1728</v>
      </c>
    </row>
    <row r="23" spans="1:3" ht="250" x14ac:dyDescent="0.25">
      <c r="A23" s="1533"/>
      <c r="B23" s="1530"/>
      <c r="C23" s="200" t="s">
        <v>1764</v>
      </c>
    </row>
    <row r="24" spans="1:3" ht="13" x14ac:dyDescent="0.25">
      <c r="A24" s="201"/>
      <c r="B24" s="186"/>
      <c r="C24" s="185"/>
    </row>
    <row r="25" spans="1:3" ht="125.5" x14ac:dyDescent="0.25">
      <c r="A25" s="202">
        <v>637</v>
      </c>
      <c r="B25" s="203" t="s">
        <v>443</v>
      </c>
      <c r="C25" s="204" t="s">
        <v>1765</v>
      </c>
    </row>
    <row r="26" spans="1:3" ht="13" x14ac:dyDescent="0.25">
      <c r="A26" s="205"/>
      <c r="B26" s="206"/>
      <c r="C26" s="207"/>
    </row>
    <row r="27" spans="1:3" ht="88" x14ac:dyDescent="0.25">
      <c r="A27" s="202">
        <v>650</v>
      </c>
      <c r="B27" s="203" t="s">
        <v>444</v>
      </c>
      <c r="C27" s="204" t="s">
        <v>1766</v>
      </c>
    </row>
    <row r="28" spans="1:3" ht="13" x14ac:dyDescent="0.25">
      <c r="A28" s="201"/>
      <c r="B28" s="186"/>
      <c r="C28" s="185"/>
    </row>
    <row r="29" spans="1:3" ht="100.5" x14ac:dyDescent="0.25">
      <c r="A29" s="202">
        <v>655</v>
      </c>
      <c r="B29" s="203" t="s">
        <v>1729</v>
      </c>
      <c r="C29" s="204" t="s">
        <v>759</v>
      </c>
    </row>
    <row r="30" spans="1:3" ht="13" x14ac:dyDescent="0.25">
      <c r="A30" s="201"/>
      <c r="B30" s="186"/>
      <c r="C30" s="185"/>
    </row>
    <row r="31" spans="1:3" ht="187.5" x14ac:dyDescent="0.25">
      <c r="A31" s="202">
        <v>7410</v>
      </c>
      <c r="B31" s="203" t="s">
        <v>649</v>
      </c>
      <c r="C31" s="208" t="s">
        <v>986</v>
      </c>
    </row>
    <row r="32" spans="1:3" ht="13" x14ac:dyDescent="0.25">
      <c r="A32" s="201"/>
      <c r="B32" s="186"/>
      <c r="C32" s="185"/>
    </row>
    <row r="33" spans="1:3" ht="13" x14ac:dyDescent="0.3">
      <c r="A33" s="209"/>
      <c r="B33" s="210" t="s">
        <v>1730</v>
      </c>
      <c r="C33" s="1534" t="s">
        <v>987</v>
      </c>
    </row>
    <row r="34" spans="1:3" ht="25" x14ac:dyDescent="0.25">
      <c r="A34" s="211">
        <v>751</v>
      </c>
      <c r="B34" s="212" t="s">
        <v>1731</v>
      </c>
      <c r="C34" s="1535"/>
    </row>
    <row r="35" spans="1:3" x14ac:dyDescent="0.25">
      <c r="A35" s="213">
        <v>847</v>
      </c>
      <c r="B35" s="212" t="s">
        <v>1732</v>
      </c>
      <c r="C35" s="1536"/>
    </row>
    <row r="36" spans="1:3" x14ac:dyDescent="0.25">
      <c r="A36" s="211">
        <v>4026</v>
      </c>
      <c r="B36" s="212" t="s">
        <v>1733</v>
      </c>
      <c r="C36" s="1536"/>
    </row>
    <row r="37" spans="1:3" ht="71.25" customHeight="1" x14ac:dyDescent="0.25">
      <c r="A37" s="214">
        <v>4344</v>
      </c>
      <c r="B37" s="215" t="s">
        <v>1734</v>
      </c>
      <c r="C37" s="1537"/>
    </row>
    <row r="39" spans="1:3" ht="96.75" customHeight="1" x14ac:dyDescent="0.25">
      <c r="A39" s="216" t="s">
        <v>88</v>
      </c>
      <c r="B39" s="217" t="s">
        <v>1735</v>
      </c>
      <c r="C39" s="334" t="s">
        <v>432</v>
      </c>
    </row>
    <row r="41" spans="1:3" ht="83.25" customHeight="1" x14ac:dyDescent="0.25">
      <c r="A41" s="218">
        <v>7567</v>
      </c>
      <c r="B41" s="217" t="s">
        <v>612</v>
      </c>
      <c r="C41" s="334" t="s">
        <v>1944</v>
      </c>
    </row>
    <row r="43" spans="1:3" ht="37.5" x14ac:dyDescent="0.25">
      <c r="A43" s="218">
        <v>7570</v>
      </c>
      <c r="B43" s="217" t="s">
        <v>1736</v>
      </c>
      <c r="C43" s="219" t="s">
        <v>1737</v>
      </c>
    </row>
    <row r="45" spans="1:3" ht="83.25" customHeight="1" x14ac:dyDescent="0.25">
      <c r="A45" s="218">
        <v>7575</v>
      </c>
      <c r="B45" s="217" t="s">
        <v>1738</v>
      </c>
      <c r="C45" s="219" t="s">
        <v>1538</v>
      </c>
    </row>
    <row r="47" spans="1:3" ht="187.5" x14ac:dyDescent="0.25">
      <c r="A47" s="218">
        <v>7310</v>
      </c>
      <c r="B47" s="217" t="s">
        <v>1739</v>
      </c>
      <c r="C47" s="219" t="s">
        <v>1927</v>
      </c>
    </row>
    <row r="49" spans="1:3" ht="175" x14ac:dyDescent="0.25">
      <c r="A49" s="218">
        <v>7577</v>
      </c>
      <c r="B49" s="217" t="s">
        <v>1740</v>
      </c>
      <c r="C49" s="219" t="s">
        <v>1926</v>
      </c>
    </row>
    <row r="51" spans="1:3" ht="150" x14ac:dyDescent="0.25">
      <c r="A51" s="218">
        <v>7578</v>
      </c>
      <c r="B51" s="217" t="s">
        <v>450</v>
      </c>
      <c r="C51" s="219" t="s">
        <v>1744</v>
      </c>
    </row>
    <row r="53" spans="1:3" ht="137.5" x14ac:dyDescent="0.25">
      <c r="A53" s="218">
        <v>7579</v>
      </c>
      <c r="B53" s="217" t="s">
        <v>451</v>
      </c>
      <c r="C53" s="219" t="s">
        <v>1675</v>
      </c>
    </row>
    <row r="55" spans="1:3" ht="50" x14ac:dyDescent="0.25">
      <c r="A55" s="218">
        <v>7580</v>
      </c>
      <c r="B55" s="217" t="s">
        <v>452</v>
      </c>
      <c r="C55" s="219" t="s">
        <v>1741</v>
      </c>
    </row>
    <row r="57" spans="1:3" ht="162.5" x14ac:dyDescent="0.25">
      <c r="A57" s="218">
        <v>7581</v>
      </c>
      <c r="B57" s="217" t="s">
        <v>453</v>
      </c>
      <c r="C57" s="219" t="s">
        <v>1676</v>
      </c>
    </row>
    <row r="59" spans="1:3" ht="100" x14ac:dyDescent="0.25">
      <c r="A59" s="218">
        <v>7582</v>
      </c>
      <c r="B59" s="217" t="s">
        <v>454</v>
      </c>
      <c r="C59" s="219" t="s">
        <v>1677</v>
      </c>
    </row>
    <row r="61" spans="1:3" ht="150" x14ac:dyDescent="0.25">
      <c r="A61" s="218">
        <v>7583</v>
      </c>
      <c r="B61" s="217" t="s">
        <v>455</v>
      </c>
      <c r="C61" s="219" t="s">
        <v>1678</v>
      </c>
    </row>
    <row r="63" spans="1:3" ht="112.5" x14ac:dyDescent="0.25">
      <c r="A63" s="218">
        <v>7584</v>
      </c>
      <c r="B63" s="217" t="s">
        <v>456</v>
      </c>
      <c r="C63" s="219" t="s">
        <v>1679</v>
      </c>
    </row>
    <row r="65" spans="1:3" ht="150" x14ac:dyDescent="0.25">
      <c r="A65" s="218">
        <v>7576</v>
      </c>
      <c r="B65" s="217" t="s">
        <v>990</v>
      </c>
      <c r="C65" s="219" t="s">
        <v>1680</v>
      </c>
    </row>
    <row r="67" spans="1:3" ht="252" customHeight="1" x14ac:dyDescent="0.25">
      <c r="A67" s="475">
        <v>7594</v>
      </c>
      <c r="B67" s="217" t="s">
        <v>1742</v>
      </c>
      <c r="C67" s="219" t="s">
        <v>694</v>
      </c>
    </row>
    <row r="68" spans="1:3" ht="13.5" customHeight="1" x14ac:dyDescent="0.25">
      <c r="A68" s="220"/>
      <c r="B68" s="220"/>
      <c r="C68" s="221"/>
    </row>
    <row r="69" spans="1:3" ht="25" x14ac:dyDescent="0.25">
      <c r="A69" s="321" t="s">
        <v>1616</v>
      </c>
      <c r="B69" s="217" t="s">
        <v>1421</v>
      </c>
      <c r="C69" s="219" t="s">
        <v>1422</v>
      </c>
    </row>
    <row r="71" spans="1:3" ht="37.5" x14ac:dyDescent="0.25">
      <c r="A71" s="469" t="s">
        <v>1928</v>
      </c>
      <c r="B71" s="188" t="s">
        <v>907</v>
      </c>
      <c r="C71" s="314" t="s">
        <v>1617</v>
      </c>
    </row>
    <row r="73" spans="1:3" ht="37.5" x14ac:dyDescent="0.3">
      <c r="A73" s="313"/>
      <c r="B73" s="188" t="s">
        <v>1609</v>
      </c>
      <c r="C73" s="314" t="s">
        <v>1610</v>
      </c>
    </row>
    <row r="75" spans="1:3" ht="37.5" x14ac:dyDescent="0.3">
      <c r="A75" s="313"/>
      <c r="B75" s="188" t="s">
        <v>1611</v>
      </c>
      <c r="C75" s="314" t="s">
        <v>1612</v>
      </c>
    </row>
    <row r="77" spans="1:3" ht="300.5" x14ac:dyDescent="0.25">
      <c r="A77" s="315" t="s">
        <v>1613</v>
      </c>
      <c r="B77" s="188" t="s">
        <v>1614</v>
      </c>
      <c r="C77" s="314" t="s">
        <v>1615</v>
      </c>
    </row>
  </sheetData>
  <sheetProtection algorithmName="SHA-512" hashValue="sJAu4JgRqXV8v6esAZRLkYQ2DpDQRSToq881wI8plPLdopTltP19QPWyd9h2Fy5t4rl3WLlgM1RRpyWwhbuN7A==" saltValue="Gq49pUXBTX9yFRI0IBAw8A==" spinCount="100000" sheet="1" objects="1" scenarios="1"/>
  <mergeCells count="5">
    <mergeCell ref="A1:C1"/>
    <mergeCell ref="B15:B23"/>
    <mergeCell ref="A15:A23"/>
    <mergeCell ref="C33:C37"/>
    <mergeCell ref="C6:C9"/>
  </mergeCells>
  <phoneticPr fontId="0" type="noConversion"/>
  <hyperlinks>
    <hyperlink ref="A11" location="code_0762" display="code_0762" xr:uid="{00000000-0004-0000-0900-000000000000}"/>
    <hyperlink ref="A15" location="code_0630" display="code_0630" xr:uid="{00000000-0004-0000-0900-000001000000}"/>
    <hyperlink ref="A25" location="Code_0637" display="Code_0637" xr:uid="{00000000-0004-0000-0900-000002000000}"/>
    <hyperlink ref="A27" location="Code_0650" display="Code_0650" xr:uid="{00000000-0004-0000-0900-000003000000}"/>
    <hyperlink ref="A29" location="Code_0655" display="Code_0655" xr:uid="{00000000-0004-0000-0900-000004000000}"/>
    <hyperlink ref="A4" location="Code_7082" display="Code_7082" xr:uid="{00000000-0004-0000-0900-000005000000}"/>
    <hyperlink ref="A31" location="Code_7410" display="Code_7410" xr:uid="{00000000-0004-0000-0900-000006000000}"/>
    <hyperlink ref="A34" location="code_0751" display="code_0751" xr:uid="{00000000-0004-0000-0900-000007000000}"/>
    <hyperlink ref="A35" location="Code_0847" display="Code_0847" xr:uid="{00000000-0004-0000-0900-000008000000}"/>
    <hyperlink ref="A36" location="Code_4026" display="Code_4026" xr:uid="{00000000-0004-0000-0900-000009000000}"/>
    <hyperlink ref="A37" location="Code_4344" display="Code_4344" xr:uid="{00000000-0004-0000-0900-00000A000000}"/>
    <hyperlink ref="A39" location="NPI" display="NPI" xr:uid="{00000000-0004-0000-0900-00000B000000}"/>
    <hyperlink ref="A41" location="Code_7567" display="Code_7567" xr:uid="{00000000-0004-0000-0900-00000C000000}"/>
    <hyperlink ref="A45" location="Code_7575" display="Code_7575" xr:uid="{00000000-0004-0000-0900-00000D000000}"/>
    <hyperlink ref="A12" location="Code_7573" display="Code_7573" xr:uid="{00000000-0004-0000-0900-00000E000000}"/>
    <hyperlink ref="A43" location="Code_7570" display="Code_7570" xr:uid="{00000000-0004-0000-0900-00000F000000}"/>
    <hyperlink ref="A47" location="Code_7310" display="Code_7310" xr:uid="{00000000-0004-0000-0900-000010000000}"/>
    <hyperlink ref="A49" location="Code_7577" display="Code_7577" xr:uid="{00000000-0004-0000-0900-000011000000}"/>
    <hyperlink ref="A51" location="Code_7578" display="Code_7578" xr:uid="{00000000-0004-0000-0900-000012000000}"/>
    <hyperlink ref="A53" location="Code_7579" display="Code_7579" xr:uid="{00000000-0004-0000-0900-000013000000}"/>
    <hyperlink ref="A55" location="Code_7580" display="Code_7580" xr:uid="{00000000-0004-0000-0900-000014000000}"/>
    <hyperlink ref="A57" location="Code_7581" display="Code_7581" xr:uid="{00000000-0004-0000-0900-000015000000}"/>
    <hyperlink ref="A59" location="Code_7582" display="Code_7582" xr:uid="{00000000-0004-0000-0900-000016000000}"/>
    <hyperlink ref="A61" location="Code_7583" display="Code_7583" xr:uid="{00000000-0004-0000-0900-000017000000}"/>
    <hyperlink ref="A63" location="Code_7584" display="Code_7584" xr:uid="{00000000-0004-0000-0900-000018000000}"/>
    <hyperlink ref="A65" location="Code_7576" display="Code_7576" xr:uid="{00000000-0004-0000-0900-000019000000}"/>
    <hyperlink ref="A67" location="Code_7594" display="Code_7594" xr:uid="{00000000-0004-0000-0900-00001A000000}"/>
    <hyperlink ref="A69" location="'Capital Expend Project Specific'!E10" display="return to formset" xr:uid="{00000000-0004-0000-0900-00001B000000}"/>
    <hyperlink ref="A77" location="'Capital Expend Project Specific'!A1" display="Return to Project Specific tab" xr:uid="{00000000-0004-0000-0900-00001C000000}"/>
    <hyperlink ref="A71" location="'2014 HAR'!G760" display="return to section 57" xr:uid="{00000000-0004-0000-0900-00001D000000}"/>
    <hyperlink ref="A7" location="Code_0216" display="Code_0216" xr:uid="{00000000-0004-0000-0900-00001E000000}"/>
    <hyperlink ref="A8" location="Code_0739" display="Code_0739" xr:uid="{00000000-0004-0000-0900-00001F000000}"/>
    <hyperlink ref="A9" location="Code_8100" display="Code_8100" xr:uid="{00000000-0004-0000-0900-000020000000}"/>
  </hyperlinks>
  <pageMargins left="0.75" right="0.75" top="1" bottom="1.19" header="0.5" footer="0.5"/>
  <pageSetup scale="79" fitToHeight="13" orientation="portrait" r:id="rId1"/>
  <headerFooter alignWithMargins="0">
    <oddFooter>&amp;LMDH
http://health.state.mn.us/divs/hpsc/dap/hccis
Phone: 651-201-3572 
Fax: 651-201-5179&amp;CPage &amp;P
2016 Hospital Annual Report
Health Care Cost  Information System (HCCIS)&amp;RMHA
Jsanislo@mnhospitals.org
Phone: 651-641-1121 
Fax: 651-659-1477</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pageSetUpPr fitToPage="1"/>
  </sheetPr>
  <dimension ref="A1:BY150"/>
  <sheetViews>
    <sheetView zoomScaleNormal="100" workbookViewId="0"/>
  </sheetViews>
  <sheetFormatPr defaultColWidth="9.1796875" defaultRowHeight="12.5" x14ac:dyDescent="0.25"/>
  <cols>
    <col min="1" max="1" width="9.54296875" style="104" customWidth="1"/>
    <col min="2" max="2" width="13.453125" style="331" bestFit="1" customWidth="1"/>
    <col min="3" max="3" width="42.81640625" style="104" bestFit="1" customWidth="1"/>
    <col min="4" max="4" width="22.1796875" style="104" customWidth="1"/>
    <col min="5" max="5" width="35.26953125" style="104" hidden="1" customWidth="1"/>
    <col min="6" max="7" width="14" style="104" hidden="1" customWidth="1"/>
    <col min="8" max="8" width="21.453125" style="104" hidden="1" customWidth="1"/>
    <col min="9" max="9" width="5.7265625" style="104" hidden="1" customWidth="1"/>
    <col min="10" max="10" width="6.81640625" style="104" hidden="1" customWidth="1"/>
    <col min="11" max="11" width="5.81640625" style="104" hidden="1" customWidth="1"/>
    <col min="12" max="13" width="13.453125" style="330" hidden="1" customWidth="1"/>
    <col min="14" max="15" width="13" style="104" hidden="1" customWidth="1"/>
    <col min="16" max="16" width="28.54296875" style="104" hidden="1" customWidth="1"/>
    <col min="17" max="17" width="34.7265625" style="104" hidden="1" customWidth="1"/>
    <col min="18" max="18" width="16.453125" style="104" hidden="1" customWidth="1"/>
    <col min="19" max="20" width="14.54296875" style="104" hidden="1" customWidth="1"/>
    <col min="21" max="21" width="29.1796875" style="104" hidden="1" customWidth="1"/>
    <col min="22" max="22" width="13.81640625" style="473" hidden="1" customWidth="1"/>
    <col min="23" max="23" width="14.7265625" style="104" hidden="1" customWidth="1"/>
    <col min="24" max="24" width="13.453125" style="330" hidden="1" customWidth="1"/>
    <col min="25" max="32" width="34.26953125" style="104" hidden="1" customWidth="1"/>
    <col min="33" max="33" width="57.54296875" style="104" hidden="1" customWidth="1"/>
    <col min="34" max="34" width="38.7265625" style="104" hidden="1" customWidth="1"/>
    <col min="35" max="35" width="14.81640625" style="104" hidden="1" customWidth="1"/>
    <col min="36" max="36" width="4.81640625" style="104" hidden="1" customWidth="1"/>
    <col min="37" max="37" width="46" style="104" hidden="1" customWidth="1"/>
    <col min="38" max="38" width="15.453125" style="104" hidden="1" customWidth="1"/>
    <col min="39" max="39" width="15.7265625" style="104" hidden="1" customWidth="1"/>
    <col min="40" max="40" width="21.453125" style="104" hidden="1" customWidth="1"/>
    <col min="41" max="41" width="16.453125" style="330" hidden="1" customWidth="1"/>
    <col min="42" max="42" width="19.26953125" style="104" hidden="1" customWidth="1"/>
    <col min="43" max="43" width="13.453125" style="330" hidden="1" customWidth="1"/>
    <col min="44" max="44" width="23.81640625" style="104" hidden="1" customWidth="1"/>
    <col min="45" max="46" width="9.1796875" style="104" hidden="1" customWidth="1"/>
    <col min="47" max="47" width="10.1796875" style="104" hidden="1" customWidth="1"/>
    <col min="48" max="52" width="9.1796875" style="104" hidden="1" customWidth="1"/>
    <col min="53" max="53" width="9" style="104" hidden="1" customWidth="1"/>
    <col min="54" max="54" width="12" style="104" hidden="1" customWidth="1"/>
    <col min="55" max="55" width="21.7265625" style="104" hidden="1" customWidth="1"/>
    <col min="56" max="56" width="11.453125" style="104" hidden="1" customWidth="1"/>
    <col min="57" max="77" width="9.1796875" style="104" hidden="1" customWidth="1"/>
    <col min="78" max="79" width="9.1796875" style="104" customWidth="1"/>
    <col min="80" max="16384" width="9.1796875" style="104"/>
  </cols>
  <sheetData>
    <row r="1" spans="1:77" s="107" customFormat="1" ht="25" x14ac:dyDescent="0.5">
      <c r="A1" s="332" t="s">
        <v>3637</v>
      </c>
      <c r="B1" s="322"/>
      <c r="F1" s="107">
        <v>6</v>
      </c>
      <c r="G1" s="107">
        <v>7</v>
      </c>
      <c r="H1" s="107">
        <v>8</v>
      </c>
      <c r="I1" s="107">
        <v>9</v>
      </c>
      <c r="J1" s="107">
        <v>10</v>
      </c>
      <c r="K1" s="107">
        <v>11</v>
      </c>
      <c r="L1" s="107">
        <v>12</v>
      </c>
      <c r="M1" s="107">
        <v>13</v>
      </c>
      <c r="N1" s="107">
        <v>14</v>
      </c>
      <c r="O1" s="107">
        <v>15</v>
      </c>
      <c r="P1" s="107">
        <v>16</v>
      </c>
      <c r="Q1" s="107">
        <v>17</v>
      </c>
      <c r="R1" s="107">
        <v>18</v>
      </c>
      <c r="S1" s="107">
        <v>19</v>
      </c>
      <c r="T1" s="107">
        <v>20</v>
      </c>
      <c r="U1" s="107">
        <v>21</v>
      </c>
      <c r="V1" s="471">
        <v>22</v>
      </c>
      <c r="W1" s="107">
        <v>23</v>
      </c>
      <c r="X1" s="324">
        <v>24</v>
      </c>
      <c r="Y1" s="107">
        <v>25</v>
      </c>
      <c r="Z1" s="107">
        <v>26</v>
      </c>
      <c r="AA1" s="107">
        <v>27</v>
      </c>
      <c r="AB1" s="107">
        <v>28</v>
      </c>
      <c r="AC1" s="107">
        <v>29</v>
      </c>
      <c r="AD1" s="107">
        <v>30</v>
      </c>
      <c r="AE1" s="107">
        <v>31</v>
      </c>
      <c r="AF1" s="107">
        <v>32</v>
      </c>
      <c r="AG1" s="107">
        <v>33</v>
      </c>
      <c r="AH1" s="107">
        <v>34</v>
      </c>
      <c r="AI1" s="107">
        <v>35</v>
      </c>
      <c r="AJ1" s="107">
        <v>36</v>
      </c>
      <c r="AK1" s="107">
        <v>37</v>
      </c>
      <c r="AL1" s="107">
        <v>38</v>
      </c>
      <c r="AM1" s="107">
        <v>39</v>
      </c>
      <c r="AN1" s="107">
        <v>40</v>
      </c>
      <c r="AO1" s="107">
        <v>41</v>
      </c>
      <c r="AP1" s="107">
        <v>42</v>
      </c>
      <c r="AQ1" s="107">
        <v>43</v>
      </c>
      <c r="AR1" s="107">
        <v>44</v>
      </c>
      <c r="AS1" s="107">
        <v>45</v>
      </c>
      <c r="AT1" s="107">
        <v>46</v>
      </c>
      <c r="AU1" s="107">
        <v>47</v>
      </c>
      <c r="AV1" s="107">
        <v>48</v>
      </c>
      <c r="AW1" s="107">
        <v>49</v>
      </c>
      <c r="AX1" s="107">
        <v>50</v>
      </c>
      <c r="AY1" s="107">
        <v>51</v>
      </c>
      <c r="AZ1" s="107">
        <v>52</v>
      </c>
      <c r="BA1" s="107">
        <v>53</v>
      </c>
      <c r="BB1" s="107">
        <v>54</v>
      </c>
      <c r="BC1" s="107">
        <v>55</v>
      </c>
      <c r="BD1" s="107">
        <v>56</v>
      </c>
      <c r="BE1" s="107">
        <v>57</v>
      </c>
      <c r="BF1" s="107">
        <v>58</v>
      </c>
      <c r="BG1" s="107">
        <v>59</v>
      </c>
      <c r="BH1" s="107">
        <v>60</v>
      </c>
      <c r="BI1" s="107">
        <v>61</v>
      </c>
      <c r="BJ1" s="107">
        <v>62</v>
      </c>
      <c r="BK1" s="107">
        <v>63</v>
      </c>
      <c r="BL1" s="107">
        <v>64</v>
      </c>
      <c r="BM1" s="107">
        <v>65</v>
      </c>
      <c r="BN1" s="107">
        <v>66</v>
      </c>
      <c r="BO1" s="107">
        <v>67</v>
      </c>
      <c r="BP1" s="107">
        <v>68</v>
      </c>
      <c r="BQ1" s="107">
        <v>69</v>
      </c>
      <c r="BR1" s="107">
        <v>70</v>
      </c>
      <c r="BS1" s="107">
        <v>71</v>
      </c>
      <c r="BT1" s="107">
        <v>72</v>
      </c>
      <c r="BU1" s="107">
        <v>73</v>
      </c>
      <c r="BV1" s="107">
        <v>74</v>
      </c>
      <c r="BW1" s="107">
        <v>75</v>
      </c>
      <c r="BX1" s="107">
        <v>76</v>
      </c>
    </row>
    <row r="2" spans="1:77" s="107" customFormat="1" ht="78" x14ac:dyDescent="0.3">
      <c r="A2" s="107" t="s">
        <v>87</v>
      </c>
      <c r="B2" s="323" t="s">
        <v>88</v>
      </c>
      <c r="C2" s="107" t="s">
        <v>90</v>
      </c>
      <c r="D2" s="107" t="s">
        <v>95</v>
      </c>
      <c r="E2" s="107" t="s">
        <v>91</v>
      </c>
      <c r="F2" s="107" t="s">
        <v>695</v>
      </c>
      <c r="G2" s="107" t="s">
        <v>93</v>
      </c>
      <c r="H2" s="107" t="s">
        <v>98</v>
      </c>
      <c r="I2" s="107" t="s">
        <v>696</v>
      </c>
      <c r="J2" s="107" t="s">
        <v>697</v>
      </c>
      <c r="K2" s="107" t="s">
        <v>698</v>
      </c>
      <c r="L2" s="324" t="s">
        <v>699</v>
      </c>
      <c r="M2" s="324" t="s">
        <v>700</v>
      </c>
      <c r="N2" s="325" t="s">
        <v>701</v>
      </c>
      <c r="O2" s="325" t="s">
        <v>702</v>
      </c>
      <c r="P2" s="107" t="s">
        <v>703</v>
      </c>
      <c r="Q2" s="107" t="s">
        <v>704</v>
      </c>
      <c r="R2" s="107" t="s">
        <v>705</v>
      </c>
      <c r="S2" s="325" t="s">
        <v>706</v>
      </c>
      <c r="T2" s="325" t="s">
        <v>707</v>
      </c>
      <c r="U2" s="107" t="s">
        <v>708</v>
      </c>
      <c r="V2" s="472" t="s">
        <v>709</v>
      </c>
      <c r="W2" s="325" t="s">
        <v>710</v>
      </c>
      <c r="X2" s="326" t="s">
        <v>711</v>
      </c>
      <c r="Y2" s="107" t="s">
        <v>712</v>
      </c>
      <c r="Z2" s="107" t="s">
        <v>713</v>
      </c>
      <c r="AA2" s="107" t="s">
        <v>714</v>
      </c>
      <c r="AB2" s="107" t="s">
        <v>95</v>
      </c>
      <c r="AC2" s="107" t="s">
        <v>696</v>
      </c>
      <c r="AD2" s="107" t="s">
        <v>97</v>
      </c>
      <c r="AE2" s="107" t="s">
        <v>715</v>
      </c>
      <c r="AF2" s="107" t="s">
        <v>98</v>
      </c>
      <c r="AG2" s="107" t="s">
        <v>716</v>
      </c>
      <c r="AH2" s="107" t="s">
        <v>717</v>
      </c>
      <c r="AI2" s="107" t="s">
        <v>718</v>
      </c>
      <c r="AJ2" s="107" t="s">
        <v>719</v>
      </c>
      <c r="AK2" s="107" t="s">
        <v>370</v>
      </c>
      <c r="AL2" s="325" t="s">
        <v>371</v>
      </c>
      <c r="AM2" s="325" t="s">
        <v>372</v>
      </c>
      <c r="AN2" s="325" t="s">
        <v>373</v>
      </c>
      <c r="AO2" s="326" t="s">
        <v>374</v>
      </c>
      <c r="AP2" s="325" t="s">
        <v>375</v>
      </c>
      <c r="AQ2" s="326" t="s">
        <v>376</v>
      </c>
      <c r="AR2" s="325" t="s">
        <v>377</v>
      </c>
      <c r="AS2" s="325" t="s">
        <v>378</v>
      </c>
      <c r="AT2" s="325" t="s">
        <v>379</v>
      </c>
      <c r="AU2" s="325" t="s">
        <v>380</v>
      </c>
      <c r="AV2" s="325" t="s">
        <v>381</v>
      </c>
      <c r="AW2" s="325" t="s">
        <v>382</v>
      </c>
      <c r="AX2" s="325" t="s">
        <v>383</v>
      </c>
      <c r="AY2" s="325" t="s">
        <v>1600</v>
      </c>
      <c r="AZ2" s="325" t="s">
        <v>1601</v>
      </c>
      <c r="BA2" s="325" t="s">
        <v>1602</v>
      </c>
      <c r="BB2" s="325" t="s">
        <v>1603</v>
      </c>
      <c r="BC2" s="325" t="s">
        <v>1604</v>
      </c>
      <c r="BD2" s="325" t="s">
        <v>1400</v>
      </c>
      <c r="BE2" s="325" t="s">
        <v>1401</v>
      </c>
      <c r="BF2" s="325" t="s">
        <v>1402</v>
      </c>
      <c r="BG2" s="325" t="s">
        <v>1403</v>
      </c>
      <c r="BH2" s="325" t="s">
        <v>1404</v>
      </c>
      <c r="BI2" s="325" t="s">
        <v>1405</v>
      </c>
      <c r="BJ2" s="325" t="s">
        <v>1406</v>
      </c>
      <c r="BK2" s="325" t="s">
        <v>383</v>
      </c>
      <c r="BL2" s="325" t="s">
        <v>1407</v>
      </c>
      <c r="BM2" s="325" t="s">
        <v>1408</v>
      </c>
      <c r="BN2" s="325" t="s">
        <v>1409</v>
      </c>
      <c r="BO2" s="325" t="s">
        <v>1410</v>
      </c>
      <c r="BP2" s="325" t="s">
        <v>1411</v>
      </c>
      <c r="BQ2" s="325" t="s">
        <v>1412</v>
      </c>
      <c r="BR2" s="325" t="s">
        <v>1413</v>
      </c>
      <c r="BS2" s="325" t="s">
        <v>1414</v>
      </c>
      <c r="BT2" s="325" t="s">
        <v>1415</v>
      </c>
      <c r="BU2" s="325" t="s">
        <v>1416</v>
      </c>
      <c r="BV2" s="325" t="s">
        <v>1417</v>
      </c>
      <c r="BW2" s="325" t="s">
        <v>1418</v>
      </c>
      <c r="BX2" s="325" t="s">
        <v>383</v>
      </c>
      <c r="BY2" s="325"/>
    </row>
    <row r="3" spans="1:77" customFormat="1" x14ac:dyDescent="0.25">
      <c r="A3" s="496">
        <v>3</v>
      </c>
      <c r="B3">
        <v>1306836598</v>
      </c>
      <c r="C3" t="s">
        <v>1947</v>
      </c>
      <c r="D3" t="s">
        <v>384</v>
      </c>
      <c r="E3" t="s">
        <v>2779</v>
      </c>
      <c r="H3" t="s">
        <v>385</v>
      </c>
      <c r="I3" t="s">
        <v>386</v>
      </c>
      <c r="J3">
        <v>56510</v>
      </c>
      <c r="K3">
        <v>1243</v>
      </c>
      <c r="L3">
        <v>2187845000</v>
      </c>
      <c r="M3">
        <v>2187843855</v>
      </c>
      <c r="N3" t="s">
        <v>390</v>
      </c>
      <c r="O3" t="s">
        <v>391</v>
      </c>
      <c r="P3" t="s">
        <v>320</v>
      </c>
      <c r="Q3" t="s">
        <v>1948</v>
      </c>
      <c r="R3" t="s">
        <v>115</v>
      </c>
      <c r="S3" t="s">
        <v>1804</v>
      </c>
      <c r="T3" t="s">
        <v>1949</v>
      </c>
      <c r="U3" t="s">
        <v>3179</v>
      </c>
      <c r="V3">
        <v>2187845255</v>
      </c>
      <c r="W3" t="s">
        <v>3178</v>
      </c>
      <c r="X3">
        <v>2187843855</v>
      </c>
      <c r="Y3" t="s">
        <v>1950</v>
      </c>
      <c r="Z3" t="s">
        <v>2780</v>
      </c>
      <c r="AB3" t="s">
        <v>1805</v>
      </c>
      <c r="AC3" t="s">
        <v>386</v>
      </c>
      <c r="AD3">
        <v>56510</v>
      </c>
      <c r="AE3">
        <v>1243</v>
      </c>
      <c r="AG3" t="s">
        <v>1951</v>
      </c>
      <c r="AH3" t="s">
        <v>3180</v>
      </c>
      <c r="AI3" t="s">
        <v>1077</v>
      </c>
      <c r="AJ3">
        <v>1</v>
      </c>
      <c r="AK3" t="s">
        <v>3181</v>
      </c>
      <c r="AL3" t="s">
        <v>390</v>
      </c>
      <c r="AM3" t="s">
        <v>391</v>
      </c>
      <c r="AN3" t="s">
        <v>392</v>
      </c>
      <c r="AO3">
        <v>2188470852</v>
      </c>
      <c r="AP3" t="s">
        <v>3178</v>
      </c>
      <c r="AQ3">
        <v>2188477674</v>
      </c>
      <c r="AR3" t="s">
        <v>3182</v>
      </c>
      <c r="AS3" t="s">
        <v>3183</v>
      </c>
      <c r="AU3" t="s">
        <v>3184</v>
      </c>
      <c r="AV3" t="s">
        <v>2789</v>
      </c>
      <c r="BL3" t="s">
        <v>1804</v>
      </c>
      <c r="BM3" t="s">
        <v>1949</v>
      </c>
      <c r="BN3" t="s">
        <v>3179</v>
      </c>
      <c r="BO3">
        <v>2187845255</v>
      </c>
      <c r="BP3" t="s">
        <v>3178</v>
      </c>
      <c r="BQ3">
        <v>2187843855</v>
      </c>
      <c r="BR3" t="s">
        <v>1950</v>
      </c>
      <c r="BS3" t="s">
        <v>2780</v>
      </c>
      <c r="BU3" t="s">
        <v>1805</v>
      </c>
      <c r="BV3" t="s">
        <v>386</v>
      </c>
      <c r="BW3">
        <v>56510</v>
      </c>
      <c r="BX3">
        <v>1243</v>
      </c>
    </row>
    <row r="4" spans="1:77" customFormat="1" ht="12.75" customHeight="1" x14ac:dyDescent="0.25">
      <c r="A4" s="496">
        <v>4</v>
      </c>
      <c r="B4">
        <v>1942277835</v>
      </c>
      <c r="C4" t="s">
        <v>394</v>
      </c>
      <c r="D4" t="s">
        <v>395</v>
      </c>
      <c r="E4" t="s">
        <v>3185</v>
      </c>
      <c r="H4" t="s">
        <v>395</v>
      </c>
      <c r="I4" t="s">
        <v>386</v>
      </c>
      <c r="J4">
        <v>56431</v>
      </c>
      <c r="K4">
        <v>1697</v>
      </c>
      <c r="L4">
        <v>2189272121</v>
      </c>
      <c r="M4">
        <v>2189275516</v>
      </c>
      <c r="N4" t="s">
        <v>2139</v>
      </c>
      <c r="O4" t="s">
        <v>2140</v>
      </c>
      <c r="P4" t="s">
        <v>397</v>
      </c>
      <c r="Q4" t="s">
        <v>2350</v>
      </c>
      <c r="R4" t="s">
        <v>511</v>
      </c>
      <c r="S4" t="s">
        <v>2781</v>
      </c>
      <c r="T4" t="s">
        <v>417</v>
      </c>
      <c r="U4" t="s">
        <v>392</v>
      </c>
      <c r="V4">
        <v>2189275161</v>
      </c>
      <c r="W4" t="s">
        <v>3178</v>
      </c>
      <c r="X4">
        <v>2189275516</v>
      </c>
      <c r="Y4" t="s">
        <v>2782</v>
      </c>
      <c r="Z4" t="s">
        <v>3186</v>
      </c>
      <c r="AB4" t="s">
        <v>401</v>
      </c>
      <c r="AC4" t="s">
        <v>386</v>
      </c>
      <c r="AD4">
        <v>56431</v>
      </c>
      <c r="AG4" t="s">
        <v>2351</v>
      </c>
      <c r="AH4" t="s">
        <v>402</v>
      </c>
      <c r="AJ4">
        <v>1</v>
      </c>
      <c r="AK4" t="s">
        <v>403</v>
      </c>
      <c r="AL4" t="s">
        <v>398</v>
      </c>
      <c r="AM4" t="s">
        <v>399</v>
      </c>
      <c r="AN4" t="s">
        <v>400</v>
      </c>
      <c r="AO4">
        <v>2189278273</v>
      </c>
      <c r="AP4" t="s">
        <v>3178</v>
      </c>
      <c r="AQ4">
        <v>2189275516</v>
      </c>
      <c r="AR4" t="s">
        <v>2783</v>
      </c>
      <c r="AS4" t="s">
        <v>3187</v>
      </c>
      <c r="AU4" t="s">
        <v>401</v>
      </c>
      <c r="AV4" t="s">
        <v>386</v>
      </c>
      <c r="AW4">
        <v>56431</v>
      </c>
      <c r="AX4">
        <v>1697</v>
      </c>
      <c r="AY4" t="s">
        <v>404</v>
      </c>
      <c r="AZ4" t="s">
        <v>405</v>
      </c>
      <c r="BA4" t="s">
        <v>308</v>
      </c>
      <c r="BB4">
        <v>2189275197</v>
      </c>
      <c r="BC4" t="s">
        <v>3178</v>
      </c>
      <c r="BD4">
        <v>2189275516</v>
      </c>
      <c r="BE4" t="s">
        <v>317</v>
      </c>
      <c r="BF4" t="s">
        <v>3188</v>
      </c>
      <c r="BH4" t="s">
        <v>401</v>
      </c>
      <c r="BI4" t="s">
        <v>386</v>
      </c>
      <c r="BJ4">
        <v>56431</v>
      </c>
      <c r="BL4" t="s">
        <v>398</v>
      </c>
      <c r="BM4" t="s">
        <v>399</v>
      </c>
      <c r="BN4" t="s">
        <v>400</v>
      </c>
      <c r="BO4">
        <v>2189278273</v>
      </c>
      <c r="BP4" t="s">
        <v>3178</v>
      </c>
      <c r="BQ4">
        <v>2189275516</v>
      </c>
      <c r="BR4" t="s">
        <v>2783</v>
      </c>
      <c r="BS4" t="s">
        <v>3187</v>
      </c>
      <c r="BU4" t="s">
        <v>401</v>
      </c>
      <c r="BV4" t="s">
        <v>386</v>
      </c>
      <c r="BW4">
        <v>56431</v>
      </c>
      <c r="BX4">
        <v>1697</v>
      </c>
    </row>
    <row r="5" spans="1:77" customFormat="1" ht="12.75" customHeight="1" x14ac:dyDescent="0.25">
      <c r="A5" s="496">
        <v>100</v>
      </c>
      <c r="B5">
        <v>1346258100</v>
      </c>
      <c r="C5" t="s">
        <v>3062</v>
      </c>
      <c r="D5" t="s">
        <v>1078</v>
      </c>
      <c r="E5" t="s">
        <v>3190</v>
      </c>
      <c r="H5" t="s">
        <v>1079</v>
      </c>
      <c r="I5" t="s">
        <v>386</v>
      </c>
      <c r="J5">
        <v>56007</v>
      </c>
      <c r="K5">
        <v>2437</v>
      </c>
      <c r="L5">
        <v>5073732384</v>
      </c>
      <c r="M5">
        <v>5073776464</v>
      </c>
      <c r="N5" t="s">
        <v>1080</v>
      </c>
      <c r="O5" t="s">
        <v>1081</v>
      </c>
      <c r="P5" t="s">
        <v>1082</v>
      </c>
      <c r="Q5" t="s">
        <v>1083</v>
      </c>
      <c r="R5" t="s">
        <v>2784</v>
      </c>
      <c r="S5" t="s">
        <v>129</v>
      </c>
      <c r="T5" t="s">
        <v>1063</v>
      </c>
      <c r="U5" t="s">
        <v>2352</v>
      </c>
      <c r="V5">
        <v>5072664742</v>
      </c>
      <c r="W5" t="s">
        <v>3178</v>
      </c>
      <c r="X5">
        <v>5072840986</v>
      </c>
      <c r="Y5" t="s">
        <v>1064</v>
      </c>
      <c r="Z5" t="s">
        <v>3191</v>
      </c>
      <c r="AB5" t="s">
        <v>1065</v>
      </c>
      <c r="AC5" t="s">
        <v>386</v>
      </c>
      <c r="AD5">
        <v>55905</v>
      </c>
      <c r="AF5" t="s">
        <v>1009</v>
      </c>
      <c r="AG5" t="s">
        <v>1086</v>
      </c>
      <c r="AH5" t="s">
        <v>1087</v>
      </c>
      <c r="AI5" t="s">
        <v>1077</v>
      </c>
      <c r="AJ5">
        <v>0</v>
      </c>
      <c r="AK5" t="s">
        <v>1088</v>
      </c>
      <c r="BL5" t="s">
        <v>129</v>
      </c>
      <c r="BM5" t="s">
        <v>1063</v>
      </c>
      <c r="BN5" t="s">
        <v>2352</v>
      </c>
      <c r="BO5">
        <v>5072664742</v>
      </c>
      <c r="BP5" t="s">
        <v>3178</v>
      </c>
      <c r="BQ5">
        <v>5072840986</v>
      </c>
      <c r="BR5" t="s">
        <v>1064</v>
      </c>
      <c r="BS5" t="s">
        <v>3191</v>
      </c>
      <c r="BU5" t="s">
        <v>1065</v>
      </c>
      <c r="BV5" t="s">
        <v>386</v>
      </c>
      <c r="BW5">
        <v>55905</v>
      </c>
    </row>
    <row r="6" spans="1:77" customFormat="1" ht="12.75" customHeight="1" x14ac:dyDescent="0.25">
      <c r="A6" s="496">
        <v>34</v>
      </c>
      <c r="B6">
        <v>1164424305</v>
      </c>
      <c r="C6" t="s">
        <v>1089</v>
      </c>
      <c r="D6" t="s">
        <v>1090</v>
      </c>
      <c r="E6" t="s">
        <v>3192</v>
      </c>
      <c r="H6" t="s">
        <v>1091</v>
      </c>
      <c r="I6" t="s">
        <v>386</v>
      </c>
      <c r="J6">
        <v>56308</v>
      </c>
      <c r="K6">
        <v>3703</v>
      </c>
      <c r="L6">
        <v>3207621511</v>
      </c>
      <c r="M6">
        <v>3207626101</v>
      </c>
      <c r="N6" t="s">
        <v>1995</v>
      </c>
      <c r="O6" t="s">
        <v>564</v>
      </c>
      <c r="P6" t="s">
        <v>320</v>
      </c>
      <c r="Q6" t="s">
        <v>1996</v>
      </c>
      <c r="R6" t="s">
        <v>1329</v>
      </c>
      <c r="S6" t="s">
        <v>1330</v>
      </c>
      <c r="T6" t="s">
        <v>1331</v>
      </c>
      <c r="U6" t="s">
        <v>392</v>
      </c>
      <c r="V6">
        <v>3207626052</v>
      </c>
      <c r="W6" t="s">
        <v>3178</v>
      </c>
      <c r="X6">
        <v>3207626120</v>
      </c>
      <c r="Y6" t="s">
        <v>1332</v>
      </c>
      <c r="AC6" t="s">
        <v>386</v>
      </c>
      <c r="AG6" t="s">
        <v>1093</v>
      </c>
      <c r="AH6" t="s">
        <v>402</v>
      </c>
      <c r="AJ6">
        <v>0</v>
      </c>
      <c r="AK6" t="s">
        <v>1997</v>
      </c>
      <c r="AL6" t="s">
        <v>1478</v>
      </c>
      <c r="AM6" t="s">
        <v>1479</v>
      </c>
      <c r="AN6" t="s">
        <v>1099</v>
      </c>
      <c r="AO6">
        <v>3207626109</v>
      </c>
      <c r="AP6" t="s">
        <v>3178</v>
      </c>
      <c r="AQ6">
        <v>3207626164</v>
      </c>
      <c r="AR6" t="s">
        <v>1480</v>
      </c>
      <c r="AV6" t="s">
        <v>2789</v>
      </c>
      <c r="AY6" t="s">
        <v>2785</v>
      </c>
      <c r="AZ6" t="s">
        <v>2786</v>
      </c>
      <c r="BA6" t="s">
        <v>2787</v>
      </c>
      <c r="BB6">
        <v>3207626396</v>
      </c>
      <c r="BC6" t="s">
        <v>3178</v>
      </c>
      <c r="BD6" t="s">
        <v>3178</v>
      </c>
      <c r="BE6" t="s">
        <v>2788</v>
      </c>
      <c r="BI6" t="s">
        <v>2789</v>
      </c>
      <c r="BL6" t="s">
        <v>1330</v>
      </c>
      <c r="BM6" t="s">
        <v>1331</v>
      </c>
      <c r="BN6" t="s">
        <v>392</v>
      </c>
      <c r="BO6">
        <v>3207626052</v>
      </c>
      <c r="BP6" t="s">
        <v>3178</v>
      </c>
      <c r="BQ6">
        <v>3207626120</v>
      </c>
      <c r="BR6" t="s">
        <v>1332</v>
      </c>
      <c r="BV6" t="s">
        <v>386</v>
      </c>
    </row>
    <row r="7" spans="1:77" customFormat="1" ht="12.75" customHeight="1" x14ac:dyDescent="0.25">
      <c r="A7" s="496">
        <v>248</v>
      </c>
      <c r="B7">
        <v>1386676799</v>
      </c>
      <c r="C7" t="s">
        <v>1481</v>
      </c>
      <c r="D7" t="s">
        <v>1090</v>
      </c>
      <c r="E7" t="s">
        <v>2790</v>
      </c>
      <c r="H7" t="s">
        <v>1091</v>
      </c>
      <c r="I7" t="s">
        <v>386</v>
      </c>
      <c r="J7">
        <v>56308</v>
      </c>
      <c r="K7">
        <v>2472</v>
      </c>
      <c r="L7">
        <v>3203356201</v>
      </c>
      <c r="M7">
        <v>3207591002</v>
      </c>
      <c r="N7" t="s">
        <v>1624</v>
      </c>
      <c r="O7" t="s">
        <v>3193</v>
      </c>
      <c r="P7" t="s">
        <v>2354</v>
      </c>
      <c r="Q7" t="s">
        <v>3194</v>
      </c>
      <c r="R7" t="s">
        <v>1096</v>
      </c>
      <c r="S7" t="s">
        <v>1097</v>
      </c>
      <c r="T7" t="s">
        <v>1098</v>
      </c>
      <c r="U7" t="s">
        <v>392</v>
      </c>
      <c r="V7">
        <v>5079347689</v>
      </c>
      <c r="W7" t="s">
        <v>3178</v>
      </c>
      <c r="X7">
        <v>5079347651</v>
      </c>
      <c r="Y7" t="s">
        <v>3195</v>
      </c>
      <c r="Z7" t="s">
        <v>3196</v>
      </c>
      <c r="AB7" t="s">
        <v>817</v>
      </c>
      <c r="AC7" t="s">
        <v>386</v>
      </c>
      <c r="AD7">
        <v>56082</v>
      </c>
      <c r="AE7">
        <v>1327</v>
      </c>
      <c r="AG7" t="s">
        <v>3197</v>
      </c>
      <c r="AH7" t="s">
        <v>1101</v>
      </c>
      <c r="AI7" t="s">
        <v>1077</v>
      </c>
      <c r="AJ7">
        <v>0</v>
      </c>
      <c r="AK7">
        <v>0</v>
      </c>
    </row>
    <row r="8" spans="1:77" customFormat="1" ht="12.75" customHeight="1" x14ac:dyDescent="0.25">
      <c r="A8" s="496">
        <v>249</v>
      </c>
      <c r="B8">
        <v>1225130487</v>
      </c>
      <c r="C8" t="s">
        <v>1482</v>
      </c>
      <c r="D8" t="s">
        <v>1483</v>
      </c>
      <c r="E8" t="s">
        <v>3198</v>
      </c>
      <c r="H8" t="s">
        <v>1240</v>
      </c>
      <c r="I8" t="s">
        <v>386</v>
      </c>
      <c r="J8">
        <v>55302</v>
      </c>
      <c r="K8">
        <v>3141</v>
      </c>
      <c r="L8">
        <v>6512593850</v>
      </c>
      <c r="M8">
        <v>3202747018</v>
      </c>
      <c r="N8" t="s">
        <v>1624</v>
      </c>
      <c r="O8" t="s">
        <v>3193</v>
      </c>
      <c r="P8" t="s">
        <v>2354</v>
      </c>
      <c r="Q8" t="s">
        <v>3194</v>
      </c>
      <c r="R8" t="s">
        <v>1096</v>
      </c>
      <c r="S8" t="s">
        <v>1097</v>
      </c>
      <c r="T8" t="s">
        <v>1098</v>
      </c>
      <c r="U8" t="s">
        <v>392</v>
      </c>
      <c r="V8">
        <v>5079347689</v>
      </c>
      <c r="W8" t="s">
        <v>3178</v>
      </c>
      <c r="X8">
        <v>5079347651</v>
      </c>
      <c r="Y8" t="s">
        <v>3195</v>
      </c>
      <c r="Z8" t="s">
        <v>3196</v>
      </c>
      <c r="AB8" t="s">
        <v>817</v>
      </c>
      <c r="AC8" t="s">
        <v>386</v>
      </c>
      <c r="AD8">
        <v>56082</v>
      </c>
      <c r="AE8">
        <v>1327</v>
      </c>
      <c r="AG8" t="s">
        <v>3197</v>
      </c>
      <c r="AH8" t="s">
        <v>1101</v>
      </c>
      <c r="AI8" t="s">
        <v>1077</v>
      </c>
      <c r="AJ8">
        <v>0</v>
      </c>
      <c r="AK8">
        <v>0</v>
      </c>
    </row>
    <row r="9" spans="1:77" customFormat="1" ht="12.75" customHeight="1" x14ac:dyDescent="0.25">
      <c r="A9" s="496">
        <v>200</v>
      </c>
      <c r="B9">
        <v>1275585564</v>
      </c>
      <c r="C9" t="s">
        <v>1094</v>
      </c>
      <c r="D9" t="s">
        <v>1095</v>
      </c>
      <c r="E9" t="s">
        <v>2791</v>
      </c>
      <c r="H9" t="s">
        <v>1095</v>
      </c>
      <c r="I9" t="s">
        <v>386</v>
      </c>
      <c r="J9">
        <v>55303</v>
      </c>
      <c r="L9">
        <v>7637124000</v>
      </c>
      <c r="M9">
        <v>7637124013</v>
      </c>
      <c r="N9" t="s">
        <v>1624</v>
      </c>
      <c r="O9" t="s">
        <v>3193</v>
      </c>
      <c r="P9" t="s">
        <v>2354</v>
      </c>
      <c r="Q9" t="s">
        <v>3194</v>
      </c>
      <c r="R9" t="s">
        <v>1096</v>
      </c>
      <c r="S9" t="s">
        <v>1097</v>
      </c>
      <c r="T9" t="s">
        <v>1098</v>
      </c>
      <c r="U9" t="s">
        <v>392</v>
      </c>
      <c r="V9">
        <v>5079347689</v>
      </c>
      <c r="W9" t="s">
        <v>3178</v>
      </c>
      <c r="X9">
        <v>5079347651</v>
      </c>
      <c r="Y9" t="s">
        <v>3195</v>
      </c>
      <c r="Z9" t="s">
        <v>3196</v>
      </c>
      <c r="AB9" t="s">
        <v>817</v>
      </c>
      <c r="AC9" t="s">
        <v>386</v>
      </c>
      <c r="AD9">
        <v>56082</v>
      </c>
      <c r="AE9">
        <v>1327</v>
      </c>
      <c r="AG9" t="s">
        <v>3197</v>
      </c>
      <c r="AH9" t="s">
        <v>1101</v>
      </c>
      <c r="AI9" t="s">
        <v>1077</v>
      </c>
      <c r="AJ9">
        <v>0</v>
      </c>
      <c r="AK9">
        <v>0</v>
      </c>
    </row>
    <row r="10" spans="1:77" customFormat="1" ht="12.75" customHeight="1" x14ac:dyDescent="0.25">
      <c r="A10" s="496">
        <v>6</v>
      </c>
      <c r="B10">
        <v>1578590626</v>
      </c>
      <c r="C10" t="s">
        <v>1102</v>
      </c>
      <c r="D10" t="s">
        <v>1103</v>
      </c>
      <c r="E10" t="s">
        <v>3199</v>
      </c>
      <c r="H10" t="s">
        <v>1104</v>
      </c>
      <c r="I10" t="s">
        <v>386</v>
      </c>
      <c r="J10">
        <v>56208</v>
      </c>
      <c r="K10">
        <v>1616</v>
      </c>
      <c r="L10">
        <v>3202892422</v>
      </c>
      <c r="M10">
        <v>3202891797</v>
      </c>
      <c r="N10" t="s">
        <v>160</v>
      </c>
      <c r="O10" t="s">
        <v>174</v>
      </c>
      <c r="P10" t="s">
        <v>320</v>
      </c>
      <c r="Q10" t="s">
        <v>1955</v>
      </c>
      <c r="R10" t="s">
        <v>1956</v>
      </c>
      <c r="S10" t="s">
        <v>1957</v>
      </c>
      <c r="T10" t="s">
        <v>1958</v>
      </c>
      <c r="U10" t="s">
        <v>392</v>
      </c>
      <c r="V10">
        <v>3202898514</v>
      </c>
      <c r="W10" t="s">
        <v>3178</v>
      </c>
      <c r="X10">
        <v>3202891585</v>
      </c>
      <c r="Y10" t="s">
        <v>1959</v>
      </c>
      <c r="Z10" t="s">
        <v>3200</v>
      </c>
      <c r="AB10" t="s">
        <v>1818</v>
      </c>
      <c r="AC10" t="s">
        <v>386</v>
      </c>
      <c r="AD10">
        <v>56208</v>
      </c>
      <c r="AE10" t="s">
        <v>2353</v>
      </c>
      <c r="AF10" t="s">
        <v>1960</v>
      </c>
      <c r="AG10" t="s">
        <v>1961</v>
      </c>
      <c r="AH10" t="s">
        <v>402</v>
      </c>
      <c r="AJ10" s="494">
        <v>1</v>
      </c>
      <c r="AK10" t="s">
        <v>1107</v>
      </c>
      <c r="BL10" t="s">
        <v>1957</v>
      </c>
      <c r="BM10" t="s">
        <v>1958</v>
      </c>
      <c r="BN10" t="s">
        <v>392</v>
      </c>
      <c r="BO10">
        <v>3202898514</v>
      </c>
      <c r="BP10" t="s">
        <v>3178</v>
      </c>
      <c r="BQ10">
        <v>3202891585</v>
      </c>
      <c r="BR10" t="s">
        <v>1959</v>
      </c>
      <c r="BS10" t="s">
        <v>3200</v>
      </c>
      <c r="BU10" t="s">
        <v>1818</v>
      </c>
      <c r="BV10" t="s">
        <v>386</v>
      </c>
      <c r="BW10">
        <v>56208</v>
      </c>
      <c r="BX10" t="s">
        <v>2353</v>
      </c>
    </row>
    <row r="11" spans="1:77" customFormat="1" ht="12.75" customHeight="1" x14ac:dyDescent="0.25">
      <c r="A11" s="496">
        <v>7</v>
      </c>
      <c r="B11">
        <v>1740240225</v>
      </c>
      <c r="C11" t="s">
        <v>2792</v>
      </c>
      <c r="D11" t="s">
        <v>1108</v>
      </c>
      <c r="E11" t="s">
        <v>3201</v>
      </c>
      <c r="H11" t="s">
        <v>1109</v>
      </c>
      <c r="I11" t="s">
        <v>386</v>
      </c>
      <c r="J11">
        <v>55307</v>
      </c>
      <c r="K11">
        <v>2127</v>
      </c>
      <c r="L11">
        <v>5079642271</v>
      </c>
      <c r="M11">
        <v>5079648490</v>
      </c>
      <c r="N11" t="s">
        <v>1106</v>
      </c>
      <c r="O11" t="s">
        <v>1962</v>
      </c>
      <c r="P11" t="s">
        <v>2793</v>
      </c>
      <c r="Q11" t="s">
        <v>2355</v>
      </c>
      <c r="R11" t="s">
        <v>1594</v>
      </c>
      <c r="S11" t="s">
        <v>1484</v>
      </c>
      <c r="T11" t="s">
        <v>1186</v>
      </c>
      <c r="U11" t="s">
        <v>1092</v>
      </c>
      <c r="V11">
        <v>5079648424</v>
      </c>
      <c r="W11" t="s">
        <v>3178</v>
      </c>
      <c r="X11" t="s">
        <v>3178</v>
      </c>
      <c r="Y11" t="s">
        <v>2356</v>
      </c>
      <c r="Z11" t="s">
        <v>3202</v>
      </c>
      <c r="AB11" t="s">
        <v>1110</v>
      </c>
      <c r="AC11" t="s">
        <v>386</v>
      </c>
      <c r="AD11">
        <v>55307</v>
      </c>
      <c r="AE11" t="s">
        <v>2353</v>
      </c>
      <c r="AF11" t="s">
        <v>1485</v>
      </c>
      <c r="AG11" t="s">
        <v>1964</v>
      </c>
      <c r="AH11" t="s">
        <v>402</v>
      </c>
      <c r="AJ11">
        <v>1</v>
      </c>
      <c r="AK11" t="s">
        <v>2794</v>
      </c>
      <c r="BL11" t="s">
        <v>1484</v>
      </c>
      <c r="BM11" t="s">
        <v>1186</v>
      </c>
      <c r="BN11" t="s">
        <v>1092</v>
      </c>
      <c r="BO11">
        <v>5079648424</v>
      </c>
      <c r="BP11" t="s">
        <v>3178</v>
      </c>
      <c r="BQ11" t="s">
        <v>3178</v>
      </c>
      <c r="BR11" t="s">
        <v>2356</v>
      </c>
      <c r="BS11" t="s">
        <v>3202</v>
      </c>
      <c r="BU11" t="s">
        <v>1110</v>
      </c>
      <c r="BV11" t="s">
        <v>386</v>
      </c>
      <c r="BW11">
        <v>55307</v>
      </c>
      <c r="BX11" t="s">
        <v>2353</v>
      </c>
    </row>
    <row r="12" spans="1:77" customFormat="1" ht="12.75" customHeight="1" x14ac:dyDescent="0.25">
      <c r="A12" s="496">
        <v>175</v>
      </c>
      <c r="B12">
        <v>1639278609</v>
      </c>
      <c r="C12" t="s">
        <v>2795</v>
      </c>
      <c r="D12" t="s">
        <v>1111</v>
      </c>
      <c r="E12" t="s">
        <v>3203</v>
      </c>
      <c r="H12" t="s">
        <v>1112</v>
      </c>
      <c r="I12" t="s">
        <v>386</v>
      </c>
      <c r="J12">
        <v>55705</v>
      </c>
      <c r="K12">
        <v>1522</v>
      </c>
      <c r="L12">
        <v>2182292211</v>
      </c>
      <c r="M12">
        <v>2182292042</v>
      </c>
      <c r="N12" t="s">
        <v>149</v>
      </c>
      <c r="O12" t="s">
        <v>1333</v>
      </c>
      <c r="P12" t="s">
        <v>3204</v>
      </c>
      <c r="Q12" t="s">
        <v>3205</v>
      </c>
      <c r="R12" t="s">
        <v>2357</v>
      </c>
      <c r="S12" t="s">
        <v>557</v>
      </c>
      <c r="T12" t="s">
        <v>2831</v>
      </c>
      <c r="U12" t="s">
        <v>3206</v>
      </c>
      <c r="V12">
        <v>2187861242</v>
      </c>
      <c r="W12" t="s">
        <v>3178</v>
      </c>
      <c r="X12">
        <v>2187868406</v>
      </c>
      <c r="Y12" t="s">
        <v>3207</v>
      </c>
      <c r="Z12" t="s">
        <v>3208</v>
      </c>
      <c r="AB12" t="s">
        <v>1532</v>
      </c>
      <c r="AC12" t="s">
        <v>386</v>
      </c>
      <c r="AD12">
        <v>55805</v>
      </c>
      <c r="AE12">
        <v>1984</v>
      </c>
      <c r="AF12" t="s">
        <v>1112</v>
      </c>
      <c r="AG12" t="s">
        <v>3209</v>
      </c>
      <c r="AH12" t="s">
        <v>3180</v>
      </c>
      <c r="AI12" t="s">
        <v>1077</v>
      </c>
      <c r="AJ12">
        <v>1</v>
      </c>
      <c r="AK12" t="s">
        <v>1486</v>
      </c>
      <c r="AL12" t="s">
        <v>1334</v>
      </c>
      <c r="AM12" t="s">
        <v>1344</v>
      </c>
      <c r="AN12" t="s">
        <v>1345</v>
      </c>
      <c r="AO12">
        <v>2187861432</v>
      </c>
      <c r="AP12" t="s">
        <v>3178</v>
      </c>
      <c r="AQ12">
        <v>2187868406</v>
      </c>
      <c r="AR12" t="s">
        <v>3210</v>
      </c>
      <c r="AS12" t="s">
        <v>3208</v>
      </c>
      <c r="AU12" t="s">
        <v>1532</v>
      </c>
      <c r="AV12" t="s">
        <v>386</v>
      </c>
      <c r="AW12">
        <v>55805</v>
      </c>
      <c r="BL12" t="s">
        <v>149</v>
      </c>
      <c r="BM12" t="s">
        <v>533</v>
      </c>
      <c r="BN12" t="s">
        <v>3211</v>
      </c>
      <c r="BO12">
        <v>2187861703</v>
      </c>
      <c r="BP12" t="s">
        <v>3178</v>
      </c>
      <c r="BQ12">
        <v>2187868406</v>
      </c>
      <c r="BR12" t="s">
        <v>3212</v>
      </c>
      <c r="BS12" t="s">
        <v>3208</v>
      </c>
      <c r="BU12" t="s">
        <v>1532</v>
      </c>
      <c r="BV12" t="s">
        <v>386</v>
      </c>
      <c r="BW12">
        <v>55805</v>
      </c>
    </row>
    <row r="13" spans="1:77" customFormat="1" ht="12.75" customHeight="1" x14ac:dyDescent="0.25">
      <c r="A13" s="496">
        <v>19</v>
      </c>
      <c r="B13">
        <v>1295859411</v>
      </c>
      <c r="C13" t="s">
        <v>1974</v>
      </c>
      <c r="D13" t="s">
        <v>1184</v>
      </c>
      <c r="E13" t="s">
        <v>3213</v>
      </c>
      <c r="H13" t="s">
        <v>1185</v>
      </c>
      <c r="I13" t="s">
        <v>386</v>
      </c>
      <c r="J13">
        <v>56621</v>
      </c>
      <c r="K13">
        <v>8305</v>
      </c>
      <c r="L13">
        <v>2186946501</v>
      </c>
      <c r="M13">
        <v>2186943528</v>
      </c>
      <c r="N13" t="s">
        <v>387</v>
      </c>
      <c r="O13" t="s">
        <v>2796</v>
      </c>
      <c r="P13" t="s">
        <v>397</v>
      </c>
      <c r="Q13" t="s">
        <v>2797</v>
      </c>
      <c r="R13" t="s">
        <v>2798</v>
      </c>
      <c r="S13" t="s">
        <v>1557</v>
      </c>
      <c r="T13" t="s">
        <v>2799</v>
      </c>
      <c r="U13" t="s">
        <v>2156</v>
      </c>
      <c r="V13">
        <v>6123764528</v>
      </c>
      <c r="W13" t="s">
        <v>3178</v>
      </c>
      <c r="X13">
        <v>6123764850</v>
      </c>
      <c r="Y13" t="s">
        <v>2800</v>
      </c>
      <c r="Z13" t="s">
        <v>3214</v>
      </c>
      <c r="AB13" t="s">
        <v>131</v>
      </c>
      <c r="AC13" t="s">
        <v>386</v>
      </c>
      <c r="AD13">
        <v>55402</v>
      </c>
      <c r="AF13" t="s">
        <v>132</v>
      </c>
      <c r="AG13">
        <v>0</v>
      </c>
      <c r="AH13" t="s">
        <v>1505</v>
      </c>
      <c r="AI13" t="s">
        <v>1077</v>
      </c>
      <c r="AJ13">
        <v>1</v>
      </c>
      <c r="AK13" t="s">
        <v>1975</v>
      </c>
      <c r="AL13" t="s">
        <v>2801</v>
      </c>
      <c r="AM13" t="s">
        <v>2802</v>
      </c>
      <c r="AN13" t="s">
        <v>1092</v>
      </c>
      <c r="AO13">
        <v>2183335823</v>
      </c>
      <c r="AP13" t="s">
        <v>3178</v>
      </c>
      <c r="AQ13">
        <v>2187515880</v>
      </c>
      <c r="AR13" t="s">
        <v>3215</v>
      </c>
      <c r="AS13" t="s">
        <v>2618</v>
      </c>
      <c r="AU13" t="s">
        <v>1195</v>
      </c>
      <c r="AV13" t="s">
        <v>386</v>
      </c>
      <c r="AW13">
        <v>56601</v>
      </c>
      <c r="AY13" t="s">
        <v>1196</v>
      </c>
      <c r="AZ13" t="s">
        <v>1197</v>
      </c>
      <c r="BA13" t="s">
        <v>1976</v>
      </c>
      <c r="BB13">
        <v>2183335569</v>
      </c>
      <c r="BC13" t="s">
        <v>3178</v>
      </c>
      <c r="BD13">
        <v>2187515880</v>
      </c>
      <c r="BE13" t="s">
        <v>3216</v>
      </c>
      <c r="BF13" t="s">
        <v>2618</v>
      </c>
      <c r="BH13" t="s">
        <v>1195</v>
      </c>
      <c r="BI13" t="s">
        <v>386</v>
      </c>
      <c r="BJ13">
        <v>56601</v>
      </c>
      <c r="BL13" t="s">
        <v>2801</v>
      </c>
      <c r="BM13" t="s">
        <v>2802</v>
      </c>
      <c r="BN13" t="s">
        <v>1092</v>
      </c>
      <c r="BO13">
        <v>2183335823</v>
      </c>
      <c r="BP13" t="s">
        <v>3178</v>
      </c>
      <c r="BQ13">
        <v>2187515880</v>
      </c>
      <c r="BR13" t="s">
        <v>3215</v>
      </c>
      <c r="BS13" t="s">
        <v>2618</v>
      </c>
      <c r="BU13" t="s">
        <v>1195</v>
      </c>
      <c r="BV13" t="s">
        <v>386</v>
      </c>
      <c r="BW13">
        <v>56601</v>
      </c>
    </row>
    <row r="14" spans="1:77" customFormat="1" x14ac:dyDescent="0.25">
      <c r="A14" s="496">
        <v>159</v>
      </c>
      <c r="B14">
        <v>1922072776</v>
      </c>
      <c r="C14" t="s">
        <v>1188</v>
      </c>
      <c r="D14" t="s">
        <v>1189</v>
      </c>
      <c r="E14" t="s">
        <v>3217</v>
      </c>
      <c r="H14" t="s">
        <v>1190</v>
      </c>
      <c r="I14" t="s">
        <v>386</v>
      </c>
      <c r="J14">
        <v>56623</v>
      </c>
      <c r="K14">
        <v>2855</v>
      </c>
      <c r="L14">
        <v>2186342120</v>
      </c>
      <c r="M14">
        <v>2186341094</v>
      </c>
      <c r="N14" t="s">
        <v>1566</v>
      </c>
      <c r="O14" t="s">
        <v>319</v>
      </c>
      <c r="P14" t="s">
        <v>320</v>
      </c>
      <c r="Q14" t="s">
        <v>3218</v>
      </c>
      <c r="R14" t="s">
        <v>2359</v>
      </c>
      <c r="S14" t="s">
        <v>1717</v>
      </c>
      <c r="T14" t="s">
        <v>2360</v>
      </c>
      <c r="U14" t="s">
        <v>2361</v>
      </c>
      <c r="V14">
        <v>5074347055</v>
      </c>
      <c r="W14" t="s">
        <v>3178</v>
      </c>
      <c r="X14">
        <v>5074378997</v>
      </c>
      <c r="Y14" t="s">
        <v>2362</v>
      </c>
      <c r="Z14" t="s">
        <v>3219</v>
      </c>
      <c r="AB14" t="s">
        <v>1116</v>
      </c>
      <c r="AC14" t="s">
        <v>386</v>
      </c>
      <c r="AD14">
        <v>55912</v>
      </c>
      <c r="AF14" t="s">
        <v>1117</v>
      </c>
      <c r="AG14">
        <v>0</v>
      </c>
      <c r="AH14" t="s">
        <v>1076</v>
      </c>
      <c r="AI14" t="s">
        <v>1077</v>
      </c>
      <c r="AJ14">
        <v>1</v>
      </c>
      <c r="AK14" t="s">
        <v>2363</v>
      </c>
      <c r="AL14" t="s">
        <v>2145</v>
      </c>
      <c r="AM14" t="s">
        <v>2146</v>
      </c>
      <c r="AN14" t="s">
        <v>392</v>
      </c>
      <c r="AO14">
        <v>2186343440</v>
      </c>
      <c r="AP14" t="s">
        <v>3178</v>
      </c>
      <c r="AQ14">
        <v>2186341094</v>
      </c>
      <c r="AR14" t="s">
        <v>2147</v>
      </c>
      <c r="AS14" t="s">
        <v>3220</v>
      </c>
      <c r="AU14" t="s">
        <v>3221</v>
      </c>
      <c r="AV14" t="s">
        <v>386</v>
      </c>
      <c r="AW14">
        <v>56623</v>
      </c>
      <c r="BL14" t="s">
        <v>2145</v>
      </c>
      <c r="BM14" t="s">
        <v>2146</v>
      </c>
      <c r="BN14" t="s">
        <v>392</v>
      </c>
      <c r="BO14">
        <v>2186343440</v>
      </c>
      <c r="BP14" t="s">
        <v>3178</v>
      </c>
      <c r="BQ14">
        <v>2186341094</v>
      </c>
      <c r="BR14" t="s">
        <v>2147</v>
      </c>
      <c r="BS14" t="s">
        <v>3220</v>
      </c>
      <c r="BU14" t="s">
        <v>3221</v>
      </c>
      <c r="BV14" t="s">
        <v>386</v>
      </c>
      <c r="BW14">
        <v>56623</v>
      </c>
    </row>
    <row r="15" spans="1:77" customFormat="1" x14ac:dyDescent="0.25">
      <c r="A15" s="496">
        <v>254</v>
      </c>
      <c r="B15">
        <v>1487715033</v>
      </c>
      <c r="C15" t="s">
        <v>1489</v>
      </c>
      <c r="D15" t="s">
        <v>1490</v>
      </c>
      <c r="E15" t="s">
        <v>3222</v>
      </c>
      <c r="H15" t="s">
        <v>1225</v>
      </c>
      <c r="I15" t="s">
        <v>386</v>
      </c>
      <c r="J15">
        <v>56425</v>
      </c>
      <c r="L15">
        <v>2183163104</v>
      </c>
      <c r="M15">
        <v>2188299141</v>
      </c>
      <c r="N15" t="s">
        <v>1624</v>
      </c>
      <c r="O15" t="s">
        <v>3193</v>
      </c>
      <c r="P15" t="s">
        <v>2354</v>
      </c>
      <c r="Q15" t="s">
        <v>3194</v>
      </c>
      <c r="R15" t="s">
        <v>1096</v>
      </c>
      <c r="S15" t="s">
        <v>1097</v>
      </c>
      <c r="T15" t="s">
        <v>1098</v>
      </c>
      <c r="U15" t="s">
        <v>392</v>
      </c>
      <c r="V15">
        <v>5079347689</v>
      </c>
      <c r="W15" t="s">
        <v>3178</v>
      </c>
      <c r="X15">
        <v>5079347651</v>
      </c>
      <c r="Y15" t="s">
        <v>3195</v>
      </c>
      <c r="Z15" t="s">
        <v>3196</v>
      </c>
      <c r="AB15" t="s">
        <v>817</v>
      </c>
      <c r="AC15" t="s">
        <v>386</v>
      </c>
      <c r="AD15">
        <v>56082</v>
      </c>
      <c r="AE15">
        <v>1327</v>
      </c>
      <c r="AG15" t="s">
        <v>3197</v>
      </c>
      <c r="AH15" t="s">
        <v>1101</v>
      </c>
      <c r="AI15" t="s">
        <v>1077</v>
      </c>
      <c r="AJ15">
        <v>0</v>
      </c>
      <c r="AK15">
        <v>0</v>
      </c>
    </row>
    <row r="16" spans="1:77" customFormat="1" x14ac:dyDescent="0.25">
      <c r="A16" s="496">
        <v>102</v>
      </c>
      <c r="B16">
        <v>1801870191</v>
      </c>
      <c r="C16" t="s">
        <v>2094</v>
      </c>
      <c r="D16" t="s">
        <v>1192</v>
      </c>
      <c r="E16" t="s">
        <v>3223</v>
      </c>
      <c r="H16" t="s">
        <v>1193</v>
      </c>
      <c r="I16" t="s">
        <v>386</v>
      </c>
      <c r="J16">
        <v>56601</v>
      </c>
      <c r="L16">
        <v>2187515430</v>
      </c>
      <c r="M16">
        <v>2187515880</v>
      </c>
      <c r="N16" t="s">
        <v>387</v>
      </c>
      <c r="O16" t="s">
        <v>2796</v>
      </c>
      <c r="P16" t="s">
        <v>128</v>
      </c>
      <c r="Q16" t="s">
        <v>2797</v>
      </c>
      <c r="R16" t="s">
        <v>2095</v>
      </c>
      <c r="S16" t="s">
        <v>1557</v>
      </c>
      <c r="T16" t="s">
        <v>2799</v>
      </c>
      <c r="U16" t="s">
        <v>2156</v>
      </c>
      <c r="V16">
        <v>6123764528</v>
      </c>
      <c r="W16" t="s">
        <v>3178</v>
      </c>
      <c r="X16">
        <v>6123764850</v>
      </c>
      <c r="Y16" t="s">
        <v>2800</v>
      </c>
      <c r="Z16" t="s">
        <v>3214</v>
      </c>
      <c r="AB16" t="s">
        <v>131</v>
      </c>
      <c r="AC16" t="s">
        <v>386</v>
      </c>
      <c r="AD16">
        <v>55402</v>
      </c>
      <c r="AF16" t="s">
        <v>132</v>
      </c>
      <c r="AG16" t="s">
        <v>2096</v>
      </c>
      <c r="AH16" t="s">
        <v>1505</v>
      </c>
      <c r="AI16" t="s">
        <v>1077</v>
      </c>
      <c r="AJ16">
        <v>0</v>
      </c>
      <c r="AK16" t="s">
        <v>3224</v>
      </c>
      <c r="AL16" t="s">
        <v>2801</v>
      </c>
      <c r="AM16" t="s">
        <v>2802</v>
      </c>
      <c r="AN16" t="s">
        <v>1092</v>
      </c>
      <c r="AO16">
        <v>2183335823</v>
      </c>
      <c r="AP16" t="s">
        <v>3178</v>
      </c>
      <c r="AQ16">
        <v>2187515880</v>
      </c>
      <c r="AR16" t="s">
        <v>3215</v>
      </c>
      <c r="AS16" t="s">
        <v>2618</v>
      </c>
      <c r="AU16" t="s">
        <v>1195</v>
      </c>
      <c r="AV16" t="s">
        <v>386</v>
      </c>
      <c r="AW16">
        <v>56601</v>
      </c>
      <c r="AY16" t="s">
        <v>1196</v>
      </c>
      <c r="AZ16" t="s">
        <v>1197</v>
      </c>
      <c r="BA16" t="s">
        <v>1976</v>
      </c>
      <c r="BB16">
        <v>2183335569</v>
      </c>
      <c r="BC16" t="s">
        <v>3178</v>
      </c>
      <c r="BD16">
        <v>2187515880</v>
      </c>
      <c r="BE16" t="s">
        <v>3216</v>
      </c>
      <c r="BF16" t="s">
        <v>2618</v>
      </c>
      <c r="BH16" t="s">
        <v>1195</v>
      </c>
      <c r="BI16" t="s">
        <v>386</v>
      </c>
      <c r="BJ16">
        <v>56601</v>
      </c>
      <c r="BL16" t="s">
        <v>2801</v>
      </c>
      <c r="BM16" t="s">
        <v>2802</v>
      </c>
      <c r="BN16" t="s">
        <v>1092</v>
      </c>
      <c r="BO16">
        <v>2183335823</v>
      </c>
      <c r="BP16" t="s">
        <v>3178</v>
      </c>
      <c r="BQ16">
        <v>2187515880</v>
      </c>
      <c r="BR16" t="s">
        <v>3215</v>
      </c>
      <c r="BS16" t="s">
        <v>2618</v>
      </c>
      <c r="BU16" t="s">
        <v>1195</v>
      </c>
      <c r="BV16" t="s">
        <v>386</v>
      </c>
      <c r="BW16">
        <v>56601</v>
      </c>
    </row>
    <row r="17" spans="1:76" customFormat="1" x14ac:dyDescent="0.25">
      <c r="A17" s="496">
        <v>256</v>
      </c>
      <c r="B17">
        <v>1043331358</v>
      </c>
      <c r="C17" t="s">
        <v>1335</v>
      </c>
      <c r="D17" t="s">
        <v>1192</v>
      </c>
      <c r="E17" t="s">
        <v>3225</v>
      </c>
      <c r="H17" t="s">
        <v>1193</v>
      </c>
      <c r="I17" t="s">
        <v>386</v>
      </c>
      <c r="J17">
        <v>56601</v>
      </c>
      <c r="L17">
        <v>2183082400</v>
      </c>
      <c r="M17">
        <v>2183086800</v>
      </c>
      <c r="N17" t="s">
        <v>1624</v>
      </c>
      <c r="O17" t="s">
        <v>3193</v>
      </c>
      <c r="P17" t="s">
        <v>2354</v>
      </c>
      <c r="Q17" t="s">
        <v>3194</v>
      </c>
      <c r="R17" t="s">
        <v>1096</v>
      </c>
      <c r="S17" t="s">
        <v>1097</v>
      </c>
      <c r="T17" t="s">
        <v>1098</v>
      </c>
      <c r="U17" t="s">
        <v>392</v>
      </c>
      <c r="V17">
        <v>5079347689</v>
      </c>
      <c r="W17" t="s">
        <v>3178</v>
      </c>
      <c r="X17">
        <v>5079347651</v>
      </c>
      <c r="Y17" t="s">
        <v>3195</v>
      </c>
      <c r="Z17" t="s">
        <v>3196</v>
      </c>
      <c r="AB17" t="s">
        <v>817</v>
      </c>
      <c r="AC17" t="s">
        <v>386</v>
      </c>
      <c r="AD17">
        <v>56082</v>
      </c>
      <c r="AE17">
        <v>1327</v>
      </c>
      <c r="AG17" t="s">
        <v>3178</v>
      </c>
      <c r="AH17" t="s">
        <v>1101</v>
      </c>
      <c r="AI17" t="s">
        <v>1077</v>
      </c>
      <c r="AJ17">
        <v>0</v>
      </c>
      <c r="AK17">
        <v>0</v>
      </c>
    </row>
    <row r="18" spans="1:76" customFormat="1" x14ac:dyDescent="0.25">
      <c r="A18" s="496">
        <v>153</v>
      </c>
      <c r="B18">
        <v>1174529002</v>
      </c>
      <c r="C18" t="s">
        <v>1198</v>
      </c>
      <c r="D18" t="s">
        <v>1199</v>
      </c>
      <c r="E18" t="s">
        <v>3226</v>
      </c>
      <c r="H18" t="s">
        <v>1104</v>
      </c>
      <c r="I18" t="s">
        <v>386</v>
      </c>
      <c r="J18">
        <v>56215</v>
      </c>
      <c r="L18">
        <v>3208434232</v>
      </c>
      <c r="M18">
        <v>3208434172</v>
      </c>
      <c r="N18" t="s">
        <v>2803</v>
      </c>
      <c r="O18" t="s">
        <v>2804</v>
      </c>
      <c r="P18" t="s">
        <v>397</v>
      </c>
      <c r="Q18" t="s">
        <v>2805</v>
      </c>
      <c r="R18" t="s">
        <v>1200</v>
      </c>
      <c r="S18" t="s">
        <v>1201</v>
      </c>
      <c r="T18" t="s">
        <v>1202</v>
      </c>
      <c r="U18" t="s">
        <v>3227</v>
      </c>
      <c r="V18">
        <v>3208431304</v>
      </c>
      <c r="W18" t="s">
        <v>3178</v>
      </c>
      <c r="X18">
        <v>3208434172</v>
      </c>
      <c r="Y18" t="s">
        <v>1203</v>
      </c>
      <c r="Z18" t="s">
        <v>3228</v>
      </c>
      <c r="AB18" t="s">
        <v>1204</v>
      </c>
      <c r="AC18" t="s">
        <v>386</v>
      </c>
      <c r="AD18">
        <v>56215</v>
      </c>
      <c r="AE18" t="s">
        <v>2353</v>
      </c>
      <c r="AG18" t="s">
        <v>2364</v>
      </c>
      <c r="AH18" t="s">
        <v>1205</v>
      </c>
      <c r="AI18" t="s">
        <v>1206</v>
      </c>
      <c r="AJ18">
        <v>1</v>
      </c>
      <c r="AK18" t="s">
        <v>2806</v>
      </c>
      <c r="AL18" t="s">
        <v>387</v>
      </c>
      <c r="AM18" t="s">
        <v>3229</v>
      </c>
      <c r="AN18" t="s">
        <v>392</v>
      </c>
      <c r="AO18">
        <v>3203145461</v>
      </c>
      <c r="AP18" t="s">
        <v>3178</v>
      </c>
      <c r="AQ18">
        <v>3208434172</v>
      </c>
      <c r="AR18" t="s">
        <v>3230</v>
      </c>
      <c r="AV18" t="s">
        <v>386</v>
      </c>
      <c r="BL18" t="s">
        <v>1201</v>
      </c>
      <c r="BM18" t="s">
        <v>1202</v>
      </c>
      <c r="BN18" t="s">
        <v>3227</v>
      </c>
      <c r="BO18">
        <v>3208431304</v>
      </c>
      <c r="BP18" t="s">
        <v>3178</v>
      </c>
      <c r="BQ18">
        <v>3208434172</v>
      </c>
      <c r="BR18" t="s">
        <v>1203</v>
      </c>
      <c r="BS18" t="s">
        <v>3228</v>
      </c>
      <c r="BU18" t="s">
        <v>1204</v>
      </c>
      <c r="BV18" t="s">
        <v>386</v>
      </c>
      <c r="BW18">
        <v>56215</v>
      </c>
      <c r="BX18" t="s">
        <v>2353</v>
      </c>
    </row>
    <row r="19" spans="1:76" customFormat="1" x14ac:dyDescent="0.25">
      <c r="A19" s="496">
        <v>104</v>
      </c>
      <c r="B19">
        <v>1851335525</v>
      </c>
      <c r="C19" t="s">
        <v>1207</v>
      </c>
      <c r="D19" t="s">
        <v>1208</v>
      </c>
      <c r="E19" t="s">
        <v>3231</v>
      </c>
      <c r="H19" t="s">
        <v>1209</v>
      </c>
      <c r="I19" t="s">
        <v>386</v>
      </c>
      <c r="J19">
        <v>56628</v>
      </c>
      <c r="L19">
        <v>2187433177</v>
      </c>
      <c r="M19">
        <v>2187433559</v>
      </c>
      <c r="N19" t="s">
        <v>2807</v>
      </c>
      <c r="O19" t="s">
        <v>2808</v>
      </c>
      <c r="P19" t="s">
        <v>397</v>
      </c>
      <c r="Q19" t="s">
        <v>2809</v>
      </c>
      <c r="R19" t="s">
        <v>227</v>
      </c>
      <c r="S19" t="s">
        <v>1113</v>
      </c>
      <c r="T19" t="s">
        <v>1114</v>
      </c>
      <c r="U19" t="s">
        <v>1985</v>
      </c>
      <c r="V19">
        <v>7634862698</v>
      </c>
      <c r="W19" t="s">
        <v>3178</v>
      </c>
      <c r="X19">
        <v>2187633559</v>
      </c>
      <c r="Y19" t="s">
        <v>1806</v>
      </c>
      <c r="AC19" t="s">
        <v>2789</v>
      </c>
      <c r="AG19" t="s">
        <v>1212</v>
      </c>
      <c r="AH19" t="s">
        <v>402</v>
      </c>
      <c r="AJ19">
        <v>1</v>
      </c>
      <c r="AK19" t="s">
        <v>1213</v>
      </c>
      <c r="AL19" t="s">
        <v>1769</v>
      </c>
      <c r="AM19" t="s">
        <v>2102</v>
      </c>
      <c r="AN19" t="s">
        <v>1092</v>
      </c>
      <c r="AO19">
        <v>2187434267</v>
      </c>
      <c r="AP19" t="s">
        <v>3178</v>
      </c>
      <c r="AQ19">
        <v>2187633559</v>
      </c>
      <c r="AR19" t="s">
        <v>2103</v>
      </c>
      <c r="AS19" t="s">
        <v>3232</v>
      </c>
      <c r="AT19" t="s">
        <v>1336</v>
      </c>
      <c r="AU19" t="s">
        <v>1211</v>
      </c>
      <c r="AV19" t="s">
        <v>386</v>
      </c>
      <c r="AW19">
        <v>56628</v>
      </c>
      <c r="AX19">
        <v>-258</v>
      </c>
      <c r="BL19" t="s">
        <v>1769</v>
      </c>
      <c r="BM19" t="s">
        <v>2102</v>
      </c>
      <c r="BN19" t="s">
        <v>1092</v>
      </c>
      <c r="BO19">
        <v>2187434267</v>
      </c>
      <c r="BP19" t="s">
        <v>3178</v>
      </c>
      <c r="BQ19">
        <v>2187633559</v>
      </c>
      <c r="BR19" t="s">
        <v>2103</v>
      </c>
      <c r="BS19" t="s">
        <v>3232</v>
      </c>
      <c r="BT19" t="s">
        <v>1336</v>
      </c>
      <c r="BU19" t="s">
        <v>1211</v>
      </c>
      <c r="BV19" t="s">
        <v>386</v>
      </c>
      <c r="BW19">
        <v>56628</v>
      </c>
      <c r="BX19">
        <v>-258</v>
      </c>
    </row>
    <row r="20" spans="1:76" customFormat="1" x14ac:dyDescent="0.25">
      <c r="A20" s="496">
        <v>162</v>
      </c>
      <c r="B20">
        <v>1952307688</v>
      </c>
      <c r="C20" t="s">
        <v>1214</v>
      </c>
      <c r="D20" t="s">
        <v>1215</v>
      </c>
      <c r="E20" t="s">
        <v>3233</v>
      </c>
      <c r="H20" t="s">
        <v>1216</v>
      </c>
      <c r="I20" t="s">
        <v>386</v>
      </c>
      <c r="J20">
        <v>56013</v>
      </c>
      <c r="K20">
        <v>2158</v>
      </c>
      <c r="L20">
        <v>5075263273</v>
      </c>
      <c r="M20">
        <v>5075263621</v>
      </c>
      <c r="N20" t="s">
        <v>164</v>
      </c>
      <c r="O20" t="s">
        <v>254</v>
      </c>
      <c r="P20" t="s">
        <v>1217</v>
      </c>
      <c r="Q20" t="s">
        <v>3234</v>
      </c>
      <c r="R20" t="s">
        <v>3235</v>
      </c>
      <c r="S20" t="s">
        <v>1210</v>
      </c>
      <c r="T20" t="s">
        <v>1218</v>
      </c>
      <c r="U20" t="s">
        <v>1115</v>
      </c>
      <c r="V20">
        <v>5075267949</v>
      </c>
      <c r="W20" t="s">
        <v>3178</v>
      </c>
      <c r="X20">
        <v>5075263621</v>
      </c>
      <c r="Y20" t="s">
        <v>1219</v>
      </c>
      <c r="Z20" t="s">
        <v>3236</v>
      </c>
      <c r="AB20" t="s">
        <v>1220</v>
      </c>
      <c r="AC20" t="s">
        <v>386</v>
      </c>
      <c r="AD20">
        <v>56013</v>
      </c>
      <c r="AF20" t="s">
        <v>1541</v>
      </c>
      <c r="AG20" t="s">
        <v>1221</v>
      </c>
      <c r="AH20" t="s">
        <v>402</v>
      </c>
      <c r="AJ20">
        <v>1</v>
      </c>
      <c r="AK20" t="s">
        <v>2161</v>
      </c>
      <c r="AL20" t="s">
        <v>2458</v>
      </c>
      <c r="AM20" t="s">
        <v>3237</v>
      </c>
      <c r="AN20" t="s">
        <v>392</v>
      </c>
      <c r="AO20">
        <v>5075267908</v>
      </c>
      <c r="AP20" t="s">
        <v>3178</v>
      </c>
      <c r="AQ20">
        <v>5075263621</v>
      </c>
      <c r="AR20" t="s">
        <v>3238</v>
      </c>
      <c r="AS20" t="s">
        <v>3236</v>
      </c>
      <c r="AU20" t="s">
        <v>1220</v>
      </c>
      <c r="AV20" t="s">
        <v>386</v>
      </c>
      <c r="AW20">
        <v>56013</v>
      </c>
      <c r="BL20" t="s">
        <v>1210</v>
      </c>
      <c r="BM20" t="s">
        <v>1218</v>
      </c>
      <c r="BN20" t="s">
        <v>1115</v>
      </c>
      <c r="BO20">
        <v>5075267949</v>
      </c>
      <c r="BP20" t="s">
        <v>3178</v>
      </c>
      <c r="BQ20">
        <v>5075263621</v>
      </c>
      <c r="BR20" t="s">
        <v>1219</v>
      </c>
      <c r="BS20" t="s">
        <v>3236</v>
      </c>
      <c r="BU20" t="s">
        <v>1220</v>
      </c>
      <c r="BV20" t="s">
        <v>386</v>
      </c>
      <c r="BW20">
        <v>56013</v>
      </c>
    </row>
    <row r="21" spans="1:76" customFormat="1" x14ac:dyDescent="0.25">
      <c r="A21" s="495">
        <v>142</v>
      </c>
      <c r="B21" s="339">
        <v>1568415974</v>
      </c>
      <c r="C21" s="339" t="s">
        <v>1226</v>
      </c>
      <c r="D21" s="339" t="s">
        <v>1224</v>
      </c>
      <c r="E21" s="339" t="s">
        <v>2810</v>
      </c>
      <c r="F21" s="339"/>
      <c r="G21" s="339"/>
      <c r="H21" s="339" t="s">
        <v>1225</v>
      </c>
      <c r="I21" s="339" t="s">
        <v>386</v>
      </c>
      <c r="J21" s="339">
        <v>56401</v>
      </c>
      <c r="K21" s="339">
        <v>3054</v>
      </c>
      <c r="L21" s="339">
        <v>2188292861</v>
      </c>
      <c r="M21" s="339">
        <v>2188283103</v>
      </c>
      <c r="N21" s="339" t="s">
        <v>1487</v>
      </c>
      <c r="O21" s="339" t="s">
        <v>2365</v>
      </c>
      <c r="P21" s="339" t="s">
        <v>3239</v>
      </c>
      <c r="Q21" s="339" t="s">
        <v>2366</v>
      </c>
      <c r="R21" s="339" t="s">
        <v>1084</v>
      </c>
      <c r="S21" s="339" t="s">
        <v>387</v>
      </c>
      <c r="T21" s="339" t="s">
        <v>2360</v>
      </c>
      <c r="U21" s="339" t="s">
        <v>2361</v>
      </c>
      <c r="V21" s="339">
        <v>5074347055</v>
      </c>
      <c r="W21" s="339" t="s">
        <v>3178</v>
      </c>
      <c r="X21" s="339">
        <v>5074378997</v>
      </c>
      <c r="Y21" s="339" t="s">
        <v>2362</v>
      </c>
      <c r="Z21" s="339" t="s">
        <v>3240</v>
      </c>
      <c r="AA21" s="339"/>
      <c r="AB21" s="339" t="s">
        <v>1116</v>
      </c>
      <c r="AC21" s="339" t="s">
        <v>386</v>
      </c>
      <c r="AD21" s="339">
        <v>55912</v>
      </c>
      <c r="AE21" s="339"/>
      <c r="AF21" s="339" t="s">
        <v>1117</v>
      </c>
      <c r="AG21" s="339" t="s">
        <v>1951</v>
      </c>
      <c r="AH21" s="339" t="s">
        <v>3180</v>
      </c>
      <c r="AI21" s="339" t="s">
        <v>1077</v>
      </c>
      <c r="AJ21" s="339">
        <v>0</v>
      </c>
      <c r="AK21" s="339" t="s">
        <v>2811</v>
      </c>
      <c r="AL21" t="s">
        <v>1227</v>
      </c>
      <c r="AM21" t="s">
        <v>1228</v>
      </c>
      <c r="AN21" t="s">
        <v>3241</v>
      </c>
      <c r="AO21">
        <v>2188287645</v>
      </c>
      <c r="AP21" t="s">
        <v>3178</v>
      </c>
      <c r="AQ21" t="s">
        <v>3178</v>
      </c>
      <c r="AR21" t="s">
        <v>3242</v>
      </c>
      <c r="AS21" t="s">
        <v>2812</v>
      </c>
      <c r="AU21" t="s">
        <v>2367</v>
      </c>
      <c r="AV21" t="s">
        <v>386</v>
      </c>
      <c r="AW21">
        <v>56401</v>
      </c>
      <c r="AX21">
        <v>3054</v>
      </c>
      <c r="AY21" t="s">
        <v>1233</v>
      </c>
      <c r="AZ21" t="s">
        <v>2368</v>
      </c>
      <c r="BA21" t="s">
        <v>218</v>
      </c>
      <c r="BB21">
        <v>2188287642</v>
      </c>
      <c r="BC21" t="s">
        <v>3178</v>
      </c>
      <c r="BD21">
        <v>2188283103</v>
      </c>
      <c r="BE21" t="s">
        <v>2369</v>
      </c>
      <c r="BF21" t="s">
        <v>2812</v>
      </c>
      <c r="BH21" t="s">
        <v>2367</v>
      </c>
      <c r="BI21" t="s">
        <v>386</v>
      </c>
      <c r="BJ21">
        <v>56401</v>
      </c>
      <c r="BK21">
        <v>3054</v>
      </c>
      <c r="BL21" s="339" t="s">
        <v>1233</v>
      </c>
      <c r="BM21" s="339" t="s">
        <v>2368</v>
      </c>
      <c r="BN21" s="339" t="s">
        <v>218</v>
      </c>
      <c r="BO21" s="339">
        <v>2188287642</v>
      </c>
      <c r="BP21" s="339" t="s">
        <v>3178</v>
      </c>
      <c r="BQ21" s="339">
        <v>2188283103</v>
      </c>
      <c r="BR21" s="339" t="s">
        <v>2369</v>
      </c>
      <c r="BS21" s="339" t="s">
        <v>2812</v>
      </c>
      <c r="BT21" s="339"/>
      <c r="BU21" s="339" t="s">
        <v>2367</v>
      </c>
      <c r="BV21" s="339" t="s">
        <v>386</v>
      </c>
      <c r="BW21" s="339">
        <v>56401</v>
      </c>
      <c r="BX21" s="339">
        <v>3054</v>
      </c>
    </row>
    <row r="22" spans="1:76" customFormat="1" x14ac:dyDescent="0.25">
      <c r="A22" s="496">
        <v>134</v>
      </c>
      <c r="B22">
        <v>1639162381</v>
      </c>
      <c r="C22" t="s">
        <v>1230</v>
      </c>
      <c r="D22" t="s">
        <v>1231</v>
      </c>
      <c r="E22" t="s">
        <v>2813</v>
      </c>
      <c r="H22" t="s">
        <v>1232</v>
      </c>
      <c r="I22" t="s">
        <v>386</v>
      </c>
      <c r="J22">
        <v>56520</v>
      </c>
      <c r="K22">
        <v>1242</v>
      </c>
      <c r="L22">
        <v>2186433000</v>
      </c>
      <c r="M22">
        <v>2186437344</v>
      </c>
      <c r="N22" t="s">
        <v>1233</v>
      </c>
      <c r="O22" t="s">
        <v>1234</v>
      </c>
      <c r="P22" t="s">
        <v>1191</v>
      </c>
      <c r="Q22" t="s">
        <v>1235</v>
      </c>
      <c r="R22" t="s">
        <v>3243</v>
      </c>
      <c r="S22" t="s">
        <v>1584</v>
      </c>
      <c r="T22" t="s">
        <v>533</v>
      </c>
      <c r="U22" t="s">
        <v>2814</v>
      </c>
      <c r="V22">
        <v>7012378019</v>
      </c>
      <c r="W22" t="s">
        <v>3178</v>
      </c>
      <c r="X22">
        <v>7012378195</v>
      </c>
      <c r="Y22" t="s">
        <v>2815</v>
      </c>
      <c r="Z22" t="s">
        <v>2816</v>
      </c>
      <c r="AB22" t="s">
        <v>1709</v>
      </c>
      <c r="AC22" t="s">
        <v>517</v>
      </c>
      <c r="AD22">
        <v>58104</v>
      </c>
      <c r="AF22" t="s">
        <v>1710</v>
      </c>
      <c r="AG22" t="s">
        <v>1237</v>
      </c>
      <c r="AH22" t="s">
        <v>1076</v>
      </c>
      <c r="AI22" t="s">
        <v>1077</v>
      </c>
      <c r="AJ22">
        <v>1</v>
      </c>
      <c r="AK22" t="s">
        <v>1493</v>
      </c>
      <c r="AL22" t="s">
        <v>1236</v>
      </c>
      <c r="AM22" t="s">
        <v>1337</v>
      </c>
      <c r="AN22" t="s">
        <v>2370</v>
      </c>
      <c r="AO22">
        <v>2186430371</v>
      </c>
      <c r="AP22" t="s">
        <v>3178</v>
      </c>
      <c r="AQ22">
        <v>2186430855</v>
      </c>
      <c r="AR22" t="s">
        <v>1338</v>
      </c>
      <c r="AS22" t="s">
        <v>2817</v>
      </c>
      <c r="AU22" t="s">
        <v>1339</v>
      </c>
      <c r="AV22" t="s">
        <v>386</v>
      </c>
      <c r="AW22">
        <v>56520</v>
      </c>
      <c r="AX22">
        <v>1242</v>
      </c>
      <c r="BL22" t="s">
        <v>1236</v>
      </c>
      <c r="BM22" t="s">
        <v>1337</v>
      </c>
      <c r="BN22" t="s">
        <v>2370</v>
      </c>
      <c r="BO22">
        <v>2186430371</v>
      </c>
      <c r="BP22" t="s">
        <v>3178</v>
      </c>
      <c r="BQ22">
        <v>2186430855</v>
      </c>
      <c r="BR22" t="s">
        <v>1338</v>
      </c>
      <c r="BS22" t="s">
        <v>2817</v>
      </c>
      <c r="BU22" t="s">
        <v>1339</v>
      </c>
      <c r="BV22" t="s">
        <v>386</v>
      </c>
      <c r="BW22">
        <v>56520</v>
      </c>
      <c r="BX22">
        <v>1242</v>
      </c>
    </row>
    <row r="23" spans="1:76" customFormat="1" x14ac:dyDescent="0.25">
      <c r="A23" s="496">
        <v>259</v>
      </c>
      <c r="B23">
        <v>1215182928</v>
      </c>
      <c r="C23" t="s">
        <v>2210</v>
      </c>
      <c r="D23" t="s">
        <v>2987</v>
      </c>
      <c r="E23" t="s">
        <v>2988</v>
      </c>
      <c r="H23" t="s">
        <v>143</v>
      </c>
      <c r="I23" t="s">
        <v>386</v>
      </c>
      <c r="J23">
        <v>55443</v>
      </c>
      <c r="L23">
        <v>7637628800</v>
      </c>
      <c r="M23">
        <v>7633153539</v>
      </c>
      <c r="N23" t="s">
        <v>1587</v>
      </c>
      <c r="O23" t="s">
        <v>3244</v>
      </c>
      <c r="P23" t="s">
        <v>397</v>
      </c>
      <c r="Q23" t="s">
        <v>3245</v>
      </c>
      <c r="R23" t="s">
        <v>3246</v>
      </c>
      <c r="S23" t="s">
        <v>224</v>
      </c>
      <c r="T23" t="s">
        <v>3247</v>
      </c>
      <c r="U23" t="s">
        <v>392</v>
      </c>
      <c r="V23">
        <v>7637626809</v>
      </c>
      <c r="W23" t="s">
        <v>3178</v>
      </c>
      <c r="X23">
        <v>7633154669</v>
      </c>
      <c r="Y23" t="s">
        <v>3248</v>
      </c>
      <c r="Z23" t="s">
        <v>3249</v>
      </c>
      <c r="AB23" t="s">
        <v>3250</v>
      </c>
      <c r="AC23" t="s">
        <v>386</v>
      </c>
      <c r="AD23">
        <v>55443</v>
      </c>
      <c r="AF23" t="s">
        <v>132</v>
      </c>
      <c r="AG23" t="s">
        <v>3251</v>
      </c>
      <c r="AH23" t="s">
        <v>402</v>
      </c>
      <c r="AJ23">
        <v>0</v>
      </c>
      <c r="AK23" t="s">
        <v>3252</v>
      </c>
      <c r="BL23" t="s">
        <v>224</v>
      </c>
      <c r="BM23" t="s">
        <v>3247</v>
      </c>
      <c r="BN23" t="s">
        <v>392</v>
      </c>
      <c r="BO23">
        <v>7637626809</v>
      </c>
      <c r="BP23" t="s">
        <v>3178</v>
      </c>
      <c r="BQ23">
        <v>7633154669</v>
      </c>
      <c r="BR23" t="s">
        <v>3248</v>
      </c>
      <c r="BS23" t="s">
        <v>3249</v>
      </c>
      <c r="BU23" t="s">
        <v>3250</v>
      </c>
      <c r="BV23" t="s">
        <v>386</v>
      </c>
      <c r="BW23">
        <v>55443</v>
      </c>
    </row>
    <row r="24" spans="1:76" customFormat="1" x14ac:dyDescent="0.25">
      <c r="A24" s="496">
        <v>11</v>
      </c>
      <c r="B24">
        <v>1538123567</v>
      </c>
      <c r="C24" t="s">
        <v>1238</v>
      </c>
      <c r="D24" t="s">
        <v>1239</v>
      </c>
      <c r="E24" t="s">
        <v>3253</v>
      </c>
      <c r="H24" t="s">
        <v>1240</v>
      </c>
      <c r="I24" t="s">
        <v>386</v>
      </c>
      <c r="J24">
        <v>55313</v>
      </c>
      <c r="K24">
        <v>1947</v>
      </c>
      <c r="L24">
        <v>7636821212</v>
      </c>
      <c r="M24">
        <v>7636847105</v>
      </c>
      <c r="N24" t="s">
        <v>1340</v>
      </c>
      <c r="O24" t="s">
        <v>1965</v>
      </c>
      <c r="P24" t="s">
        <v>128</v>
      </c>
      <c r="Q24" t="s">
        <v>1966</v>
      </c>
      <c r="R24" t="s">
        <v>2818</v>
      </c>
      <c r="S24" t="s">
        <v>127</v>
      </c>
      <c r="T24" t="s">
        <v>3254</v>
      </c>
      <c r="U24" t="s">
        <v>1319</v>
      </c>
      <c r="V24">
        <v>6122624722</v>
      </c>
      <c r="W24" t="s">
        <v>3178</v>
      </c>
      <c r="X24">
        <v>6122624722</v>
      </c>
      <c r="Y24" t="s">
        <v>3255</v>
      </c>
      <c r="Z24" t="s">
        <v>3256</v>
      </c>
      <c r="AB24" t="s">
        <v>131</v>
      </c>
      <c r="AC24" t="s">
        <v>386</v>
      </c>
      <c r="AD24">
        <v>55440</v>
      </c>
      <c r="AE24">
        <v>43</v>
      </c>
      <c r="AF24" t="s">
        <v>132</v>
      </c>
      <c r="AG24" t="s">
        <v>3257</v>
      </c>
      <c r="AH24" t="s">
        <v>133</v>
      </c>
      <c r="AI24" t="s">
        <v>1077</v>
      </c>
      <c r="AJ24">
        <v>0</v>
      </c>
      <c r="AK24" t="s">
        <v>2819</v>
      </c>
      <c r="AL24" t="s">
        <v>2162</v>
      </c>
      <c r="AM24" t="s">
        <v>2163</v>
      </c>
      <c r="AN24" t="s">
        <v>1510</v>
      </c>
      <c r="AO24">
        <v>6122624720</v>
      </c>
      <c r="AP24" t="s">
        <v>3178</v>
      </c>
      <c r="AQ24">
        <v>6122624720</v>
      </c>
      <c r="AR24" t="s">
        <v>2164</v>
      </c>
      <c r="AS24" t="s">
        <v>3258</v>
      </c>
      <c r="AU24" t="s">
        <v>131</v>
      </c>
      <c r="AV24" t="s">
        <v>386</v>
      </c>
      <c r="AW24">
        <v>55440</v>
      </c>
      <c r="AX24">
        <v>43</v>
      </c>
      <c r="AY24" t="s">
        <v>134</v>
      </c>
      <c r="AZ24" t="s">
        <v>135</v>
      </c>
      <c r="BA24" t="s">
        <v>2156</v>
      </c>
      <c r="BB24">
        <v>6122624719</v>
      </c>
      <c r="BC24" t="s">
        <v>3178</v>
      </c>
      <c r="BD24">
        <v>6122624719</v>
      </c>
      <c r="BE24" t="s">
        <v>136</v>
      </c>
      <c r="BF24" t="s">
        <v>3258</v>
      </c>
      <c r="BG24" t="s">
        <v>137</v>
      </c>
      <c r="BH24" t="s">
        <v>131</v>
      </c>
      <c r="BI24" t="s">
        <v>386</v>
      </c>
      <c r="BJ24">
        <v>55440</v>
      </c>
      <c r="BK24">
        <v>43</v>
      </c>
      <c r="BL24" t="s">
        <v>127</v>
      </c>
      <c r="BM24" t="s">
        <v>3254</v>
      </c>
      <c r="BN24" t="s">
        <v>1319</v>
      </c>
      <c r="BO24">
        <v>6122624722</v>
      </c>
      <c r="BP24" t="s">
        <v>3178</v>
      </c>
      <c r="BQ24">
        <v>6122624722</v>
      </c>
      <c r="BR24" t="s">
        <v>3255</v>
      </c>
      <c r="BS24" t="s">
        <v>3256</v>
      </c>
      <c r="BU24" t="s">
        <v>131</v>
      </c>
      <c r="BV24" t="s">
        <v>386</v>
      </c>
      <c r="BW24">
        <v>55440</v>
      </c>
      <c r="BX24">
        <v>43</v>
      </c>
    </row>
    <row r="25" spans="1:76" customFormat="1" x14ac:dyDescent="0.25">
      <c r="A25" s="496">
        <v>42</v>
      </c>
      <c r="B25">
        <v>1245217520</v>
      </c>
      <c r="C25" t="s">
        <v>139</v>
      </c>
      <c r="D25" t="s">
        <v>140</v>
      </c>
      <c r="E25" t="s">
        <v>3259</v>
      </c>
      <c r="H25" t="s">
        <v>141</v>
      </c>
      <c r="I25" t="s">
        <v>386</v>
      </c>
      <c r="J25">
        <v>55337</v>
      </c>
      <c r="K25">
        <v>5714</v>
      </c>
      <c r="L25">
        <v>9528922000</v>
      </c>
      <c r="M25">
        <v>9528922107</v>
      </c>
      <c r="N25" t="s">
        <v>2458</v>
      </c>
      <c r="O25" t="s">
        <v>2820</v>
      </c>
      <c r="P25" t="s">
        <v>128</v>
      </c>
      <c r="Q25" t="s">
        <v>2821</v>
      </c>
      <c r="R25" t="s">
        <v>2013</v>
      </c>
      <c r="S25" t="s">
        <v>142</v>
      </c>
      <c r="T25" t="s">
        <v>1341</v>
      </c>
      <c r="U25" t="s">
        <v>2014</v>
      </c>
      <c r="V25">
        <v>6126726053</v>
      </c>
      <c r="W25" t="s">
        <v>3178</v>
      </c>
      <c r="X25">
        <v>6126726986</v>
      </c>
      <c r="Y25" t="s">
        <v>1342</v>
      </c>
      <c r="Z25" t="s">
        <v>3260</v>
      </c>
      <c r="AB25" t="s">
        <v>131</v>
      </c>
      <c r="AC25" t="s">
        <v>386</v>
      </c>
      <c r="AD25">
        <v>58541</v>
      </c>
      <c r="AE25">
        <v>-261</v>
      </c>
      <c r="AF25" t="s">
        <v>132</v>
      </c>
      <c r="AG25" t="s">
        <v>144</v>
      </c>
      <c r="AH25" t="s">
        <v>145</v>
      </c>
      <c r="AI25" t="s">
        <v>1077</v>
      </c>
      <c r="AJ25">
        <v>0</v>
      </c>
      <c r="AK25" t="s">
        <v>1494</v>
      </c>
      <c r="AL25" t="s">
        <v>2011</v>
      </c>
      <c r="AM25" t="s">
        <v>2012</v>
      </c>
      <c r="AN25" t="s">
        <v>2822</v>
      </c>
      <c r="AO25">
        <v>6126727067</v>
      </c>
      <c r="AP25" t="s">
        <v>3178</v>
      </c>
      <c r="AQ25">
        <v>6126726986</v>
      </c>
      <c r="AR25" t="s">
        <v>1562</v>
      </c>
      <c r="AS25" t="s">
        <v>2010</v>
      </c>
      <c r="AU25" t="s">
        <v>131</v>
      </c>
      <c r="AV25" t="s">
        <v>386</v>
      </c>
      <c r="AW25">
        <v>55413</v>
      </c>
      <c r="AX25">
        <v>2613</v>
      </c>
      <c r="AY25" t="s">
        <v>247</v>
      </c>
      <c r="AZ25" t="s">
        <v>1495</v>
      </c>
      <c r="BA25" t="s">
        <v>2009</v>
      </c>
      <c r="BB25">
        <v>6126726736</v>
      </c>
      <c r="BC25" t="s">
        <v>3178</v>
      </c>
      <c r="BD25">
        <v>6126726986</v>
      </c>
      <c r="BE25" t="s">
        <v>1496</v>
      </c>
      <c r="BF25" t="s">
        <v>2010</v>
      </c>
      <c r="BH25" t="s">
        <v>131</v>
      </c>
      <c r="BI25" t="s">
        <v>386</v>
      </c>
      <c r="BJ25">
        <v>55413</v>
      </c>
      <c r="BK25">
        <v>2613</v>
      </c>
      <c r="BL25" t="s">
        <v>1492</v>
      </c>
      <c r="BM25" t="s">
        <v>1807</v>
      </c>
      <c r="BN25" t="s">
        <v>3261</v>
      </c>
      <c r="BO25">
        <v>6126724668</v>
      </c>
      <c r="BP25" t="s">
        <v>3178</v>
      </c>
      <c r="BQ25">
        <v>6126721240</v>
      </c>
      <c r="BR25" t="s">
        <v>1808</v>
      </c>
      <c r="BS25" t="s">
        <v>2010</v>
      </c>
      <c r="BU25" t="s">
        <v>131</v>
      </c>
      <c r="BV25" t="s">
        <v>386</v>
      </c>
      <c r="BW25">
        <v>55413</v>
      </c>
      <c r="BX25">
        <v>2613</v>
      </c>
    </row>
    <row r="26" spans="1:76" customFormat="1" x14ac:dyDescent="0.25">
      <c r="A26" s="496">
        <v>13</v>
      </c>
      <c r="B26">
        <v>1568427383</v>
      </c>
      <c r="C26" t="s">
        <v>146</v>
      </c>
      <c r="D26" t="s">
        <v>147</v>
      </c>
      <c r="E26" t="s">
        <v>3262</v>
      </c>
      <c r="H26" t="s">
        <v>148</v>
      </c>
      <c r="I26" t="s">
        <v>386</v>
      </c>
      <c r="J26">
        <v>55008</v>
      </c>
      <c r="K26">
        <v>1920</v>
      </c>
      <c r="L26">
        <v>7636897700</v>
      </c>
      <c r="M26">
        <v>7636887941</v>
      </c>
      <c r="N26" t="s">
        <v>142</v>
      </c>
      <c r="O26" t="s">
        <v>1967</v>
      </c>
      <c r="P26" t="s">
        <v>128</v>
      </c>
      <c r="Q26" t="s">
        <v>2823</v>
      </c>
      <c r="R26" t="s">
        <v>1627</v>
      </c>
      <c r="S26" t="s">
        <v>2374</v>
      </c>
      <c r="T26" t="s">
        <v>2375</v>
      </c>
      <c r="U26" t="s">
        <v>130</v>
      </c>
      <c r="V26">
        <v>6122624724</v>
      </c>
      <c r="W26" t="s">
        <v>3178</v>
      </c>
      <c r="X26">
        <v>6122624724</v>
      </c>
      <c r="Y26" t="s">
        <v>2376</v>
      </c>
      <c r="Z26" t="s">
        <v>3263</v>
      </c>
      <c r="AB26" t="s">
        <v>131</v>
      </c>
      <c r="AC26" t="s">
        <v>386</v>
      </c>
      <c r="AD26">
        <v>55440</v>
      </c>
      <c r="AE26">
        <v>43</v>
      </c>
      <c r="AF26" t="s">
        <v>132</v>
      </c>
      <c r="AG26" t="s">
        <v>2824</v>
      </c>
      <c r="AH26" t="s">
        <v>133</v>
      </c>
      <c r="AI26" t="s">
        <v>1077</v>
      </c>
      <c r="AJ26">
        <v>0</v>
      </c>
      <c r="AK26" t="s">
        <v>150</v>
      </c>
      <c r="AL26" t="s">
        <v>2162</v>
      </c>
      <c r="AM26" t="s">
        <v>2163</v>
      </c>
      <c r="AN26" t="s">
        <v>1510</v>
      </c>
      <c r="AO26">
        <v>6122624720</v>
      </c>
      <c r="AP26" t="s">
        <v>3178</v>
      </c>
      <c r="AQ26">
        <v>6122624720</v>
      </c>
      <c r="AR26" t="s">
        <v>2164</v>
      </c>
      <c r="AS26" t="s">
        <v>3258</v>
      </c>
      <c r="AU26" t="s">
        <v>131</v>
      </c>
      <c r="AV26" t="s">
        <v>386</v>
      </c>
      <c r="AW26">
        <v>55440</v>
      </c>
      <c r="AX26">
        <v>43</v>
      </c>
      <c r="AY26" t="s">
        <v>134</v>
      </c>
      <c r="AZ26" t="s">
        <v>135</v>
      </c>
      <c r="BA26" t="s">
        <v>2156</v>
      </c>
      <c r="BB26">
        <v>6122624719</v>
      </c>
      <c r="BC26" t="s">
        <v>3178</v>
      </c>
      <c r="BD26">
        <v>6122624719</v>
      </c>
      <c r="BE26" t="s">
        <v>136</v>
      </c>
      <c r="BF26" t="s">
        <v>3258</v>
      </c>
      <c r="BG26" t="s">
        <v>137</v>
      </c>
      <c r="BH26" t="s">
        <v>131</v>
      </c>
      <c r="BI26" t="s">
        <v>386</v>
      </c>
      <c r="BJ26">
        <v>55440</v>
      </c>
      <c r="BK26">
        <v>43</v>
      </c>
      <c r="BL26" t="s">
        <v>2374</v>
      </c>
      <c r="BM26" t="s">
        <v>2375</v>
      </c>
      <c r="BN26" t="s">
        <v>130</v>
      </c>
      <c r="BO26">
        <v>6122624724</v>
      </c>
      <c r="BP26" t="s">
        <v>3178</v>
      </c>
      <c r="BQ26">
        <v>6122624724</v>
      </c>
      <c r="BR26" t="s">
        <v>2376</v>
      </c>
      <c r="BS26" t="s">
        <v>3263</v>
      </c>
      <c r="BU26" t="s">
        <v>131</v>
      </c>
      <c r="BV26" t="s">
        <v>386</v>
      </c>
      <c r="BW26">
        <v>55440</v>
      </c>
      <c r="BX26">
        <v>43</v>
      </c>
    </row>
    <row r="27" spans="1:76" customFormat="1" x14ac:dyDescent="0.25">
      <c r="A27" s="496">
        <v>14</v>
      </c>
      <c r="B27">
        <v>1780781054</v>
      </c>
      <c r="C27" t="s">
        <v>1500</v>
      </c>
      <c r="D27" t="s">
        <v>151</v>
      </c>
      <c r="E27" t="s">
        <v>3264</v>
      </c>
      <c r="H27" t="s">
        <v>152</v>
      </c>
      <c r="I27" t="s">
        <v>386</v>
      </c>
      <c r="J27">
        <v>56220</v>
      </c>
      <c r="K27">
        <v>1433</v>
      </c>
      <c r="L27">
        <v>5072237277</v>
      </c>
      <c r="M27">
        <v>5072237340</v>
      </c>
      <c r="N27" t="s">
        <v>1097</v>
      </c>
      <c r="O27" t="s">
        <v>2377</v>
      </c>
      <c r="P27" t="s">
        <v>397</v>
      </c>
      <c r="Q27" t="s">
        <v>2378</v>
      </c>
      <c r="R27" t="s">
        <v>153</v>
      </c>
      <c r="S27" t="s">
        <v>1501</v>
      </c>
      <c r="T27" t="s">
        <v>1502</v>
      </c>
      <c r="U27" t="s">
        <v>308</v>
      </c>
      <c r="V27">
        <v>5072237277</v>
      </c>
      <c r="W27">
        <v>340</v>
      </c>
      <c r="X27">
        <v>5072237340</v>
      </c>
      <c r="Y27" t="s">
        <v>1969</v>
      </c>
      <c r="Z27" t="s">
        <v>3265</v>
      </c>
      <c r="AB27" t="s">
        <v>1503</v>
      </c>
      <c r="AC27" t="s">
        <v>386</v>
      </c>
      <c r="AD27">
        <v>56220</v>
      </c>
      <c r="AE27">
        <v>1433</v>
      </c>
      <c r="AF27" t="s">
        <v>1504</v>
      </c>
      <c r="AG27" t="s">
        <v>1809</v>
      </c>
      <c r="AH27" t="s">
        <v>1505</v>
      </c>
      <c r="AI27" t="s">
        <v>393</v>
      </c>
      <c r="AJ27">
        <v>1</v>
      </c>
      <c r="AK27" t="s">
        <v>155</v>
      </c>
      <c r="AL27" t="s">
        <v>1506</v>
      </c>
      <c r="AM27" t="s">
        <v>1234</v>
      </c>
      <c r="AN27" t="s">
        <v>392</v>
      </c>
      <c r="AO27">
        <v>5072237277</v>
      </c>
      <c r="AP27">
        <v>273</v>
      </c>
      <c r="AQ27">
        <v>5072237340</v>
      </c>
      <c r="AR27" t="s">
        <v>1970</v>
      </c>
      <c r="AV27" t="s">
        <v>2789</v>
      </c>
      <c r="BL27" t="s">
        <v>1501</v>
      </c>
      <c r="BM27" t="s">
        <v>1502</v>
      </c>
      <c r="BN27" t="s">
        <v>308</v>
      </c>
      <c r="BO27">
        <v>5072237277</v>
      </c>
      <c r="BP27">
        <v>340</v>
      </c>
      <c r="BQ27">
        <v>5072237340</v>
      </c>
      <c r="BR27" t="s">
        <v>1969</v>
      </c>
      <c r="BS27" t="s">
        <v>3265</v>
      </c>
      <c r="BU27" t="s">
        <v>1503</v>
      </c>
      <c r="BV27" t="s">
        <v>386</v>
      </c>
      <c r="BW27">
        <v>56220</v>
      </c>
      <c r="BX27">
        <v>1433</v>
      </c>
    </row>
    <row r="28" spans="1:76" customFormat="1" x14ac:dyDescent="0.25">
      <c r="A28" s="496">
        <v>15</v>
      </c>
      <c r="B28">
        <v>1063435410</v>
      </c>
      <c r="C28" t="s">
        <v>1971</v>
      </c>
      <c r="D28" t="s">
        <v>156</v>
      </c>
      <c r="E28" t="s">
        <v>3266</v>
      </c>
      <c r="H28" t="s">
        <v>157</v>
      </c>
      <c r="I28" t="s">
        <v>386</v>
      </c>
      <c r="J28">
        <v>55009</v>
      </c>
      <c r="K28">
        <v>1824</v>
      </c>
      <c r="L28">
        <v>5072634221</v>
      </c>
      <c r="M28">
        <v>5072637853</v>
      </c>
      <c r="N28" t="s">
        <v>158</v>
      </c>
      <c r="O28" t="s">
        <v>159</v>
      </c>
      <c r="P28" t="s">
        <v>320</v>
      </c>
      <c r="Q28" t="s">
        <v>2379</v>
      </c>
      <c r="R28" t="s">
        <v>2043</v>
      </c>
      <c r="S28" t="s">
        <v>1447</v>
      </c>
      <c r="T28" t="s">
        <v>1448</v>
      </c>
      <c r="U28" t="s">
        <v>1972</v>
      </c>
      <c r="V28">
        <v>5072845761</v>
      </c>
      <c r="W28" t="s">
        <v>3178</v>
      </c>
      <c r="X28">
        <v>5072840986</v>
      </c>
      <c r="Y28" t="s">
        <v>1449</v>
      </c>
      <c r="Z28" t="s">
        <v>3267</v>
      </c>
      <c r="AB28" t="s">
        <v>1065</v>
      </c>
      <c r="AC28" t="s">
        <v>386</v>
      </c>
      <c r="AD28">
        <v>55905</v>
      </c>
      <c r="AE28" t="s">
        <v>2353</v>
      </c>
      <c r="AF28" t="s">
        <v>1009</v>
      </c>
      <c r="AG28" t="s">
        <v>161</v>
      </c>
      <c r="AH28" t="s">
        <v>1087</v>
      </c>
      <c r="AI28" t="s">
        <v>1077</v>
      </c>
      <c r="AJ28">
        <v>1</v>
      </c>
      <c r="AK28" t="s">
        <v>1973</v>
      </c>
      <c r="AL28" t="s">
        <v>158</v>
      </c>
      <c r="AM28" t="s">
        <v>159</v>
      </c>
      <c r="AN28" t="s">
        <v>320</v>
      </c>
      <c r="AO28">
        <v>5072639703</v>
      </c>
      <c r="AP28" t="s">
        <v>3178</v>
      </c>
      <c r="AQ28" t="s">
        <v>3178</v>
      </c>
      <c r="AR28" t="s">
        <v>2379</v>
      </c>
      <c r="AS28" t="s">
        <v>3268</v>
      </c>
      <c r="AU28" t="s">
        <v>156</v>
      </c>
      <c r="AV28" t="s">
        <v>386</v>
      </c>
      <c r="AW28">
        <v>55009</v>
      </c>
      <c r="AX28">
        <v>1824</v>
      </c>
      <c r="BL28" t="s">
        <v>1447</v>
      </c>
      <c r="BM28" t="s">
        <v>1448</v>
      </c>
      <c r="BN28" t="s">
        <v>1972</v>
      </c>
      <c r="BO28">
        <v>5072845761</v>
      </c>
      <c r="BP28" t="s">
        <v>3178</v>
      </c>
      <c r="BQ28">
        <v>5072840986</v>
      </c>
      <c r="BR28" t="s">
        <v>1449</v>
      </c>
      <c r="BS28" t="s">
        <v>3267</v>
      </c>
      <c r="BU28" t="s">
        <v>1065</v>
      </c>
      <c r="BV28" t="s">
        <v>386</v>
      </c>
      <c r="BW28">
        <v>55905</v>
      </c>
      <c r="BX28" t="s">
        <v>2353</v>
      </c>
    </row>
    <row r="29" spans="1:76" customFormat="1" x14ac:dyDescent="0.25">
      <c r="A29" s="495">
        <v>214</v>
      </c>
      <c r="B29" s="339"/>
      <c r="C29" s="339" t="s">
        <v>2205</v>
      </c>
      <c r="D29" s="339" t="s">
        <v>2206</v>
      </c>
      <c r="E29" s="339" t="s">
        <v>2207</v>
      </c>
      <c r="F29" s="339"/>
      <c r="G29" s="339"/>
      <c r="H29" s="339" t="s">
        <v>2208</v>
      </c>
      <c r="I29" s="339" t="s">
        <v>386</v>
      </c>
      <c r="J29" s="339">
        <v>56633</v>
      </c>
      <c r="K29" s="339"/>
      <c r="L29" s="339">
        <v>2183352293</v>
      </c>
      <c r="M29" s="339"/>
      <c r="N29" s="339" t="s">
        <v>2209</v>
      </c>
      <c r="O29" s="339" t="s">
        <v>1550</v>
      </c>
      <c r="P29" s="339"/>
      <c r="Q29" s="339"/>
      <c r="R29" s="339"/>
      <c r="S29" s="339"/>
      <c r="T29" s="339"/>
      <c r="U29" s="339"/>
      <c r="V29" s="339"/>
      <c r="W29" s="339"/>
      <c r="X29" s="339"/>
      <c r="Y29" s="339"/>
      <c r="Z29" s="339"/>
      <c r="AA29" s="339"/>
      <c r="AB29" s="339"/>
      <c r="AC29" s="339"/>
      <c r="AD29" s="339"/>
      <c r="AE29" s="339"/>
      <c r="AF29" s="339"/>
      <c r="AG29" s="339"/>
      <c r="AH29" s="339" t="s">
        <v>2204</v>
      </c>
      <c r="AI29" s="339" t="s">
        <v>1077</v>
      </c>
      <c r="AJ29" s="339" t="s">
        <v>103</v>
      </c>
      <c r="AK29" s="339"/>
      <c r="BL29" s="339"/>
      <c r="BM29" s="339"/>
      <c r="BN29" s="339"/>
      <c r="BO29" s="339"/>
      <c r="BP29" s="339"/>
      <c r="BQ29" s="339"/>
      <c r="BR29" s="339"/>
      <c r="BS29" s="339"/>
      <c r="BT29" s="339"/>
      <c r="BU29" s="339"/>
      <c r="BV29" s="339"/>
      <c r="BW29" s="339"/>
      <c r="BX29" s="339"/>
    </row>
    <row r="30" spans="1:76" customFormat="1" x14ac:dyDescent="0.25">
      <c r="A30" s="496">
        <v>24</v>
      </c>
      <c r="B30">
        <v>1003869082</v>
      </c>
      <c r="C30" t="s">
        <v>1983</v>
      </c>
      <c r="D30" t="s">
        <v>162</v>
      </c>
      <c r="E30" t="s">
        <v>3269</v>
      </c>
      <c r="H30" t="s">
        <v>163</v>
      </c>
      <c r="I30" t="s">
        <v>386</v>
      </c>
      <c r="J30">
        <v>55720</v>
      </c>
      <c r="K30">
        <v>1199</v>
      </c>
      <c r="L30">
        <v>2188794641</v>
      </c>
      <c r="M30">
        <v>2188799167</v>
      </c>
      <c r="N30" t="s">
        <v>164</v>
      </c>
      <c r="O30" t="s">
        <v>165</v>
      </c>
      <c r="P30" t="s">
        <v>388</v>
      </c>
      <c r="Q30" t="s">
        <v>1984</v>
      </c>
      <c r="R30" t="s">
        <v>166</v>
      </c>
      <c r="S30" t="s">
        <v>127</v>
      </c>
      <c r="T30" t="s">
        <v>472</v>
      </c>
      <c r="U30" t="s">
        <v>167</v>
      </c>
      <c r="V30">
        <v>2188787035</v>
      </c>
      <c r="W30" t="s">
        <v>3178</v>
      </c>
      <c r="X30">
        <v>2188799167</v>
      </c>
      <c r="Y30" t="s">
        <v>1507</v>
      </c>
      <c r="Z30" t="s">
        <v>3270</v>
      </c>
      <c r="AB30" t="s">
        <v>168</v>
      </c>
      <c r="AC30" t="s">
        <v>386</v>
      </c>
      <c r="AD30">
        <v>55720</v>
      </c>
      <c r="AE30">
        <v>1199</v>
      </c>
      <c r="AF30" t="s">
        <v>1508</v>
      </c>
      <c r="AG30" t="s">
        <v>1509</v>
      </c>
      <c r="AH30" t="s">
        <v>402</v>
      </c>
      <c r="AJ30">
        <v>1</v>
      </c>
      <c r="AK30" t="s">
        <v>2380</v>
      </c>
      <c r="BL30" t="s">
        <v>297</v>
      </c>
      <c r="BM30" t="s">
        <v>1186</v>
      </c>
      <c r="BN30" t="s">
        <v>392</v>
      </c>
      <c r="BO30">
        <v>2188787027</v>
      </c>
      <c r="BP30" t="s">
        <v>3178</v>
      </c>
      <c r="BQ30">
        <v>2188799167</v>
      </c>
      <c r="BR30" t="s">
        <v>1692</v>
      </c>
      <c r="BV30" t="s">
        <v>386</v>
      </c>
    </row>
    <row r="31" spans="1:76" customFormat="1" x14ac:dyDescent="0.25">
      <c r="A31" s="496">
        <v>29</v>
      </c>
      <c r="B31">
        <v>1992763858</v>
      </c>
      <c r="C31" t="s">
        <v>169</v>
      </c>
      <c r="D31" t="s">
        <v>170</v>
      </c>
      <c r="E31" t="s">
        <v>3271</v>
      </c>
      <c r="H31" t="s">
        <v>1112</v>
      </c>
      <c r="I31" t="s">
        <v>386</v>
      </c>
      <c r="J31">
        <v>55723</v>
      </c>
      <c r="K31">
        <v>9702</v>
      </c>
      <c r="L31">
        <v>2186665945</v>
      </c>
      <c r="M31">
        <v>2186666228</v>
      </c>
      <c r="N31" t="s">
        <v>2825</v>
      </c>
      <c r="O31" t="s">
        <v>2826</v>
      </c>
      <c r="P31" t="s">
        <v>320</v>
      </c>
      <c r="Q31" t="s">
        <v>3272</v>
      </c>
      <c r="R31" t="s">
        <v>1343</v>
      </c>
      <c r="S31" t="s">
        <v>171</v>
      </c>
      <c r="T31" t="s">
        <v>172</v>
      </c>
      <c r="U31" t="s">
        <v>392</v>
      </c>
      <c r="V31">
        <v>2186666263</v>
      </c>
      <c r="W31" t="s">
        <v>3178</v>
      </c>
      <c r="X31">
        <v>2186666228</v>
      </c>
      <c r="Y31" t="s">
        <v>173</v>
      </c>
      <c r="Z31" t="s">
        <v>3273</v>
      </c>
      <c r="AB31" t="s">
        <v>174</v>
      </c>
      <c r="AC31" t="s">
        <v>386</v>
      </c>
      <c r="AD31">
        <v>55723</v>
      </c>
      <c r="AE31">
        <v>9702</v>
      </c>
      <c r="AF31" t="s">
        <v>1112</v>
      </c>
      <c r="AG31" t="s">
        <v>175</v>
      </c>
      <c r="AH31" t="s">
        <v>402</v>
      </c>
      <c r="AJ31">
        <v>1</v>
      </c>
      <c r="AK31" t="s">
        <v>3274</v>
      </c>
      <c r="BL31" t="s">
        <v>171</v>
      </c>
      <c r="BM31" t="s">
        <v>172</v>
      </c>
      <c r="BN31" t="s">
        <v>392</v>
      </c>
      <c r="BO31">
        <v>2186666263</v>
      </c>
      <c r="BP31" t="s">
        <v>3178</v>
      </c>
      <c r="BQ31">
        <v>2186666228</v>
      </c>
      <c r="BR31" t="s">
        <v>173</v>
      </c>
      <c r="BS31" t="s">
        <v>3273</v>
      </c>
      <c r="BU31" t="s">
        <v>174</v>
      </c>
      <c r="BV31" t="s">
        <v>386</v>
      </c>
      <c r="BW31">
        <v>55723</v>
      </c>
      <c r="BX31">
        <v>9702</v>
      </c>
    </row>
    <row r="32" spans="1:76" customFormat="1" x14ac:dyDescent="0.25">
      <c r="A32" s="496">
        <v>84</v>
      </c>
      <c r="B32">
        <v>1316904287</v>
      </c>
      <c r="C32" t="s">
        <v>176</v>
      </c>
      <c r="D32" t="s">
        <v>177</v>
      </c>
      <c r="E32" t="s">
        <v>3275</v>
      </c>
      <c r="H32" t="s">
        <v>1095</v>
      </c>
      <c r="I32" t="s">
        <v>386</v>
      </c>
      <c r="J32">
        <v>55433</v>
      </c>
      <c r="K32">
        <v>2522</v>
      </c>
      <c r="L32">
        <v>7632366000</v>
      </c>
      <c r="M32">
        <v>7632368650</v>
      </c>
      <c r="N32" t="s">
        <v>1491</v>
      </c>
      <c r="O32" t="s">
        <v>1588</v>
      </c>
      <c r="P32" t="s">
        <v>2079</v>
      </c>
      <c r="Q32" t="s">
        <v>2080</v>
      </c>
      <c r="R32" t="s">
        <v>2382</v>
      </c>
      <c r="S32" t="s">
        <v>2383</v>
      </c>
      <c r="T32" t="s">
        <v>2384</v>
      </c>
      <c r="U32" t="s">
        <v>130</v>
      </c>
      <c r="V32">
        <v>6122624732</v>
      </c>
      <c r="W32" t="s">
        <v>3178</v>
      </c>
      <c r="X32">
        <v>6122624732</v>
      </c>
      <c r="Y32" t="s">
        <v>2385</v>
      </c>
      <c r="Z32" t="s">
        <v>3276</v>
      </c>
      <c r="AB32" t="s">
        <v>131</v>
      </c>
      <c r="AC32" t="s">
        <v>386</v>
      </c>
      <c r="AD32">
        <v>55440</v>
      </c>
      <c r="AE32">
        <v>43</v>
      </c>
      <c r="AF32" t="s">
        <v>132</v>
      </c>
      <c r="AG32" t="s">
        <v>2827</v>
      </c>
      <c r="AH32" t="s">
        <v>133</v>
      </c>
      <c r="AI32" t="s">
        <v>1077</v>
      </c>
      <c r="AJ32">
        <v>0</v>
      </c>
      <c r="AK32" t="s">
        <v>2386</v>
      </c>
      <c r="AL32" t="s">
        <v>134</v>
      </c>
      <c r="AM32" t="s">
        <v>135</v>
      </c>
      <c r="AN32" t="s">
        <v>2156</v>
      </c>
      <c r="AO32">
        <v>6122624719</v>
      </c>
      <c r="AP32" t="s">
        <v>3178</v>
      </c>
      <c r="AQ32">
        <v>6122624719</v>
      </c>
      <c r="AR32" t="s">
        <v>136</v>
      </c>
      <c r="AS32" t="s">
        <v>3258</v>
      </c>
      <c r="AT32" t="s">
        <v>137</v>
      </c>
      <c r="AU32" t="s">
        <v>131</v>
      </c>
      <c r="AV32" t="s">
        <v>386</v>
      </c>
      <c r="AW32">
        <v>55440</v>
      </c>
      <c r="AX32">
        <v>43</v>
      </c>
      <c r="AY32" t="s">
        <v>2387</v>
      </c>
      <c r="AZ32" t="s">
        <v>2388</v>
      </c>
      <c r="BA32" t="s">
        <v>2389</v>
      </c>
      <c r="BB32">
        <v>6122624721</v>
      </c>
      <c r="BC32" t="s">
        <v>3178</v>
      </c>
      <c r="BD32">
        <v>6122624721</v>
      </c>
      <c r="BE32" t="s">
        <v>2390</v>
      </c>
      <c r="BF32" t="s">
        <v>3263</v>
      </c>
      <c r="BH32" t="s">
        <v>131</v>
      </c>
      <c r="BI32" t="s">
        <v>386</v>
      </c>
      <c r="BJ32">
        <v>55440</v>
      </c>
      <c r="BK32">
        <v>43</v>
      </c>
      <c r="BL32" t="s">
        <v>2383</v>
      </c>
      <c r="BM32" t="s">
        <v>2384</v>
      </c>
      <c r="BN32" t="s">
        <v>130</v>
      </c>
      <c r="BO32">
        <v>6122624732</v>
      </c>
      <c r="BP32" t="s">
        <v>3178</v>
      </c>
      <c r="BQ32">
        <v>6122624732</v>
      </c>
      <c r="BR32" t="s">
        <v>2385</v>
      </c>
      <c r="BS32" t="s">
        <v>3276</v>
      </c>
      <c r="BU32" t="s">
        <v>131</v>
      </c>
      <c r="BV32" t="s">
        <v>386</v>
      </c>
      <c r="BW32">
        <v>55440</v>
      </c>
      <c r="BX32">
        <v>43</v>
      </c>
    </row>
    <row r="33" spans="1:76" customFormat="1" x14ac:dyDescent="0.25">
      <c r="A33" s="496">
        <v>119</v>
      </c>
      <c r="B33">
        <v>1477525566</v>
      </c>
      <c r="C33" t="s">
        <v>179</v>
      </c>
      <c r="D33" t="s">
        <v>180</v>
      </c>
      <c r="E33" t="s">
        <v>3277</v>
      </c>
      <c r="H33" t="s">
        <v>181</v>
      </c>
      <c r="I33" t="s">
        <v>386</v>
      </c>
      <c r="J33">
        <v>56716</v>
      </c>
      <c r="K33">
        <v>1601</v>
      </c>
      <c r="L33">
        <v>2182819200</v>
      </c>
      <c r="M33">
        <v>2182819222</v>
      </c>
      <c r="N33" t="s">
        <v>1810</v>
      </c>
      <c r="O33" t="s">
        <v>1811</v>
      </c>
      <c r="P33" t="s">
        <v>397</v>
      </c>
      <c r="Q33" t="s">
        <v>2126</v>
      </c>
      <c r="R33" t="s">
        <v>2127</v>
      </c>
      <c r="S33" t="s">
        <v>2057</v>
      </c>
      <c r="T33" t="s">
        <v>2058</v>
      </c>
      <c r="U33" t="s">
        <v>2361</v>
      </c>
      <c r="V33">
        <v>6123764624</v>
      </c>
      <c r="W33" t="s">
        <v>3178</v>
      </c>
      <c r="X33">
        <v>6123764850</v>
      </c>
      <c r="Y33" t="s">
        <v>2426</v>
      </c>
      <c r="Z33" t="s">
        <v>2861</v>
      </c>
      <c r="AB33" t="s">
        <v>131</v>
      </c>
      <c r="AC33" t="s">
        <v>386</v>
      </c>
      <c r="AD33">
        <v>55402</v>
      </c>
      <c r="AE33">
        <v>1436</v>
      </c>
      <c r="AF33" t="s">
        <v>132</v>
      </c>
      <c r="AG33" t="s">
        <v>186</v>
      </c>
      <c r="AH33" t="s">
        <v>402</v>
      </c>
      <c r="AJ33">
        <v>1</v>
      </c>
      <c r="AK33" t="s">
        <v>2129</v>
      </c>
      <c r="BL33" t="s">
        <v>2130</v>
      </c>
      <c r="BM33" t="s">
        <v>2131</v>
      </c>
      <c r="BN33" t="s">
        <v>392</v>
      </c>
      <c r="BO33">
        <v>2182819756</v>
      </c>
      <c r="BP33" t="s">
        <v>3178</v>
      </c>
      <c r="BQ33">
        <v>2182819222</v>
      </c>
      <c r="BR33" t="s">
        <v>2132</v>
      </c>
      <c r="BS33" t="s">
        <v>3278</v>
      </c>
      <c r="BU33" t="s">
        <v>185</v>
      </c>
      <c r="BV33" t="s">
        <v>386</v>
      </c>
      <c r="BW33">
        <v>56716</v>
      </c>
    </row>
    <row r="34" spans="1:76" customFormat="1" x14ac:dyDescent="0.25">
      <c r="A34" s="496">
        <v>31</v>
      </c>
      <c r="B34">
        <v>1538143896</v>
      </c>
      <c r="C34" t="s">
        <v>187</v>
      </c>
      <c r="D34" t="s">
        <v>188</v>
      </c>
      <c r="E34" t="s">
        <v>3279</v>
      </c>
      <c r="H34" t="s">
        <v>1225</v>
      </c>
      <c r="I34" t="s">
        <v>386</v>
      </c>
      <c r="J34">
        <v>56441</v>
      </c>
      <c r="K34">
        <v>1645</v>
      </c>
      <c r="L34">
        <v>2185467000</v>
      </c>
      <c r="M34">
        <v>2185467268</v>
      </c>
      <c r="N34" t="s">
        <v>3280</v>
      </c>
      <c r="O34" t="s">
        <v>1993</v>
      </c>
      <c r="P34" t="s">
        <v>397</v>
      </c>
      <c r="Q34" t="s">
        <v>1994</v>
      </c>
      <c r="R34" t="s">
        <v>189</v>
      </c>
      <c r="S34" t="s">
        <v>1222</v>
      </c>
      <c r="T34" t="s">
        <v>190</v>
      </c>
      <c r="U34" t="s">
        <v>392</v>
      </c>
      <c r="V34">
        <v>2185462366</v>
      </c>
      <c r="W34" t="s">
        <v>3178</v>
      </c>
      <c r="X34">
        <v>2185467268</v>
      </c>
      <c r="Y34" t="s">
        <v>2828</v>
      </c>
      <c r="Z34" t="s">
        <v>3281</v>
      </c>
      <c r="AB34" t="s">
        <v>191</v>
      </c>
      <c r="AC34" t="s">
        <v>386</v>
      </c>
      <c r="AD34">
        <v>56441</v>
      </c>
      <c r="AE34" t="s">
        <v>1953</v>
      </c>
      <c r="AG34" t="s">
        <v>192</v>
      </c>
      <c r="AH34" t="s">
        <v>402</v>
      </c>
      <c r="AJ34">
        <v>1</v>
      </c>
      <c r="AK34" t="s">
        <v>3282</v>
      </c>
      <c r="BL34" t="s">
        <v>1222</v>
      </c>
      <c r="BM34" t="s">
        <v>190</v>
      </c>
      <c r="BN34" t="s">
        <v>392</v>
      </c>
      <c r="BO34">
        <v>2185462366</v>
      </c>
      <c r="BP34" t="s">
        <v>3178</v>
      </c>
      <c r="BQ34">
        <v>2185467268</v>
      </c>
      <c r="BR34" t="s">
        <v>2828</v>
      </c>
      <c r="BS34" t="s">
        <v>3281</v>
      </c>
      <c r="BU34" t="s">
        <v>191</v>
      </c>
      <c r="BV34" t="s">
        <v>386</v>
      </c>
      <c r="BW34">
        <v>56441</v>
      </c>
      <c r="BX34" t="s">
        <v>1953</v>
      </c>
    </row>
    <row r="35" spans="1:76" customFormat="1" x14ac:dyDescent="0.25">
      <c r="A35" s="496">
        <v>66</v>
      </c>
      <c r="B35">
        <v>1093745051</v>
      </c>
      <c r="C35" t="s">
        <v>193</v>
      </c>
      <c r="D35" t="s">
        <v>194</v>
      </c>
      <c r="E35" t="s">
        <v>3283</v>
      </c>
      <c r="H35" t="s">
        <v>195</v>
      </c>
      <c r="I35" t="s">
        <v>386</v>
      </c>
      <c r="J35">
        <v>56232</v>
      </c>
      <c r="K35">
        <v>2333</v>
      </c>
      <c r="L35">
        <v>3207694323</v>
      </c>
      <c r="M35">
        <v>3207692972</v>
      </c>
      <c r="N35" t="s">
        <v>3284</v>
      </c>
      <c r="O35" t="s">
        <v>197</v>
      </c>
      <c r="P35" t="s">
        <v>320</v>
      </c>
      <c r="Q35" t="s">
        <v>3285</v>
      </c>
      <c r="R35" t="s">
        <v>2391</v>
      </c>
      <c r="S35" t="s">
        <v>2392</v>
      </c>
      <c r="T35" t="s">
        <v>2393</v>
      </c>
      <c r="U35" t="s">
        <v>392</v>
      </c>
      <c r="V35">
        <v>3203122104</v>
      </c>
      <c r="W35" t="s">
        <v>3178</v>
      </c>
      <c r="X35">
        <v>3207692972</v>
      </c>
      <c r="Y35" t="s">
        <v>2394</v>
      </c>
      <c r="Z35" t="s">
        <v>3286</v>
      </c>
      <c r="AB35" t="s">
        <v>198</v>
      </c>
      <c r="AC35" t="s">
        <v>386</v>
      </c>
      <c r="AD35">
        <v>56232</v>
      </c>
      <c r="AE35">
        <v>2333</v>
      </c>
      <c r="AF35" t="s">
        <v>1553</v>
      </c>
      <c r="AG35" t="s">
        <v>2054</v>
      </c>
      <c r="AH35" t="s">
        <v>402</v>
      </c>
      <c r="AJ35">
        <v>1</v>
      </c>
      <c r="AK35" t="s">
        <v>199</v>
      </c>
      <c r="AL35" t="s">
        <v>3287</v>
      </c>
      <c r="AM35" t="s">
        <v>3288</v>
      </c>
      <c r="AN35" t="s">
        <v>526</v>
      </c>
      <c r="AO35">
        <v>3203122118</v>
      </c>
      <c r="AP35" t="s">
        <v>3178</v>
      </c>
      <c r="AQ35" t="s">
        <v>3178</v>
      </c>
      <c r="AR35" t="s">
        <v>3289</v>
      </c>
      <c r="AV35" t="s">
        <v>2789</v>
      </c>
      <c r="BL35" t="s">
        <v>2392</v>
      </c>
      <c r="BM35" t="s">
        <v>2393</v>
      </c>
      <c r="BN35" t="s">
        <v>392</v>
      </c>
      <c r="BO35">
        <v>3203122104</v>
      </c>
      <c r="BP35" t="s">
        <v>3178</v>
      </c>
      <c r="BQ35">
        <v>3207692972</v>
      </c>
      <c r="BR35" t="s">
        <v>2394</v>
      </c>
      <c r="BS35" t="s">
        <v>3286</v>
      </c>
      <c r="BU35" t="s">
        <v>198</v>
      </c>
      <c r="BV35" t="s">
        <v>386</v>
      </c>
      <c r="BW35">
        <v>56232</v>
      </c>
      <c r="BX35">
        <v>2333</v>
      </c>
    </row>
    <row r="36" spans="1:76" customFormat="1" x14ac:dyDescent="0.25">
      <c r="A36" s="496">
        <v>25</v>
      </c>
      <c r="B36">
        <v>1225049018</v>
      </c>
      <c r="C36" t="s">
        <v>2829</v>
      </c>
      <c r="D36" t="s">
        <v>200</v>
      </c>
      <c r="E36" t="s">
        <v>3290</v>
      </c>
      <c r="H36" t="s">
        <v>1209</v>
      </c>
      <c r="I36" t="s">
        <v>386</v>
      </c>
      <c r="J36">
        <v>56636</v>
      </c>
      <c r="K36">
        <v>9700</v>
      </c>
      <c r="L36">
        <v>2182462900</v>
      </c>
      <c r="M36">
        <v>2182462913</v>
      </c>
      <c r="N36" t="s">
        <v>3291</v>
      </c>
      <c r="O36" t="s">
        <v>2830</v>
      </c>
      <c r="P36" t="s">
        <v>320</v>
      </c>
      <c r="Q36" t="s">
        <v>3292</v>
      </c>
      <c r="R36" t="s">
        <v>2357</v>
      </c>
      <c r="S36" t="s">
        <v>247</v>
      </c>
      <c r="T36" t="s">
        <v>3293</v>
      </c>
      <c r="U36" t="s">
        <v>400</v>
      </c>
      <c r="V36">
        <v>2182464204</v>
      </c>
      <c r="W36" t="s">
        <v>3178</v>
      </c>
      <c r="X36" t="s">
        <v>3178</v>
      </c>
      <c r="Y36" t="s">
        <v>3294</v>
      </c>
      <c r="AC36" t="s">
        <v>2789</v>
      </c>
      <c r="AG36" t="s">
        <v>1951</v>
      </c>
      <c r="AH36" t="s">
        <v>3180</v>
      </c>
      <c r="AI36" t="s">
        <v>1077</v>
      </c>
      <c r="AJ36">
        <v>1</v>
      </c>
      <c r="AK36" t="s">
        <v>3295</v>
      </c>
      <c r="AL36" t="s">
        <v>1334</v>
      </c>
      <c r="AM36" t="s">
        <v>1344</v>
      </c>
      <c r="AN36" t="s">
        <v>1345</v>
      </c>
      <c r="AO36">
        <v>2187861432</v>
      </c>
      <c r="AP36" t="s">
        <v>3178</v>
      </c>
      <c r="AQ36">
        <v>2187868406</v>
      </c>
      <c r="AR36" t="s">
        <v>3210</v>
      </c>
      <c r="AS36" t="s">
        <v>3208</v>
      </c>
      <c r="AU36" t="s">
        <v>1532</v>
      </c>
      <c r="AV36" t="s">
        <v>386</v>
      </c>
      <c r="AW36">
        <v>55805</v>
      </c>
      <c r="AY36" t="s">
        <v>557</v>
      </c>
      <c r="AZ36" t="s">
        <v>2831</v>
      </c>
      <c r="BA36" t="s">
        <v>3206</v>
      </c>
      <c r="BB36">
        <v>2187861242</v>
      </c>
      <c r="BC36" t="s">
        <v>3178</v>
      </c>
      <c r="BD36">
        <v>2187868406</v>
      </c>
      <c r="BE36" t="s">
        <v>3207</v>
      </c>
      <c r="BF36" t="s">
        <v>3208</v>
      </c>
      <c r="BH36" t="s">
        <v>1532</v>
      </c>
      <c r="BI36" t="s">
        <v>386</v>
      </c>
      <c r="BJ36">
        <v>55805</v>
      </c>
      <c r="BK36">
        <v>1984</v>
      </c>
      <c r="BL36" t="s">
        <v>149</v>
      </c>
      <c r="BM36" t="s">
        <v>533</v>
      </c>
      <c r="BN36" t="s">
        <v>3211</v>
      </c>
      <c r="BO36">
        <v>2187861703</v>
      </c>
      <c r="BP36" t="s">
        <v>3178</v>
      </c>
      <c r="BQ36">
        <v>2187868406</v>
      </c>
      <c r="BR36" t="s">
        <v>3212</v>
      </c>
      <c r="BS36" t="s">
        <v>3208</v>
      </c>
      <c r="BU36" t="s">
        <v>1532</v>
      </c>
      <c r="BV36" t="s">
        <v>386</v>
      </c>
      <c r="BW36">
        <v>55805</v>
      </c>
    </row>
    <row r="37" spans="1:76" customFormat="1" x14ac:dyDescent="0.25">
      <c r="A37" s="496">
        <v>147</v>
      </c>
      <c r="B37">
        <v>1679561088</v>
      </c>
      <c r="C37" t="s">
        <v>3296</v>
      </c>
      <c r="D37" t="s">
        <v>202</v>
      </c>
      <c r="E37" t="s">
        <v>3297</v>
      </c>
      <c r="H37" t="s">
        <v>203</v>
      </c>
      <c r="I37" t="s">
        <v>386</v>
      </c>
      <c r="J37">
        <v>56501</v>
      </c>
      <c r="K37">
        <v>3409</v>
      </c>
      <c r="L37">
        <v>2188475611</v>
      </c>
      <c r="M37">
        <v>2188470813</v>
      </c>
      <c r="N37" t="s">
        <v>2151</v>
      </c>
      <c r="O37" t="s">
        <v>2152</v>
      </c>
      <c r="P37" t="s">
        <v>128</v>
      </c>
      <c r="Q37" t="s">
        <v>2153</v>
      </c>
      <c r="R37" t="s">
        <v>389</v>
      </c>
      <c r="S37" t="s">
        <v>149</v>
      </c>
      <c r="T37" t="s">
        <v>206</v>
      </c>
      <c r="U37" t="s">
        <v>1115</v>
      </c>
      <c r="V37">
        <v>2188470837</v>
      </c>
      <c r="W37" t="s">
        <v>3178</v>
      </c>
      <c r="X37">
        <v>2188470899</v>
      </c>
      <c r="Y37" t="s">
        <v>2154</v>
      </c>
      <c r="Z37" t="s">
        <v>1952</v>
      </c>
      <c r="AB37" t="s">
        <v>202</v>
      </c>
      <c r="AC37" t="s">
        <v>386</v>
      </c>
      <c r="AD37">
        <v>56501</v>
      </c>
      <c r="AE37">
        <v>3598</v>
      </c>
      <c r="AG37" t="s">
        <v>1951</v>
      </c>
      <c r="AH37" t="s">
        <v>3180</v>
      </c>
      <c r="AI37" t="s">
        <v>1077</v>
      </c>
      <c r="AJ37">
        <v>0</v>
      </c>
      <c r="AK37" t="s">
        <v>2395</v>
      </c>
      <c r="AL37" t="s">
        <v>390</v>
      </c>
      <c r="AM37" t="s">
        <v>391</v>
      </c>
      <c r="AN37" t="s">
        <v>392</v>
      </c>
      <c r="AO37">
        <v>2188470852</v>
      </c>
      <c r="AP37" t="s">
        <v>3178</v>
      </c>
      <c r="AQ37">
        <v>2188477674</v>
      </c>
      <c r="AR37" t="s">
        <v>3182</v>
      </c>
      <c r="AS37" t="s">
        <v>3183</v>
      </c>
      <c r="AU37" t="s">
        <v>3184</v>
      </c>
      <c r="AV37" t="s">
        <v>2789</v>
      </c>
      <c r="AY37" t="s">
        <v>1556</v>
      </c>
      <c r="AZ37" t="s">
        <v>2832</v>
      </c>
      <c r="BA37" t="s">
        <v>1099</v>
      </c>
      <c r="BB37">
        <v>2188470816</v>
      </c>
      <c r="BC37" t="s">
        <v>3178</v>
      </c>
      <c r="BD37">
        <v>2188470899</v>
      </c>
      <c r="BE37" t="s">
        <v>2833</v>
      </c>
      <c r="BI37" t="s">
        <v>2789</v>
      </c>
      <c r="BL37" t="s">
        <v>390</v>
      </c>
      <c r="BM37" t="s">
        <v>391</v>
      </c>
      <c r="BN37" t="s">
        <v>392</v>
      </c>
      <c r="BO37">
        <v>2188470852</v>
      </c>
      <c r="BP37" t="s">
        <v>3178</v>
      </c>
      <c r="BQ37">
        <v>2188477674</v>
      </c>
      <c r="BR37" t="s">
        <v>3182</v>
      </c>
      <c r="BS37" t="s">
        <v>3183</v>
      </c>
      <c r="BU37" t="s">
        <v>3184</v>
      </c>
      <c r="BV37" t="s">
        <v>2789</v>
      </c>
    </row>
    <row r="38" spans="1:76" customFormat="1" x14ac:dyDescent="0.25">
      <c r="A38" s="496">
        <v>90</v>
      </c>
      <c r="B38">
        <v>1033153895</v>
      </c>
      <c r="C38" t="s">
        <v>2688</v>
      </c>
      <c r="D38" t="s">
        <v>201</v>
      </c>
      <c r="E38" t="s">
        <v>3298</v>
      </c>
      <c r="H38" t="s">
        <v>1112</v>
      </c>
      <c r="I38" t="s">
        <v>386</v>
      </c>
      <c r="J38">
        <v>55805</v>
      </c>
      <c r="K38">
        <v>1984</v>
      </c>
      <c r="L38">
        <v>2187864000</v>
      </c>
      <c r="M38">
        <v>2187868406</v>
      </c>
      <c r="N38" t="s">
        <v>1328</v>
      </c>
      <c r="O38" t="s">
        <v>2834</v>
      </c>
      <c r="P38" t="s">
        <v>541</v>
      </c>
      <c r="Q38" t="s">
        <v>3299</v>
      </c>
      <c r="R38" t="s">
        <v>2357</v>
      </c>
      <c r="S38" t="s">
        <v>2172</v>
      </c>
      <c r="T38" t="s">
        <v>2173</v>
      </c>
      <c r="U38" t="s">
        <v>1976</v>
      </c>
      <c r="V38">
        <v>2187861429</v>
      </c>
      <c r="W38" t="s">
        <v>3178</v>
      </c>
      <c r="X38">
        <v>2187868406</v>
      </c>
      <c r="Y38" t="s">
        <v>2358</v>
      </c>
      <c r="Z38" t="s">
        <v>3300</v>
      </c>
      <c r="AB38" t="s">
        <v>1532</v>
      </c>
      <c r="AC38" t="s">
        <v>386</v>
      </c>
      <c r="AD38">
        <v>55805</v>
      </c>
      <c r="AE38">
        <v>1984</v>
      </c>
      <c r="AF38" t="s">
        <v>1112</v>
      </c>
      <c r="AG38" t="s">
        <v>1951</v>
      </c>
      <c r="AH38" t="s">
        <v>3180</v>
      </c>
      <c r="AI38" t="s">
        <v>1077</v>
      </c>
      <c r="AJ38">
        <v>0</v>
      </c>
      <c r="AK38">
        <v>0</v>
      </c>
      <c r="AL38" t="s">
        <v>1334</v>
      </c>
      <c r="AM38" t="s">
        <v>1344</v>
      </c>
      <c r="AN38" t="s">
        <v>1345</v>
      </c>
      <c r="AO38">
        <v>2187861432</v>
      </c>
      <c r="AP38" t="s">
        <v>3178</v>
      </c>
      <c r="AQ38">
        <v>2187868406</v>
      </c>
      <c r="AR38" t="s">
        <v>3210</v>
      </c>
      <c r="AS38" t="s">
        <v>3208</v>
      </c>
      <c r="AU38" t="s">
        <v>1532</v>
      </c>
      <c r="AV38" t="s">
        <v>386</v>
      </c>
      <c r="AW38">
        <v>55805</v>
      </c>
      <c r="BL38" t="s">
        <v>149</v>
      </c>
      <c r="BM38" t="s">
        <v>533</v>
      </c>
      <c r="BN38" t="s">
        <v>3211</v>
      </c>
      <c r="BO38">
        <v>2187861703</v>
      </c>
      <c r="BP38" t="s">
        <v>3178</v>
      </c>
      <c r="BQ38">
        <v>2187868406</v>
      </c>
      <c r="BR38" t="s">
        <v>3212</v>
      </c>
      <c r="BS38" t="s">
        <v>3208</v>
      </c>
      <c r="BU38" t="s">
        <v>1532</v>
      </c>
      <c r="BV38" t="s">
        <v>386</v>
      </c>
      <c r="BW38">
        <v>55805</v>
      </c>
    </row>
    <row r="39" spans="1:76" customFormat="1" x14ac:dyDescent="0.25">
      <c r="A39" s="496">
        <v>143</v>
      </c>
      <c r="B39">
        <v>1801835970</v>
      </c>
      <c r="C39" t="s">
        <v>1534</v>
      </c>
      <c r="D39" t="s">
        <v>201</v>
      </c>
      <c r="E39" t="s">
        <v>3301</v>
      </c>
      <c r="H39" t="s">
        <v>1112</v>
      </c>
      <c r="I39" t="s">
        <v>386</v>
      </c>
      <c r="J39">
        <v>55805</v>
      </c>
      <c r="K39">
        <v>2107</v>
      </c>
      <c r="L39">
        <v>2182495555</v>
      </c>
      <c r="M39">
        <v>2182492472</v>
      </c>
      <c r="N39" t="s">
        <v>1535</v>
      </c>
      <c r="O39" t="s">
        <v>1536</v>
      </c>
      <c r="P39" t="s">
        <v>1191</v>
      </c>
      <c r="Q39" t="s">
        <v>2835</v>
      </c>
      <c r="R39" t="s">
        <v>2148</v>
      </c>
      <c r="S39" t="s">
        <v>2396</v>
      </c>
      <c r="T39" t="s">
        <v>2397</v>
      </c>
      <c r="U39" t="s">
        <v>1115</v>
      </c>
      <c r="V39">
        <v>2182496922</v>
      </c>
      <c r="W39" t="s">
        <v>3178</v>
      </c>
      <c r="X39">
        <v>2182492472</v>
      </c>
      <c r="Y39" t="s">
        <v>2398</v>
      </c>
      <c r="Z39" t="s">
        <v>3302</v>
      </c>
      <c r="AB39" t="s">
        <v>1532</v>
      </c>
      <c r="AC39" t="s">
        <v>386</v>
      </c>
      <c r="AD39">
        <v>55805</v>
      </c>
      <c r="AE39">
        <v>2193</v>
      </c>
      <c r="AF39" t="s">
        <v>1112</v>
      </c>
      <c r="AG39" t="s">
        <v>1537</v>
      </c>
      <c r="AH39" t="s">
        <v>1776</v>
      </c>
      <c r="AI39" t="s">
        <v>1206</v>
      </c>
      <c r="AJ39">
        <v>0</v>
      </c>
      <c r="AK39" t="s">
        <v>2836</v>
      </c>
      <c r="AL39" t="s">
        <v>2399</v>
      </c>
      <c r="AM39" t="s">
        <v>417</v>
      </c>
      <c r="AN39" t="s">
        <v>1099</v>
      </c>
      <c r="AO39">
        <v>2182495486</v>
      </c>
      <c r="AP39" t="s">
        <v>3178</v>
      </c>
      <c r="AQ39">
        <v>2182492472</v>
      </c>
      <c r="AR39" t="s">
        <v>2837</v>
      </c>
      <c r="AS39" t="s">
        <v>3302</v>
      </c>
      <c r="AU39" t="s">
        <v>1532</v>
      </c>
      <c r="AV39" t="s">
        <v>386</v>
      </c>
      <c r="AW39">
        <v>55805</v>
      </c>
      <c r="AX39">
        <v>2193</v>
      </c>
      <c r="AY39" t="s">
        <v>2400</v>
      </c>
      <c r="AZ39" t="s">
        <v>3303</v>
      </c>
      <c r="BA39" t="s">
        <v>1183</v>
      </c>
      <c r="BB39">
        <v>2182492973</v>
      </c>
      <c r="BC39" t="s">
        <v>3178</v>
      </c>
      <c r="BD39">
        <v>2182492472</v>
      </c>
      <c r="BE39" t="s">
        <v>2401</v>
      </c>
      <c r="BF39" t="s">
        <v>3302</v>
      </c>
      <c r="BH39" t="s">
        <v>1532</v>
      </c>
      <c r="BI39" t="s">
        <v>386</v>
      </c>
      <c r="BJ39">
        <v>55805</v>
      </c>
      <c r="BK39">
        <v>2193</v>
      </c>
      <c r="BL39" t="s">
        <v>2396</v>
      </c>
      <c r="BM39" t="s">
        <v>2397</v>
      </c>
      <c r="BN39" t="s">
        <v>1115</v>
      </c>
      <c r="BO39">
        <v>2182496922</v>
      </c>
      <c r="BP39" t="s">
        <v>3178</v>
      </c>
      <c r="BQ39">
        <v>2182492472</v>
      </c>
      <c r="BR39" t="s">
        <v>2398</v>
      </c>
      <c r="BS39" t="s">
        <v>3302</v>
      </c>
      <c r="BU39" t="s">
        <v>1532</v>
      </c>
      <c r="BV39" t="s">
        <v>386</v>
      </c>
      <c r="BW39">
        <v>55805</v>
      </c>
      <c r="BX39">
        <v>2193</v>
      </c>
    </row>
    <row r="40" spans="1:76" customFormat="1" x14ac:dyDescent="0.25">
      <c r="A40" s="496">
        <v>148</v>
      </c>
      <c r="B40">
        <v>1457393035</v>
      </c>
      <c r="C40" t="s">
        <v>207</v>
      </c>
      <c r="D40" t="s">
        <v>201</v>
      </c>
      <c r="E40" t="s">
        <v>3304</v>
      </c>
      <c r="H40" t="s">
        <v>1112</v>
      </c>
      <c r="I40" t="s">
        <v>386</v>
      </c>
      <c r="J40">
        <v>55805</v>
      </c>
      <c r="K40">
        <v>1984</v>
      </c>
      <c r="L40">
        <v>2187864000</v>
      </c>
      <c r="M40">
        <v>2187868406</v>
      </c>
      <c r="N40" t="s">
        <v>1328</v>
      </c>
      <c r="O40" t="s">
        <v>2834</v>
      </c>
      <c r="P40" t="s">
        <v>541</v>
      </c>
      <c r="Q40" t="s">
        <v>2838</v>
      </c>
      <c r="R40" t="s">
        <v>2357</v>
      </c>
      <c r="S40" t="s">
        <v>1812</v>
      </c>
      <c r="T40" t="s">
        <v>1813</v>
      </c>
      <c r="U40" t="s">
        <v>1976</v>
      </c>
      <c r="V40">
        <v>2187861402</v>
      </c>
      <c r="W40" t="s">
        <v>3178</v>
      </c>
      <c r="X40">
        <v>2187868406</v>
      </c>
      <c r="Y40" t="s">
        <v>3305</v>
      </c>
      <c r="Z40" t="s">
        <v>3208</v>
      </c>
      <c r="AB40" t="s">
        <v>1532</v>
      </c>
      <c r="AC40" t="s">
        <v>386</v>
      </c>
      <c r="AD40">
        <v>55805</v>
      </c>
      <c r="AE40">
        <v>1984</v>
      </c>
      <c r="AF40" t="s">
        <v>3306</v>
      </c>
      <c r="AG40" t="s">
        <v>1951</v>
      </c>
      <c r="AH40" t="s">
        <v>3180</v>
      </c>
      <c r="AI40" t="s">
        <v>1077</v>
      </c>
      <c r="AJ40">
        <v>0</v>
      </c>
      <c r="AK40" t="s">
        <v>2402</v>
      </c>
      <c r="AL40" t="s">
        <v>2172</v>
      </c>
      <c r="AM40" t="s">
        <v>2173</v>
      </c>
      <c r="AN40" t="s">
        <v>1976</v>
      </c>
      <c r="AO40">
        <v>2187861429</v>
      </c>
      <c r="AP40" t="s">
        <v>3178</v>
      </c>
      <c r="AQ40">
        <v>2187868406</v>
      </c>
      <c r="AR40" t="s">
        <v>2358</v>
      </c>
      <c r="AS40" t="s">
        <v>3300</v>
      </c>
      <c r="AU40" t="s">
        <v>1532</v>
      </c>
      <c r="AV40" t="s">
        <v>386</v>
      </c>
      <c r="AW40">
        <v>55805</v>
      </c>
      <c r="AX40">
        <v>1984</v>
      </c>
      <c r="BL40" t="s">
        <v>149</v>
      </c>
      <c r="BM40" t="s">
        <v>533</v>
      </c>
      <c r="BN40" t="s">
        <v>3211</v>
      </c>
      <c r="BO40">
        <v>2187861703</v>
      </c>
      <c r="BP40" t="s">
        <v>3178</v>
      </c>
      <c r="BQ40">
        <v>2187868406</v>
      </c>
      <c r="BR40" t="s">
        <v>3212</v>
      </c>
      <c r="BS40" t="s">
        <v>3208</v>
      </c>
      <c r="BU40" t="s">
        <v>1532</v>
      </c>
      <c r="BV40" t="s">
        <v>386</v>
      </c>
      <c r="BW40">
        <v>55805</v>
      </c>
    </row>
    <row r="41" spans="1:76" customFormat="1" x14ac:dyDescent="0.25">
      <c r="A41" s="496">
        <v>44</v>
      </c>
      <c r="B41">
        <v>1699752915</v>
      </c>
      <c r="C41" t="s">
        <v>464</v>
      </c>
      <c r="D41" t="s">
        <v>465</v>
      </c>
      <c r="E41" t="s">
        <v>3307</v>
      </c>
      <c r="H41" t="s">
        <v>143</v>
      </c>
      <c r="I41" t="s">
        <v>386</v>
      </c>
      <c r="J41">
        <v>55435</v>
      </c>
      <c r="K41">
        <v>2104</v>
      </c>
      <c r="L41">
        <v>9529245000</v>
      </c>
      <c r="M41">
        <v>9529245382</v>
      </c>
      <c r="N41" t="s">
        <v>466</v>
      </c>
      <c r="O41" t="s">
        <v>467</v>
      </c>
      <c r="P41" t="s">
        <v>128</v>
      </c>
      <c r="Q41" t="s">
        <v>468</v>
      </c>
      <c r="R41" t="s">
        <v>2013</v>
      </c>
      <c r="S41" t="s">
        <v>2839</v>
      </c>
      <c r="T41" t="s">
        <v>2840</v>
      </c>
      <c r="U41" t="s">
        <v>2841</v>
      </c>
      <c r="V41">
        <v>6126724660</v>
      </c>
      <c r="W41" t="s">
        <v>3178</v>
      </c>
      <c r="X41">
        <v>6126726986</v>
      </c>
      <c r="Y41" t="s">
        <v>2842</v>
      </c>
      <c r="Z41" t="s">
        <v>3260</v>
      </c>
      <c r="AB41" t="s">
        <v>131</v>
      </c>
      <c r="AC41" t="s">
        <v>386</v>
      </c>
      <c r="AD41">
        <v>55413</v>
      </c>
      <c r="AE41" t="s">
        <v>2353</v>
      </c>
      <c r="AF41" t="s">
        <v>132</v>
      </c>
      <c r="AG41" t="s">
        <v>144</v>
      </c>
      <c r="AH41" t="s">
        <v>145</v>
      </c>
      <c r="AI41" t="s">
        <v>1077</v>
      </c>
      <c r="AJ41">
        <v>0</v>
      </c>
      <c r="AK41" t="s">
        <v>2403</v>
      </c>
      <c r="AL41" t="s">
        <v>2011</v>
      </c>
      <c r="AM41" t="s">
        <v>2012</v>
      </c>
      <c r="AN41" t="s">
        <v>2822</v>
      </c>
      <c r="AO41">
        <v>6126727067</v>
      </c>
      <c r="AP41" t="s">
        <v>3178</v>
      </c>
      <c r="AQ41">
        <v>6126726986</v>
      </c>
      <c r="AR41" t="s">
        <v>1562</v>
      </c>
      <c r="AS41" t="s">
        <v>2010</v>
      </c>
      <c r="AU41" t="s">
        <v>131</v>
      </c>
      <c r="AV41" t="s">
        <v>386</v>
      </c>
      <c r="AW41">
        <v>55413</v>
      </c>
      <c r="AX41">
        <v>2613</v>
      </c>
      <c r="AY41" t="s">
        <v>247</v>
      </c>
      <c r="AZ41" t="s">
        <v>1495</v>
      </c>
      <c r="BA41" t="s">
        <v>2009</v>
      </c>
      <c r="BB41">
        <v>6126726736</v>
      </c>
      <c r="BC41" t="s">
        <v>3178</v>
      </c>
      <c r="BD41">
        <v>6126726986</v>
      </c>
      <c r="BE41" t="s">
        <v>1496</v>
      </c>
      <c r="BF41" t="s">
        <v>2010</v>
      </c>
      <c r="BH41" t="s">
        <v>131</v>
      </c>
      <c r="BI41" t="s">
        <v>386</v>
      </c>
      <c r="BJ41">
        <v>55413</v>
      </c>
      <c r="BK41">
        <v>2613</v>
      </c>
      <c r="BL41" t="s">
        <v>1492</v>
      </c>
      <c r="BM41" t="s">
        <v>1807</v>
      </c>
      <c r="BN41" t="s">
        <v>3261</v>
      </c>
      <c r="BO41">
        <v>6126724668</v>
      </c>
      <c r="BP41" t="s">
        <v>3178</v>
      </c>
      <c r="BQ41">
        <v>6126721240</v>
      </c>
      <c r="BR41" t="s">
        <v>1808</v>
      </c>
      <c r="BS41" t="s">
        <v>2010</v>
      </c>
      <c r="BU41" t="s">
        <v>131</v>
      </c>
      <c r="BV41" t="s">
        <v>386</v>
      </c>
      <c r="BW41">
        <v>55413</v>
      </c>
      <c r="BX41">
        <v>2613</v>
      </c>
    </row>
    <row r="42" spans="1:76" customFormat="1" x14ac:dyDescent="0.25">
      <c r="A42" s="496">
        <v>54</v>
      </c>
      <c r="B42">
        <v>1407838329</v>
      </c>
      <c r="C42" t="s">
        <v>2026</v>
      </c>
      <c r="D42" t="s">
        <v>470</v>
      </c>
      <c r="E42" t="s">
        <v>3308</v>
      </c>
      <c r="H42" t="s">
        <v>471</v>
      </c>
      <c r="I42" t="s">
        <v>386</v>
      </c>
      <c r="J42">
        <v>56531</v>
      </c>
      <c r="L42">
        <v>2186857300</v>
      </c>
      <c r="M42">
        <v>2186857296</v>
      </c>
      <c r="N42" t="s">
        <v>3309</v>
      </c>
      <c r="O42" t="s">
        <v>3310</v>
      </c>
      <c r="P42" t="s">
        <v>397</v>
      </c>
      <c r="Q42" t="s">
        <v>3311</v>
      </c>
      <c r="R42" t="s">
        <v>1815</v>
      </c>
      <c r="S42" t="s">
        <v>1491</v>
      </c>
      <c r="T42" t="s">
        <v>2404</v>
      </c>
      <c r="U42" t="s">
        <v>2405</v>
      </c>
      <c r="V42">
        <v>7014768721</v>
      </c>
      <c r="W42" t="s">
        <v>3178</v>
      </c>
      <c r="X42">
        <v>7012398600</v>
      </c>
      <c r="Y42" t="s">
        <v>2406</v>
      </c>
      <c r="Z42" t="s">
        <v>3312</v>
      </c>
      <c r="AB42" t="s">
        <v>1709</v>
      </c>
      <c r="AC42" t="s">
        <v>517</v>
      </c>
      <c r="AD42">
        <v>58104</v>
      </c>
      <c r="AE42">
        <v>2545</v>
      </c>
      <c r="AF42" t="s">
        <v>1710</v>
      </c>
      <c r="AG42" t="s">
        <v>2028</v>
      </c>
      <c r="AH42" t="s">
        <v>3313</v>
      </c>
      <c r="AI42" t="s">
        <v>1206</v>
      </c>
      <c r="AJ42">
        <v>1</v>
      </c>
      <c r="AK42" t="s">
        <v>2029</v>
      </c>
      <c r="AL42" t="s">
        <v>656</v>
      </c>
      <c r="AM42" t="s">
        <v>1539</v>
      </c>
      <c r="AN42" t="s">
        <v>1099</v>
      </c>
      <c r="AO42">
        <v>2186857343</v>
      </c>
      <c r="AP42" t="s">
        <v>3178</v>
      </c>
      <c r="AQ42">
        <v>2186857296</v>
      </c>
      <c r="AR42" t="s">
        <v>2030</v>
      </c>
      <c r="AS42" t="s">
        <v>3314</v>
      </c>
      <c r="AU42" t="s">
        <v>1540</v>
      </c>
      <c r="AV42" t="s">
        <v>386</v>
      </c>
      <c r="AW42">
        <v>56531</v>
      </c>
      <c r="AX42" t="s">
        <v>2353</v>
      </c>
      <c r="BL42" t="s">
        <v>656</v>
      </c>
      <c r="BM42" t="s">
        <v>1539</v>
      </c>
      <c r="BN42" t="s">
        <v>1099</v>
      </c>
      <c r="BO42">
        <v>2186857343</v>
      </c>
      <c r="BP42" t="s">
        <v>3178</v>
      </c>
      <c r="BQ42">
        <v>2186857296</v>
      </c>
      <c r="BR42" t="s">
        <v>2030</v>
      </c>
      <c r="BS42" t="s">
        <v>3314</v>
      </c>
      <c r="BU42" t="s">
        <v>1540</v>
      </c>
      <c r="BV42" t="s">
        <v>386</v>
      </c>
      <c r="BW42">
        <v>56531</v>
      </c>
      <c r="BX42" t="s">
        <v>2353</v>
      </c>
    </row>
    <row r="43" spans="1:76" customFormat="1" x14ac:dyDescent="0.25">
      <c r="A43" s="496">
        <v>37</v>
      </c>
      <c r="B43">
        <v>1770542904</v>
      </c>
      <c r="C43" t="s">
        <v>2843</v>
      </c>
      <c r="D43" t="s">
        <v>473</v>
      </c>
      <c r="E43" t="s">
        <v>3315</v>
      </c>
      <c r="H43" t="s">
        <v>1112</v>
      </c>
      <c r="I43" t="s">
        <v>386</v>
      </c>
      <c r="J43">
        <v>55731</v>
      </c>
      <c r="K43">
        <v>1145</v>
      </c>
      <c r="L43">
        <v>2183653271</v>
      </c>
      <c r="M43">
        <v>2183658777</v>
      </c>
      <c r="N43" t="s">
        <v>1535</v>
      </c>
      <c r="O43" t="s">
        <v>474</v>
      </c>
      <c r="P43" t="s">
        <v>475</v>
      </c>
      <c r="Q43" t="s">
        <v>476</v>
      </c>
      <c r="R43" t="s">
        <v>477</v>
      </c>
      <c r="S43" t="s">
        <v>478</v>
      </c>
      <c r="T43" t="s">
        <v>479</v>
      </c>
      <c r="U43" t="s">
        <v>480</v>
      </c>
      <c r="V43">
        <v>2183658776</v>
      </c>
      <c r="W43" t="s">
        <v>3178</v>
      </c>
      <c r="X43">
        <v>2183658777</v>
      </c>
      <c r="Y43" t="s">
        <v>481</v>
      </c>
      <c r="Z43" t="s">
        <v>3316</v>
      </c>
      <c r="AB43" t="s">
        <v>482</v>
      </c>
      <c r="AC43" t="s">
        <v>386</v>
      </c>
      <c r="AD43">
        <v>55731</v>
      </c>
      <c r="AE43" t="s">
        <v>2353</v>
      </c>
      <c r="AG43" t="s">
        <v>2000</v>
      </c>
      <c r="AH43" t="s">
        <v>402</v>
      </c>
      <c r="AJ43">
        <v>1</v>
      </c>
      <c r="AK43" t="s">
        <v>3317</v>
      </c>
      <c r="AL43" t="s">
        <v>478</v>
      </c>
      <c r="AM43" t="s">
        <v>479</v>
      </c>
      <c r="AN43" t="s">
        <v>480</v>
      </c>
      <c r="AO43">
        <v>2183658776</v>
      </c>
      <c r="AP43" t="s">
        <v>3178</v>
      </c>
      <c r="AQ43">
        <v>2183658777</v>
      </c>
      <c r="AR43" t="s">
        <v>481</v>
      </c>
      <c r="AS43" t="s">
        <v>3316</v>
      </c>
      <c r="AU43" t="s">
        <v>482</v>
      </c>
      <c r="AV43" t="s">
        <v>386</v>
      </c>
      <c r="AW43">
        <v>55731</v>
      </c>
      <c r="AX43" t="s">
        <v>2353</v>
      </c>
      <c r="BL43" t="s">
        <v>478</v>
      </c>
      <c r="BM43" t="s">
        <v>479</v>
      </c>
      <c r="BN43" t="s">
        <v>480</v>
      </c>
      <c r="BO43">
        <v>2183658776</v>
      </c>
      <c r="BP43" t="s">
        <v>3178</v>
      </c>
      <c r="BQ43">
        <v>2183658777</v>
      </c>
      <c r="BR43" t="s">
        <v>481</v>
      </c>
      <c r="BS43" t="s">
        <v>3316</v>
      </c>
      <c r="BU43" t="s">
        <v>482</v>
      </c>
      <c r="BV43" t="s">
        <v>386</v>
      </c>
      <c r="BW43">
        <v>55731</v>
      </c>
      <c r="BX43" t="s">
        <v>2353</v>
      </c>
    </row>
    <row r="44" spans="1:76" customFormat="1" x14ac:dyDescent="0.25">
      <c r="A44" s="495">
        <v>39</v>
      </c>
      <c r="B44" s="339">
        <v>1821066499</v>
      </c>
      <c r="C44" s="339" t="s">
        <v>2001</v>
      </c>
      <c r="D44" s="339" t="s">
        <v>483</v>
      </c>
      <c r="E44" s="339" t="s">
        <v>3318</v>
      </c>
      <c r="F44" s="339"/>
      <c r="G44" s="339"/>
      <c r="H44" s="339" t="s">
        <v>485</v>
      </c>
      <c r="I44" s="339" t="s">
        <v>386</v>
      </c>
      <c r="J44" s="339">
        <v>56031</v>
      </c>
      <c r="K44" s="339"/>
      <c r="L44" s="339">
        <v>5072388100</v>
      </c>
      <c r="M44" s="339">
        <v>5072388686</v>
      </c>
      <c r="N44" s="339" t="s">
        <v>2002</v>
      </c>
      <c r="O44" s="339" t="s">
        <v>2003</v>
      </c>
      <c r="P44" s="339" t="s">
        <v>2004</v>
      </c>
      <c r="Q44" s="339" t="s">
        <v>2005</v>
      </c>
      <c r="R44" s="339" t="s">
        <v>1835</v>
      </c>
      <c r="S44" s="339" t="s">
        <v>2044</v>
      </c>
      <c r="T44" s="339" t="s">
        <v>2045</v>
      </c>
      <c r="U44" s="339" t="s">
        <v>2876</v>
      </c>
      <c r="V44" s="339">
        <v>5073047197</v>
      </c>
      <c r="W44" s="339" t="s">
        <v>3178</v>
      </c>
      <c r="X44" s="339">
        <v>5073854874</v>
      </c>
      <c r="Y44" s="339" t="s">
        <v>2046</v>
      </c>
      <c r="Z44" s="339" t="s">
        <v>3048</v>
      </c>
      <c r="AA44" s="339" t="s">
        <v>410</v>
      </c>
      <c r="AB44" s="339" t="s">
        <v>2008</v>
      </c>
      <c r="AC44" s="339" t="s">
        <v>386</v>
      </c>
      <c r="AD44" s="339">
        <v>56001</v>
      </c>
      <c r="AE44" s="339"/>
      <c r="AF44" s="339" t="s">
        <v>1220</v>
      </c>
      <c r="AG44" s="339" t="s">
        <v>2006</v>
      </c>
      <c r="AH44" s="339" t="s">
        <v>1087</v>
      </c>
      <c r="AI44" s="339" t="s">
        <v>1077</v>
      </c>
      <c r="AJ44" s="339">
        <v>0</v>
      </c>
      <c r="AK44" s="339" t="s">
        <v>2844</v>
      </c>
      <c r="AL44" t="s">
        <v>1085</v>
      </c>
      <c r="AM44" t="s">
        <v>658</v>
      </c>
      <c r="AN44" t="s">
        <v>2845</v>
      </c>
      <c r="AO44">
        <v>5072388114</v>
      </c>
      <c r="AP44" t="s">
        <v>3178</v>
      </c>
      <c r="AQ44">
        <v>5072388686</v>
      </c>
      <c r="AR44" t="s">
        <v>2007</v>
      </c>
      <c r="AS44" t="s">
        <v>3319</v>
      </c>
      <c r="AT44" t="s">
        <v>484</v>
      </c>
      <c r="AU44" t="s">
        <v>657</v>
      </c>
      <c r="AV44" t="s">
        <v>386</v>
      </c>
      <c r="AW44">
        <v>56031</v>
      </c>
      <c r="AX44" t="s">
        <v>2353</v>
      </c>
      <c r="BL44" s="339" t="s">
        <v>2044</v>
      </c>
      <c r="BM44" s="339" t="s">
        <v>2045</v>
      </c>
      <c r="BN44" s="339" t="s">
        <v>2876</v>
      </c>
      <c r="BO44" s="339">
        <v>5073047197</v>
      </c>
      <c r="BP44" s="339" t="s">
        <v>3178</v>
      </c>
      <c r="BQ44" s="339">
        <v>5073854874</v>
      </c>
      <c r="BR44" s="339" t="s">
        <v>2046</v>
      </c>
      <c r="BS44" s="339" t="s">
        <v>3048</v>
      </c>
      <c r="BT44" s="339" t="s">
        <v>410</v>
      </c>
      <c r="BU44" s="339" t="s">
        <v>2008</v>
      </c>
      <c r="BV44" s="339" t="s">
        <v>386</v>
      </c>
      <c r="BW44" s="339">
        <v>56001</v>
      </c>
      <c r="BX44" s="339"/>
    </row>
    <row r="45" spans="1:76" customFormat="1" x14ac:dyDescent="0.25">
      <c r="A45" s="496">
        <v>117</v>
      </c>
      <c r="B45">
        <v>1154741577</v>
      </c>
      <c r="C45" t="s">
        <v>659</v>
      </c>
      <c r="D45" t="s">
        <v>1216</v>
      </c>
      <c r="E45" t="s">
        <v>3320</v>
      </c>
      <c r="H45" t="s">
        <v>660</v>
      </c>
      <c r="I45" t="s">
        <v>386</v>
      </c>
      <c r="J45">
        <v>55021</v>
      </c>
      <c r="K45">
        <v>6398</v>
      </c>
      <c r="L45">
        <v>5073326451</v>
      </c>
      <c r="M45">
        <v>5073324851</v>
      </c>
      <c r="N45" t="s">
        <v>2123</v>
      </c>
      <c r="O45" t="s">
        <v>486</v>
      </c>
      <c r="P45" t="s">
        <v>397</v>
      </c>
      <c r="Q45" t="s">
        <v>3321</v>
      </c>
      <c r="R45" t="s">
        <v>2124</v>
      </c>
      <c r="S45" t="s">
        <v>1498</v>
      </c>
      <c r="T45" t="s">
        <v>205</v>
      </c>
      <c r="U45" t="s">
        <v>1319</v>
      </c>
      <c r="V45">
        <v>6122624735</v>
      </c>
      <c r="W45" t="s">
        <v>3178</v>
      </c>
      <c r="X45">
        <v>6122624735</v>
      </c>
      <c r="Y45" t="s">
        <v>1499</v>
      </c>
      <c r="Z45" t="s">
        <v>3258</v>
      </c>
      <c r="AB45" t="s">
        <v>131</v>
      </c>
      <c r="AC45" t="s">
        <v>386</v>
      </c>
      <c r="AD45">
        <v>55440</v>
      </c>
      <c r="AE45">
        <v>43</v>
      </c>
      <c r="AF45" t="s">
        <v>132</v>
      </c>
      <c r="AG45" t="s">
        <v>3322</v>
      </c>
      <c r="AH45" t="s">
        <v>133</v>
      </c>
      <c r="AI45" t="s">
        <v>1077</v>
      </c>
      <c r="AJ45">
        <v>0</v>
      </c>
      <c r="AK45" t="s">
        <v>3323</v>
      </c>
      <c r="AL45" t="s">
        <v>2162</v>
      </c>
      <c r="AM45" t="s">
        <v>2163</v>
      </c>
      <c r="AN45" t="s">
        <v>1510</v>
      </c>
      <c r="AO45">
        <v>6122624720</v>
      </c>
      <c r="AP45" t="s">
        <v>3178</v>
      </c>
      <c r="AQ45">
        <v>6122624720</v>
      </c>
      <c r="AR45" t="s">
        <v>2164</v>
      </c>
      <c r="AS45" t="s">
        <v>3258</v>
      </c>
      <c r="AU45" t="s">
        <v>131</v>
      </c>
      <c r="AV45" t="s">
        <v>386</v>
      </c>
      <c r="AW45">
        <v>55440</v>
      </c>
      <c r="AX45">
        <v>43</v>
      </c>
      <c r="AY45" t="s">
        <v>134</v>
      </c>
      <c r="AZ45" t="s">
        <v>135</v>
      </c>
      <c r="BA45" t="s">
        <v>2156</v>
      </c>
      <c r="BB45">
        <v>6122624719</v>
      </c>
      <c r="BC45" t="s">
        <v>3178</v>
      </c>
      <c r="BD45">
        <v>6122624719</v>
      </c>
      <c r="BE45" t="s">
        <v>136</v>
      </c>
      <c r="BF45" t="s">
        <v>3258</v>
      </c>
      <c r="BG45" t="s">
        <v>137</v>
      </c>
      <c r="BH45" t="s">
        <v>131</v>
      </c>
      <c r="BI45" t="s">
        <v>386</v>
      </c>
      <c r="BJ45">
        <v>55440</v>
      </c>
      <c r="BK45">
        <v>43</v>
      </c>
      <c r="BL45" t="s">
        <v>1498</v>
      </c>
      <c r="BM45" t="s">
        <v>205</v>
      </c>
      <c r="BN45" t="s">
        <v>1319</v>
      </c>
      <c r="BO45">
        <v>6122624735</v>
      </c>
      <c r="BP45" t="s">
        <v>3178</v>
      </c>
      <c r="BQ45">
        <v>6122624735</v>
      </c>
      <c r="BR45" t="s">
        <v>1499</v>
      </c>
      <c r="BS45" t="s">
        <v>3258</v>
      </c>
      <c r="BU45" t="s">
        <v>131</v>
      </c>
      <c r="BV45" t="s">
        <v>386</v>
      </c>
      <c r="BW45">
        <v>55440</v>
      </c>
      <c r="BX45">
        <v>43</v>
      </c>
    </row>
    <row r="46" spans="1:76" customFormat="1" x14ac:dyDescent="0.25">
      <c r="A46" s="496">
        <v>71</v>
      </c>
      <c r="B46">
        <v>1093713372</v>
      </c>
      <c r="C46" t="s">
        <v>1513</v>
      </c>
      <c r="D46" t="s">
        <v>664</v>
      </c>
      <c r="E46" t="s">
        <v>3324</v>
      </c>
      <c r="H46" t="s">
        <v>1512</v>
      </c>
      <c r="I46" t="s">
        <v>386</v>
      </c>
      <c r="J46">
        <v>56537</v>
      </c>
      <c r="L46">
        <v>2187368000</v>
      </c>
      <c r="M46">
        <v>2187368723</v>
      </c>
      <c r="N46" t="s">
        <v>321</v>
      </c>
      <c r="O46" t="s">
        <v>1693</v>
      </c>
      <c r="P46" t="s">
        <v>1217</v>
      </c>
      <c r="Q46" t="s">
        <v>1694</v>
      </c>
      <c r="R46" t="s">
        <v>2847</v>
      </c>
      <c r="S46" t="s">
        <v>2063</v>
      </c>
      <c r="T46" t="s">
        <v>2064</v>
      </c>
      <c r="U46" t="s">
        <v>1099</v>
      </c>
      <c r="V46">
        <v>2187368421</v>
      </c>
      <c r="W46" t="s">
        <v>3178</v>
      </c>
      <c r="X46">
        <v>2187368740</v>
      </c>
      <c r="Y46" t="s">
        <v>2065</v>
      </c>
      <c r="AB46" t="s">
        <v>1515</v>
      </c>
      <c r="AC46" t="s">
        <v>386</v>
      </c>
      <c r="AG46" t="s">
        <v>1516</v>
      </c>
      <c r="AH46" t="s">
        <v>402</v>
      </c>
      <c r="AJ46">
        <v>0</v>
      </c>
      <c r="AK46" t="s">
        <v>2408</v>
      </c>
      <c r="AL46" t="s">
        <v>2066</v>
      </c>
      <c r="AM46" t="s">
        <v>2067</v>
      </c>
      <c r="AN46" t="s">
        <v>392</v>
      </c>
      <c r="AO46">
        <v>2187368386</v>
      </c>
      <c r="AP46" t="s">
        <v>3178</v>
      </c>
      <c r="AQ46">
        <v>2187368740</v>
      </c>
      <c r="AR46" t="s">
        <v>2068</v>
      </c>
      <c r="AU46" t="s">
        <v>1515</v>
      </c>
      <c r="AV46" t="s">
        <v>386</v>
      </c>
      <c r="BL46" t="s">
        <v>2063</v>
      </c>
      <c r="BM46" t="s">
        <v>2064</v>
      </c>
      <c r="BN46" t="s">
        <v>1099</v>
      </c>
      <c r="BO46">
        <v>2187368421</v>
      </c>
      <c r="BP46" t="s">
        <v>3178</v>
      </c>
      <c r="BQ46">
        <v>2187368740</v>
      </c>
      <c r="BR46" t="s">
        <v>2065</v>
      </c>
      <c r="BU46" t="s">
        <v>1515</v>
      </c>
      <c r="BV46" t="s">
        <v>386</v>
      </c>
    </row>
    <row r="47" spans="1:76" customFormat="1" x14ac:dyDescent="0.25">
      <c r="A47" s="496">
        <v>250</v>
      </c>
      <c r="B47">
        <v>1962583039</v>
      </c>
      <c r="C47" t="s">
        <v>1542</v>
      </c>
      <c r="D47" t="s">
        <v>664</v>
      </c>
      <c r="E47" t="s">
        <v>3325</v>
      </c>
      <c r="H47" t="s">
        <v>1512</v>
      </c>
      <c r="I47" t="s">
        <v>386</v>
      </c>
      <c r="J47">
        <v>56538</v>
      </c>
      <c r="K47">
        <v>47</v>
      </c>
      <c r="L47">
        <v>2183325001</v>
      </c>
      <c r="M47">
        <v>2187391329</v>
      </c>
      <c r="N47" t="s">
        <v>1624</v>
      </c>
      <c r="O47" t="s">
        <v>3193</v>
      </c>
      <c r="P47" t="s">
        <v>2354</v>
      </c>
      <c r="Q47" t="s">
        <v>3194</v>
      </c>
      <c r="R47" t="s">
        <v>1096</v>
      </c>
      <c r="S47" t="s">
        <v>1097</v>
      </c>
      <c r="T47" t="s">
        <v>1098</v>
      </c>
      <c r="U47" t="s">
        <v>392</v>
      </c>
      <c r="V47">
        <v>5079347689</v>
      </c>
      <c r="W47" t="s">
        <v>3178</v>
      </c>
      <c r="X47">
        <v>5079347651</v>
      </c>
      <c r="Y47" t="s">
        <v>3195</v>
      </c>
      <c r="Z47" t="s">
        <v>3196</v>
      </c>
      <c r="AB47" t="s">
        <v>817</v>
      </c>
      <c r="AC47" t="s">
        <v>386</v>
      </c>
      <c r="AD47">
        <v>56082</v>
      </c>
      <c r="AE47">
        <v>1327</v>
      </c>
      <c r="AG47" t="s">
        <v>3197</v>
      </c>
      <c r="AH47" t="s">
        <v>1101</v>
      </c>
      <c r="AI47" t="s">
        <v>1077</v>
      </c>
      <c r="AJ47">
        <v>0</v>
      </c>
      <c r="AK47">
        <v>0</v>
      </c>
    </row>
    <row r="48" spans="1:76" customFormat="1" x14ac:dyDescent="0.25">
      <c r="A48" s="496">
        <v>46</v>
      </c>
      <c r="B48">
        <v>1497850119</v>
      </c>
      <c r="C48" t="s">
        <v>3326</v>
      </c>
      <c r="D48" t="s">
        <v>487</v>
      </c>
      <c r="E48" t="s">
        <v>2848</v>
      </c>
      <c r="H48" t="s">
        <v>181</v>
      </c>
      <c r="I48" t="s">
        <v>386</v>
      </c>
      <c r="J48">
        <v>56542</v>
      </c>
      <c r="K48">
        <v>1599</v>
      </c>
      <c r="L48">
        <v>2184351133</v>
      </c>
      <c r="M48">
        <v>2184351134</v>
      </c>
      <c r="N48" t="s">
        <v>307</v>
      </c>
      <c r="O48" t="s">
        <v>2032</v>
      </c>
      <c r="P48" t="s">
        <v>1217</v>
      </c>
      <c r="Q48" t="s">
        <v>2033</v>
      </c>
      <c r="R48" t="s">
        <v>489</v>
      </c>
      <c r="S48" t="s">
        <v>183</v>
      </c>
      <c r="T48" t="s">
        <v>184</v>
      </c>
      <c r="U48" t="s">
        <v>1115</v>
      </c>
      <c r="V48">
        <v>2184357637</v>
      </c>
      <c r="W48" t="s">
        <v>3178</v>
      </c>
      <c r="X48">
        <v>2184351134</v>
      </c>
      <c r="Y48" t="s">
        <v>2016</v>
      </c>
      <c r="Z48" t="s">
        <v>2849</v>
      </c>
      <c r="AB48" t="s">
        <v>491</v>
      </c>
      <c r="AC48" t="s">
        <v>386</v>
      </c>
      <c r="AD48">
        <v>56542</v>
      </c>
      <c r="AE48">
        <v>1599</v>
      </c>
      <c r="AG48" t="s">
        <v>1951</v>
      </c>
      <c r="AH48" t="s">
        <v>3180</v>
      </c>
      <c r="AI48" t="s">
        <v>1077</v>
      </c>
      <c r="AJ48">
        <v>1</v>
      </c>
      <c r="AK48" t="s">
        <v>2850</v>
      </c>
      <c r="AL48" t="s">
        <v>1227</v>
      </c>
      <c r="AM48" t="s">
        <v>490</v>
      </c>
      <c r="AN48" t="s">
        <v>392</v>
      </c>
      <c r="AO48">
        <v>2184357633</v>
      </c>
      <c r="AP48" t="s">
        <v>3178</v>
      </c>
      <c r="AQ48">
        <v>2184351134</v>
      </c>
      <c r="AR48" t="s">
        <v>2409</v>
      </c>
      <c r="AS48" t="s">
        <v>2851</v>
      </c>
      <c r="AU48" t="s">
        <v>491</v>
      </c>
      <c r="AV48" t="s">
        <v>386</v>
      </c>
      <c r="AW48">
        <v>56542</v>
      </c>
      <c r="AX48">
        <v>1599</v>
      </c>
      <c r="BL48" t="s">
        <v>1227</v>
      </c>
      <c r="BM48" t="s">
        <v>490</v>
      </c>
      <c r="BN48" t="s">
        <v>392</v>
      </c>
      <c r="BO48">
        <v>2184357633</v>
      </c>
      <c r="BP48" t="s">
        <v>3178</v>
      </c>
      <c r="BQ48">
        <v>2184351134</v>
      </c>
      <c r="BR48" t="s">
        <v>2409</v>
      </c>
      <c r="BS48" t="s">
        <v>2851</v>
      </c>
      <c r="BU48" t="s">
        <v>491</v>
      </c>
      <c r="BV48" t="s">
        <v>386</v>
      </c>
      <c r="BW48">
        <v>56542</v>
      </c>
      <c r="BX48">
        <v>1599</v>
      </c>
    </row>
    <row r="49" spans="1:76" customFormat="1" x14ac:dyDescent="0.25">
      <c r="A49" s="496">
        <v>164</v>
      </c>
      <c r="B49">
        <v>1083672950</v>
      </c>
      <c r="C49" t="s">
        <v>492</v>
      </c>
      <c r="D49" t="s">
        <v>493</v>
      </c>
      <c r="E49" t="s">
        <v>3327</v>
      </c>
      <c r="H49" t="s">
        <v>1095</v>
      </c>
      <c r="I49" t="s">
        <v>386</v>
      </c>
      <c r="J49">
        <v>55432</v>
      </c>
      <c r="K49">
        <v>2718</v>
      </c>
      <c r="L49">
        <v>7632365000</v>
      </c>
      <c r="M49">
        <v>7632368124</v>
      </c>
      <c r="N49" t="s">
        <v>2410</v>
      </c>
      <c r="O49" t="s">
        <v>2411</v>
      </c>
      <c r="P49" t="s">
        <v>2412</v>
      </c>
      <c r="Q49" t="s">
        <v>2413</v>
      </c>
      <c r="R49" t="s">
        <v>2382</v>
      </c>
      <c r="S49" t="s">
        <v>2852</v>
      </c>
      <c r="T49" t="s">
        <v>2853</v>
      </c>
      <c r="U49" t="s">
        <v>2098</v>
      </c>
      <c r="V49">
        <v>6122624730</v>
      </c>
      <c r="W49" t="s">
        <v>3178</v>
      </c>
      <c r="X49">
        <v>6122624730</v>
      </c>
      <c r="Y49" t="s">
        <v>2854</v>
      </c>
      <c r="Z49" t="s">
        <v>1697</v>
      </c>
      <c r="AB49" t="s">
        <v>131</v>
      </c>
      <c r="AC49" t="s">
        <v>386</v>
      </c>
      <c r="AD49">
        <v>55440</v>
      </c>
      <c r="AE49">
        <v>43</v>
      </c>
      <c r="AF49" t="s">
        <v>132</v>
      </c>
      <c r="AG49" t="s">
        <v>2855</v>
      </c>
      <c r="AH49" t="s">
        <v>133</v>
      </c>
      <c r="AI49" t="s">
        <v>1077</v>
      </c>
      <c r="AJ49">
        <v>0</v>
      </c>
      <c r="AK49" t="s">
        <v>2165</v>
      </c>
      <c r="AL49" t="s">
        <v>134</v>
      </c>
      <c r="AM49" t="s">
        <v>135</v>
      </c>
      <c r="AN49" t="s">
        <v>2156</v>
      </c>
      <c r="AO49">
        <v>6122624719</v>
      </c>
      <c r="AP49" t="s">
        <v>3178</v>
      </c>
      <c r="AQ49">
        <v>6122624719</v>
      </c>
      <c r="AR49" t="s">
        <v>136</v>
      </c>
      <c r="AS49" t="s">
        <v>3258</v>
      </c>
      <c r="AT49" t="s">
        <v>137</v>
      </c>
      <c r="AU49" t="s">
        <v>131</v>
      </c>
      <c r="AV49" t="s">
        <v>386</v>
      </c>
      <c r="AW49">
        <v>55440</v>
      </c>
      <c r="AX49">
        <v>43</v>
      </c>
      <c r="AY49" t="s">
        <v>2387</v>
      </c>
      <c r="AZ49" t="s">
        <v>2388</v>
      </c>
      <c r="BA49" t="s">
        <v>2389</v>
      </c>
      <c r="BB49">
        <v>6122624721</v>
      </c>
      <c r="BC49" t="s">
        <v>3178</v>
      </c>
      <c r="BD49">
        <v>6122624721</v>
      </c>
      <c r="BE49" t="s">
        <v>2390</v>
      </c>
      <c r="BF49" t="s">
        <v>3263</v>
      </c>
      <c r="BH49" t="s">
        <v>131</v>
      </c>
      <c r="BI49" t="s">
        <v>386</v>
      </c>
      <c r="BJ49">
        <v>55440</v>
      </c>
      <c r="BK49">
        <v>43</v>
      </c>
      <c r="BL49" t="s">
        <v>2852</v>
      </c>
      <c r="BM49" t="s">
        <v>2853</v>
      </c>
      <c r="BN49" t="s">
        <v>2098</v>
      </c>
      <c r="BO49">
        <v>6122624730</v>
      </c>
      <c r="BP49" t="s">
        <v>3178</v>
      </c>
      <c r="BQ49">
        <v>6122624730</v>
      </c>
      <c r="BR49" t="s">
        <v>2854</v>
      </c>
      <c r="BS49" t="s">
        <v>1697</v>
      </c>
      <c r="BU49" t="s">
        <v>131</v>
      </c>
      <c r="BV49" t="s">
        <v>386</v>
      </c>
      <c r="BW49">
        <v>55440</v>
      </c>
      <c r="BX49">
        <v>43</v>
      </c>
    </row>
    <row r="50" spans="1:76" customFormat="1" x14ac:dyDescent="0.25">
      <c r="A50" s="496">
        <v>51</v>
      </c>
      <c r="B50">
        <v>1508885633</v>
      </c>
      <c r="C50" t="s">
        <v>494</v>
      </c>
      <c r="D50" t="s">
        <v>495</v>
      </c>
      <c r="E50" t="s">
        <v>3328</v>
      </c>
      <c r="H50" t="s">
        <v>496</v>
      </c>
      <c r="I50" t="s">
        <v>386</v>
      </c>
      <c r="J50">
        <v>55336</v>
      </c>
      <c r="K50">
        <v>1416</v>
      </c>
      <c r="L50">
        <v>3208643121</v>
      </c>
      <c r="M50">
        <v>3208647887</v>
      </c>
      <c r="N50" t="s">
        <v>497</v>
      </c>
      <c r="O50" t="s">
        <v>498</v>
      </c>
      <c r="P50" t="s">
        <v>1191</v>
      </c>
      <c r="Q50" t="s">
        <v>499</v>
      </c>
      <c r="R50" t="s">
        <v>500</v>
      </c>
      <c r="S50" t="s">
        <v>2414</v>
      </c>
      <c r="T50" t="s">
        <v>1708</v>
      </c>
      <c r="U50" t="s">
        <v>1462</v>
      </c>
      <c r="V50">
        <v>3208647797</v>
      </c>
      <c r="W50" t="s">
        <v>3178</v>
      </c>
      <c r="X50">
        <v>3208647887</v>
      </c>
      <c r="Y50" t="s">
        <v>2415</v>
      </c>
      <c r="Z50" t="s">
        <v>3329</v>
      </c>
      <c r="AB50" t="s">
        <v>502</v>
      </c>
      <c r="AC50" t="s">
        <v>386</v>
      </c>
      <c r="AD50">
        <v>55336</v>
      </c>
      <c r="AE50">
        <v>1499</v>
      </c>
      <c r="AG50" t="s">
        <v>503</v>
      </c>
      <c r="AH50" t="s">
        <v>504</v>
      </c>
      <c r="AI50" t="s">
        <v>1206</v>
      </c>
      <c r="AJ50">
        <v>1</v>
      </c>
      <c r="AK50" t="s">
        <v>2856</v>
      </c>
      <c r="AL50" t="s">
        <v>1535</v>
      </c>
      <c r="AM50" t="s">
        <v>1695</v>
      </c>
      <c r="AN50" t="s">
        <v>1488</v>
      </c>
      <c r="AO50">
        <v>3208647753</v>
      </c>
      <c r="AP50" t="s">
        <v>3178</v>
      </c>
      <c r="AQ50">
        <v>3208647887</v>
      </c>
      <c r="AR50" t="s">
        <v>1696</v>
      </c>
      <c r="AS50" t="s">
        <v>3329</v>
      </c>
      <c r="AU50" t="s">
        <v>502</v>
      </c>
      <c r="AV50" t="s">
        <v>386</v>
      </c>
      <c r="AW50">
        <v>55336</v>
      </c>
      <c r="AX50">
        <v>1499</v>
      </c>
      <c r="BL50" t="s">
        <v>1535</v>
      </c>
      <c r="BM50" t="s">
        <v>1695</v>
      </c>
      <c r="BN50" t="s">
        <v>1488</v>
      </c>
      <c r="BO50">
        <v>3208647753</v>
      </c>
      <c r="BP50" t="s">
        <v>3178</v>
      </c>
      <c r="BQ50">
        <v>3208647887</v>
      </c>
      <c r="BR50" t="s">
        <v>1696</v>
      </c>
      <c r="BS50" t="s">
        <v>3329</v>
      </c>
      <c r="BU50" t="s">
        <v>502</v>
      </c>
      <c r="BV50" t="s">
        <v>386</v>
      </c>
      <c r="BW50">
        <v>55336</v>
      </c>
      <c r="BX50">
        <v>1499</v>
      </c>
    </row>
    <row r="51" spans="1:76" customFormat="1" x14ac:dyDescent="0.25">
      <c r="A51" s="496">
        <v>50</v>
      </c>
      <c r="B51">
        <v>1538178520</v>
      </c>
      <c r="C51" t="s">
        <v>505</v>
      </c>
      <c r="D51" t="s">
        <v>506</v>
      </c>
      <c r="E51" t="s">
        <v>2857</v>
      </c>
      <c r="H51" t="s">
        <v>507</v>
      </c>
      <c r="I51" t="s">
        <v>386</v>
      </c>
      <c r="J51">
        <v>56334</v>
      </c>
      <c r="K51">
        <v>1820</v>
      </c>
      <c r="L51">
        <v>3206344521</v>
      </c>
      <c r="M51">
        <v>3206342269</v>
      </c>
      <c r="N51" t="s">
        <v>508</v>
      </c>
      <c r="O51" t="s">
        <v>509</v>
      </c>
      <c r="P51" t="s">
        <v>510</v>
      </c>
      <c r="Q51" t="s">
        <v>3330</v>
      </c>
      <c r="R51" t="s">
        <v>1816</v>
      </c>
      <c r="S51" t="s">
        <v>661</v>
      </c>
      <c r="T51" t="s">
        <v>662</v>
      </c>
      <c r="U51" t="s">
        <v>663</v>
      </c>
      <c r="V51">
        <v>5075264428</v>
      </c>
      <c r="W51" t="s">
        <v>3178</v>
      </c>
      <c r="X51">
        <v>5075263326</v>
      </c>
      <c r="Y51" t="s">
        <v>3331</v>
      </c>
      <c r="Z51" t="s">
        <v>3332</v>
      </c>
      <c r="AB51" t="s">
        <v>1220</v>
      </c>
      <c r="AC51" t="s">
        <v>386</v>
      </c>
      <c r="AD51">
        <v>56013</v>
      </c>
      <c r="AF51" t="s">
        <v>1541</v>
      </c>
      <c r="AG51" t="s">
        <v>512</v>
      </c>
      <c r="AH51" t="s">
        <v>402</v>
      </c>
      <c r="AJ51">
        <v>1</v>
      </c>
      <c r="AK51" t="s">
        <v>2021</v>
      </c>
      <c r="BL51" t="s">
        <v>1222</v>
      </c>
      <c r="BM51" t="s">
        <v>1817</v>
      </c>
      <c r="BN51" t="s">
        <v>392</v>
      </c>
      <c r="BO51">
        <v>3206342206</v>
      </c>
      <c r="BP51" t="s">
        <v>3178</v>
      </c>
      <c r="BQ51">
        <v>3206342269</v>
      </c>
      <c r="BR51" t="s">
        <v>2022</v>
      </c>
      <c r="BS51" t="s">
        <v>3333</v>
      </c>
      <c r="BT51" t="s">
        <v>1223</v>
      </c>
      <c r="BU51" t="s">
        <v>2858</v>
      </c>
      <c r="BV51" t="s">
        <v>386</v>
      </c>
      <c r="BW51">
        <v>56334</v>
      </c>
      <c r="BX51">
        <v>1820</v>
      </c>
    </row>
    <row r="52" spans="1:76" customFormat="1" x14ac:dyDescent="0.25">
      <c r="A52" s="496">
        <v>183</v>
      </c>
      <c r="B52">
        <v>1770585382</v>
      </c>
      <c r="C52" t="s">
        <v>513</v>
      </c>
      <c r="D52" t="s">
        <v>514</v>
      </c>
      <c r="E52" t="s">
        <v>3334</v>
      </c>
      <c r="H52" t="s">
        <v>143</v>
      </c>
      <c r="I52" t="s">
        <v>386</v>
      </c>
      <c r="J52">
        <v>55422</v>
      </c>
      <c r="K52">
        <v>4286</v>
      </c>
      <c r="L52">
        <v>7635882750</v>
      </c>
      <c r="M52">
        <v>7635213805</v>
      </c>
      <c r="N52" t="s">
        <v>1845</v>
      </c>
      <c r="O52" t="s">
        <v>3335</v>
      </c>
      <c r="P52" t="s">
        <v>397</v>
      </c>
      <c r="Q52" t="s">
        <v>3336</v>
      </c>
      <c r="R52" t="s">
        <v>2176</v>
      </c>
      <c r="S52" t="s">
        <v>2416</v>
      </c>
      <c r="T52" t="s">
        <v>2417</v>
      </c>
      <c r="U52" t="s">
        <v>2156</v>
      </c>
      <c r="V52">
        <v>7179721341</v>
      </c>
      <c r="W52" t="s">
        <v>3178</v>
      </c>
      <c r="X52" t="s">
        <v>3178</v>
      </c>
      <c r="Y52" t="s">
        <v>2418</v>
      </c>
      <c r="Z52" t="s">
        <v>3337</v>
      </c>
      <c r="AB52" t="s">
        <v>2419</v>
      </c>
      <c r="AC52" t="s">
        <v>2420</v>
      </c>
      <c r="AD52">
        <v>17055</v>
      </c>
      <c r="AF52" t="s">
        <v>2421</v>
      </c>
      <c r="AG52" t="s">
        <v>2177</v>
      </c>
      <c r="AH52" t="s">
        <v>2178</v>
      </c>
      <c r="AI52" t="s">
        <v>1077</v>
      </c>
      <c r="AJ52">
        <v>0</v>
      </c>
      <c r="AK52" t="s">
        <v>2179</v>
      </c>
      <c r="BL52" t="s">
        <v>1845</v>
      </c>
      <c r="BM52" t="s">
        <v>3335</v>
      </c>
      <c r="BN52" t="s">
        <v>397</v>
      </c>
      <c r="BO52">
        <v>7635882750</v>
      </c>
      <c r="BP52" t="s">
        <v>3178</v>
      </c>
      <c r="BQ52">
        <v>7635213805</v>
      </c>
      <c r="BR52" t="s">
        <v>2859</v>
      </c>
      <c r="BU52" t="s">
        <v>2180</v>
      </c>
      <c r="BV52" t="s">
        <v>386</v>
      </c>
    </row>
    <row r="53" spans="1:76" customFormat="1" x14ac:dyDescent="0.25">
      <c r="A53" s="496">
        <v>61</v>
      </c>
      <c r="B53">
        <v>1982673620</v>
      </c>
      <c r="C53" t="s">
        <v>2422</v>
      </c>
      <c r="D53" t="s">
        <v>515</v>
      </c>
      <c r="E53" t="s">
        <v>3338</v>
      </c>
      <c r="H53" t="s">
        <v>516</v>
      </c>
      <c r="I53" t="s">
        <v>386</v>
      </c>
      <c r="J53">
        <v>56240</v>
      </c>
      <c r="K53">
        <v>1</v>
      </c>
      <c r="L53">
        <v>3207487223</v>
      </c>
      <c r="M53">
        <v>3207487225</v>
      </c>
      <c r="N53" t="s">
        <v>236</v>
      </c>
      <c r="O53" t="s">
        <v>3339</v>
      </c>
      <c r="P53" t="s">
        <v>320</v>
      </c>
      <c r="Q53" t="s">
        <v>3340</v>
      </c>
      <c r="R53" t="s">
        <v>489</v>
      </c>
      <c r="S53" t="s">
        <v>387</v>
      </c>
      <c r="T53" t="s">
        <v>2360</v>
      </c>
      <c r="U53" t="s">
        <v>2361</v>
      </c>
      <c r="V53">
        <v>5074347055</v>
      </c>
      <c r="W53" t="s">
        <v>3178</v>
      </c>
      <c r="X53">
        <v>5074378997</v>
      </c>
      <c r="Y53" t="s">
        <v>2362</v>
      </c>
      <c r="Z53" t="s">
        <v>3240</v>
      </c>
      <c r="AB53" t="s">
        <v>1116</v>
      </c>
      <c r="AC53" t="s">
        <v>386</v>
      </c>
      <c r="AD53">
        <v>55912</v>
      </c>
      <c r="AF53" t="s">
        <v>1117</v>
      </c>
      <c r="AG53" t="s">
        <v>1543</v>
      </c>
      <c r="AH53" t="s">
        <v>3180</v>
      </c>
      <c r="AI53" t="s">
        <v>1077</v>
      </c>
      <c r="AJ53">
        <v>1</v>
      </c>
      <c r="AK53" t="s">
        <v>2034</v>
      </c>
      <c r="AL53" t="s">
        <v>1227</v>
      </c>
      <c r="AM53" t="s">
        <v>490</v>
      </c>
      <c r="AN53" t="s">
        <v>392</v>
      </c>
      <c r="AO53">
        <v>2184357633</v>
      </c>
      <c r="AP53" t="s">
        <v>3178</v>
      </c>
      <c r="AQ53">
        <v>2184351134</v>
      </c>
      <c r="AR53" t="s">
        <v>2409</v>
      </c>
      <c r="AS53" t="s">
        <v>2851</v>
      </c>
      <c r="AU53" t="s">
        <v>491</v>
      </c>
      <c r="AV53" t="s">
        <v>386</v>
      </c>
      <c r="AW53">
        <v>56542</v>
      </c>
      <c r="AX53">
        <v>1599</v>
      </c>
      <c r="AY53" t="s">
        <v>3341</v>
      </c>
      <c r="AZ53" t="s">
        <v>3342</v>
      </c>
      <c r="BA53" t="s">
        <v>1099</v>
      </c>
      <c r="BB53">
        <v>3207488237</v>
      </c>
      <c r="BC53" t="s">
        <v>3178</v>
      </c>
      <c r="BD53" t="s">
        <v>3178</v>
      </c>
      <c r="BE53" t="s">
        <v>3343</v>
      </c>
      <c r="BF53" t="s">
        <v>3344</v>
      </c>
      <c r="BH53" t="s">
        <v>1819</v>
      </c>
      <c r="BI53" t="s">
        <v>386</v>
      </c>
      <c r="BJ53">
        <v>56240</v>
      </c>
      <c r="BL53" t="s">
        <v>1227</v>
      </c>
      <c r="BM53" t="s">
        <v>490</v>
      </c>
      <c r="BN53" t="s">
        <v>392</v>
      </c>
      <c r="BO53">
        <v>2184357633</v>
      </c>
      <c r="BP53" t="s">
        <v>3178</v>
      </c>
      <c r="BQ53">
        <v>2184351134</v>
      </c>
      <c r="BR53" t="s">
        <v>2409</v>
      </c>
      <c r="BS53" t="s">
        <v>2851</v>
      </c>
      <c r="BU53" t="s">
        <v>491</v>
      </c>
      <c r="BV53" t="s">
        <v>386</v>
      </c>
      <c r="BW53">
        <v>56542</v>
      </c>
      <c r="BX53">
        <v>1599</v>
      </c>
    </row>
    <row r="54" spans="1:76" customFormat="1" x14ac:dyDescent="0.25">
      <c r="A54" s="496">
        <v>30</v>
      </c>
      <c r="B54">
        <v>1487712493</v>
      </c>
      <c r="C54" t="s">
        <v>3015</v>
      </c>
      <c r="D54" t="s">
        <v>519</v>
      </c>
      <c r="E54" t="s">
        <v>3345</v>
      </c>
      <c r="H54" t="s">
        <v>170</v>
      </c>
      <c r="I54" t="s">
        <v>386</v>
      </c>
      <c r="J54">
        <v>55604</v>
      </c>
      <c r="K54">
        <v>3017</v>
      </c>
      <c r="L54">
        <v>2183873040</v>
      </c>
      <c r="M54">
        <v>2183873289</v>
      </c>
      <c r="N54" t="s">
        <v>1990</v>
      </c>
      <c r="O54" t="s">
        <v>1991</v>
      </c>
      <c r="P54" t="s">
        <v>320</v>
      </c>
      <c r="Q54" t="s">
        <v>3346</v>
      </c>
      <c r="R54" t="s">
        <v>2423</v>
      </c>
      <c r="S54" t="s">
        <v>2424</v>
      </c>
      <c r="T54" t="s">
        <v>2425</v>
      </c>
      <c r="U54" t="s">
        <v>1092</v>
      </c>
      <c r="V54">
        <v>2183873266</v>
      </c>
      <c r="W54" t="s">
        <v>3178</v>
      </c>
      <c r="X54">
        <v>2183873289</v>
      </c>
      <c r="Y54" t="s">
        <v>3347</v>
      </c>
      <c r="AC54" t="s">
        <v>2789</v>
      </c>
      <c r="AG54" t="s">
        <v>1992</v>
      </c>
      <c r="AH54" t="s">
        <v>402</v>
      </c>
      <c r="AJ54">
        <v>1</v>
      </c>
      <c r="AK54" t="s">
        <v>1347</v>
      </c>
      <c r="AL54" t="s">
        <v>1568</v>
      </c>
      <c r="AM54" t="s">
        <v>1820</v>
      </c>
      <c r="AN54" t="s">
        <v>1115</v>
      </c>
      <c r="AO54">
        <v>2183873277</v>
      </c>
      <c r="AP54" t="s">
        <v>3178</v>
      </c>
      <c r="AQ54">
        <v>2183873289</v>
      </c>
      <c r="AR54" t="s">
        <v>3348</v>
      </c>
      <c r="AV54" t="s">
        <v>2789</v>
      </c>
      <c r="BL54" t="s">
        <v>2424</v>
      </c>
      <c r="BM54" t="s">
        <v>2425</v>
      </c>
      <c r="BN54" t="s">
        <v>1092</v>
      </c>
      <c r="BO54">
        <v>2183873266</v>
      </c>
      <c r="BP54" t="s">
        <v>3178</v>
      </c>
      <c r="BQ54">
        <v>2183873289</v>
      </c>
      <c r="BR54" t="s">
        <v>3347</v>
      </c>
      <c r="BV54" t="s">
        <v>2789</v>
      </c>
    </row>
    <row r="55" spans="1:76" customFormat="1" x14ac:dyDescent="0.25">
      <c r="A55" s="496">
        <v>64</v>
      </c>
      <c r="B55">
        <v>1669426631</v>
      </c>
      <c r="C55" t="s">
        <v>2047</v>
      </c>
      <c r="D55" t="s">
        <v>520</v>
      </c>
      <c r="E55" t="s">
        <v>3349</v>
      </c>
      <c r="H55" t="s">
        <v>1209</v>
      </c>
      <c r="I55" t="s">
        <v>386</v>
      </c>
      <c r="J55">
        <v>55744</v>
      </c>
      <c r="K55">
        <v>3698</v>
      </c>
      <c r="L55">
        <v>2183263401</v>
      </c>
      <c r="M55">
        <v>2183267743</v>
      </c>
      <c r="N55" t="s">
        <v>557</v>
      </c>
      <c r="O55" t="s">
        <v>2048</v>
      </c>
      <c r="P55" t="s">
        <v>1194</v>
      </c>
      <c r="Q55" t="s">
        <v>2049</v>
      </c>
      <c r="R55" t="s">
        <v>115</v>
      </c>
      <c r="S55" t="s">
        <v>557</v>
      </c>
      <c r="T55" t="s">
        <v>2048</v>
      </c>
      <c r="U55" t="s">
        <v>1217</v>
      </c>
      <c r="V55">
        <v>2189991449</v>
      </c>
      <c r="W55" t="s">
        <v>3178</v>
      </c>
      <c r="X55">
        <v>2189991461</v>
      </c>
      <c r="Y55" t="s">
        <v>3350</v>
      </c>
      <c r="Z55" t="s">
        <v>3351</v>
      </c>
      <c r="AB55" t="s">
        <v>521</v>
      </c>
      <c r="AC55" t="s">
        <v>386</v>
      </c>
      <c r="AD55">
        <v>55744</v>
      </c>
      <c r="AE55">
        <v>3698</v>
      </c>
      <c r="AF55" t="s">
        <v>1544</v>
      </c>
      <c r="AG55" t="s">
        <v>1545</v>
      </c>
      <c r="AH55" t="s">
        <v>402</v>
      </c>
      <c r="AJ55">
        <v>0</v>
      </c>
      <c r="AK55" t="s">
        <v>3352</v>
      </c>
      <c r="AL55" t="s">
        <v>3353</v>
      </c>
      <c r="AM55" t="s">
        <v>1802</v>
      </c>
      <c r="AN55" t="s">
        <v>3354</v>
      </c>
      <c r="AO55">
        <v>2189991703</v>
      </c>
      <c r="AP55" t="s">
        <v>3178</v>
      </c>
      <c r="AQ55">
        <v>2189991697</v>
      </c>
      <c r="AR55" t="s">
        <v>3355</v>
      </c>
      <c r="AS55" t="s">
        <v>3356</v>
      </c>
      <c r="AU55" t="s">
        <v>521</v>
      </c>
      <c r="AV55" t="s">
        <v>386</v>
      </c>
      <c r="AW55">
        <v>55744</v>
      </c>
      <c r="BL55" t="s">
        <v>3353</v>
      </c>
      <c r="BM55" t="s">
        <v>1802</v>
      </c>
      <c r="BN55" t="s">
        <v>3354</v>
      </c>
      <c r="BO55">
        <v>2189991703</v>
      </c>
      <c r="BP55" t="s">
        <v>3178</v>
      </c>
      <c r="BQ55">
        <v>2189991697</v>
      </c>
      <c r="BR55" t="s">
        <v>3355</v>
      </c>
      <c r="BS55" t="s">
        <v>3356</v>
      </c>
      <c r="BU55" t="s">
        <v>521</v>
      </c>
      <c r="BV55" t="s">
        <v>386</v>
      </c>
      <c r="BW55">
        <v>55744</v>
      </c>
    </row>
    <row r="56" spans="1:76" customFormat="1" x14ac:dyDescent="0.25">
      <c r="A56" s="496">
        <v>53</v>
      </c>
      <c r="B56">
        <v>1780654962</v>
      </c>
      <c r="C56" t="s">
        <v>522</v>
      </c>
      <c r="D56" t="s">
        <v>523</v>
      </c>
      <c r="E56" t="s">
        <v>3357</v>
      </c>
      <c r="H56" t="s">
        <v>152</v>
      </c>
      <c r="I56" t="s">
        <v>386</v>
      </c>
      <c r="J56">
        <v>56241</v>
      </c>
      <c r="K56">
        <v>1442</v>
      </c>
      <c r="L56">
        <v>3205643111</v>
      </c>
      <c r="M56">
        <v>3205642329</v>
      </c>
      <c r="N56" t="s">
        <v>178</v>
      </c>
      <c r="O56" t="s">
        <v>3358</v>
      </c>
      <c r="P56" t="s">
        <v>397</v>
      </c>
      <c r="Q56" t="s">
        <v>3359</v>
      </c>
      <c r="R56" t="s">
        <v>2023</v>
      </c>
      <c r="S56" t="s">
        <v>1514</v>
      </c>
      <c r="T56" t="s">
        <v>525</v>
      </c>
      <c r="U56" t="s">
        <v>392</v>
      </c>
      <c r="V56">
        <v>3205646204</v>
      </c>
      <c r="W56" t="s">
        <v>3178</v>
      </c>
      <c r="X56">
        <v>3205642329</v>
      </c>
      <c r="Y56" t="s">
        <v>2024</v>
      </c>
      <c r="Z56" t="s">
        <v>3360</v>
      </c>
      <c r="AB56" t="s">
        <v>527</v>
      </c>
      <c r="AC56" t="s">
        <v>386</v>
      </c>
      <c r="AD56">
        <v>56241</v>
      </c>
      <c r="AE56">
        <v>1499</v>
      </c>
      <c r="AG56" t="s">
        <v>2025</v>
      </c>
      <c r="AH56" t="s">
        <v>402</v>
      </c>
      <c r="AJ56">
        <v>1</v>
      </c>
      <c r="AK56" t="s">
        <v>528</v>
      </c>
      <c r="BL56" t="s">
        <v>1514</v>
      </c>
      <c r="BM56" t="s">
        <v>525</v>
      </c>
      <c r="BN56" t="s">
        <v>392</v>
      </c>
      <c r="BO56">
        <v>3205646204</v>
      </c>
      <c r="BP56" t="s">
        <v>3178</v>
      </c>
      <c r="BQ56">
        <v>3205642329</v>
      </c>
      <c r="BR56" t="s">
        <v>2024</v>
      </c>
      <c r="BS56" t="s">
        <v>3360</v>
      </c>
      <c r="BU56" t="s">
        <v>527</v>
      </c>
      <c r="BV56" t="s">
        <v>386</v>
      </c>
      <c r="BW56">
        <v>56241</v>
      </c>
      <c r="BX56">
        <v>1499</v>
      </c>
    </row>
    <row r="57" spans="1:76" customFormat="1" x14ac:dyDescent="0.25">
      <c r="A57" s="496">
        <v>69</v>
      </c>
      <c r="B57">
        <v>1669403846</v>
      </c>
      <c r="C57" t="s">
        <v>529</v>
      </c>
      <c r="D57" t="s">
        <v>530</v>
      </c>
      <c r="E57" t="s">
        <v>2860</v>
      </c>
      <c r="H57" t="s">
        <v>531</v>
      </c>
      <c r="I57" t="s">
        <v>386</v>
      </c>
      <c r="J57">
        <v>56728</v>
      </c>
      <c r="K57">
        <v>4208</v>
      </c>
      <c r="L57">
        <v>2188433612</v>
      </c>
      <c r="M57">
        <v>2188432311</v>
      </c>
      <c r="N57" t="s">
        <v>2499</v>
      </c>
      <c r="O57" t="s">
        <v>3361</v>
      </c>
      <c r="P57" t="s">
        <v>397</v>
      </c>
      <c r="Q57" t="s">
        <v>3362</v>
      </c>
      <c r="R57" t="s">
        <v>3363</v>
      </c>
      <c r="S57" t="s">
        <v>2057</v>
      </c>
      <c r="T57" t="s">
        <v>2058</v>
      </c>
      <c r="U57" t="s">
        <v>2361</v>
      </c>
      <c r="V57">
        <v>6123764624</v>
      </c>
      <c r="W57" t="s">
        <v>3178</v>
      </c>
      <c r="X57">
        <v>6123764850</v>
      </c>
      <c r="Y57" t="s">
        <v>2426</v>
      </c>
      <c r="Z57" t="s">
        <v>2861</v>
      </c>
      <c r="AB57" t="s">
        <v>131</v>
      </c>
      <c r="AC57" t="s">
        <v>386</v>
      </c>
      <c r="AD57">
        <v>55402</v>
      </c>
      <c r="AE57">
        <v>1436</v>
      </c>
      <c r="AF57" t="s">
        <v>132</v>
      </c>
      <c r="AG57" t="s">
        <v>1546</v>
      </c>
      <c r="AH57" t="s">
        <v>402</v>
      </c>
      <c r="AJ57">
        <v>1</v>
      </c>
      <c r="AK57" t="s">
        <v>1821</v>
      </c>
      <c r="AL57" t="s">
        <v>3364</v>
      </c>
      <c r="AM57" t="s">
        <v>3365</v>
      </c>
      <c r="AN57" t="s">
        <v>3366</v>
      </c>
      <c r="AO57">
        <v>6123764514</v>
      </c>
      <c r="AP57" t="s">
        <v>3178</v>
      </c>
      <c r="AQ57">
        <v>6123764850</v>
      </c>
      <c r="AR57" t="s">
        <v>3367</v>
      </c>
      <c r="AS57" t="s">
        <v>3368</v>
      </c>
      <c r="AU57" t="s">
        <v>131</v>
      </c>
      <c r="AV57" t="s">
        <v>386</v>
      </c>
      <c r="AW57">
        <v>55402</v>
      </c>
      <c r="AX57">
        <v>1436</v>
      </c>
      <c r="AY57" t="s">
        <v>2440</v>
      </c>
      <c r="AZ57" t="s">
        <v>3369</v>
      </c>
      <c r="BA57" t="s">
        <v>392</v>
      </c>
      <c r="BB57">
        <v>2188433802</v>
      </c>
      <c r="BC57" t="s">
        <v>3178</v>
      </c>
      <c r="BD57">
        <v>2188432311</v>
      </c>
      <c r="BE57" t="s">
        <v>3370</v>
      </c>
      <c r="BF57" t="s">
        <v>2862</v>
      </c>
      <c r="BH57" t="s">
        <v>2059</v>
      </c>
      <c r="BI57" t="s">
        <v>386</v>
      </c>
      <c r="BJ57">
        <v>56728</v>
      </c>
      <c r="BK57">
        <v>4208</v>
      </c>
      <c r="BL57" t="s">
        <v>2440</v>
      </c>
      <c r="BM57" t="s">
        <v>3369</v>
      </c>
      <c r="BN57" t="s">
        <v>392</v>
      </c>
      <c r="BO57">
        <v>2188433802</v>
      </c>
      <c r="BP57" t="s">
        <v>3178</v>
      </c>
      <c r="BQ57">
        <v>2188432311</v>
      </c>
      <c r="BR57" t="s">
        <v>3370</v>
      </c>
      <c r="BS57" t="s">
        <v>2862</v>
      </c>
      <c r="BU57" t="s">
        <v>2059</v>
      </c>
      <c r="BV57" t="s">
        <v>386</v>
      </c>
      <c r="BW57">
        <v>56728</v>
      </c>
      <c r="BX57">
        <v>4208</v>
      </c>
    </row>
    <row r="58" spans="1:76" customFormat="1" x14ac:dyDescent="0.25">
      <c r="A58" s="496">
        <v>115</v>
      </c>
      <c r="B58">
        <v>1841627387</v>
      </c>
      <c r="C58" t="s">
        <v>2704</v>
      </c>
      <c r="D58" t="s">
        <v>534</v>
      </c>
      <c r="E58" t="s">
        <v>3371</v>
      </c>
      <c r="H58" t="s">
        <v>141</v>
      </c>
      <c r="I58" t="s">
        <v>386</v>
      </c>
      <c r="J58">
        <v>55033</v>
      </c>
      <c r="K58">
        <v>1056</v>
      </c>
      <c r="L58">
        <v>6514041000</v>
      </c>
      <c r="M58">
        <v>6514041240</v>
      </c>
      <c r="N58" t="s">
        <v>204</v>
      </c>
      <c r="O58" t="s">
        <v>205</v>
      </c>
      <c r="P58" t="s">
        <v>128</v>
      </c>
      <c r="Q58" t="s">
        <v>3372</v>
      </c>
      <c r="R58" t="s">
        <v>3373</v>
      </c>
      <c r="S58" t="s">
        <v>1498</v>
      </c>
      <c r="T58" t="s">
        <v>205</v>
      </c>
      <c r="U58" t="s">
        <v>1319</v>
      </c>
      <c r="V58">
        <v>6122624735</v>
      </c>
      <c r="W58" t="s">
        <v>3178</v>
      </c>
      <c r="X58">
        <v>6122624735</v>
      </c>
      <c r="Y58" t="s">
        <v>1499</v>
      </c>
      <c r="Z58" t="s">
        <v>3258</v>
      </c>
      <c r="AB58" t="s">
        <v>131</v>
      </c>
      <c r="AC58" t="s">
        <v>386</v>
      </c>
      <c r="AD58">
        <v>55440</v>
      </c>
      <c r="AE58">
        <v>43</v>
      </c>
      <c r="AF58" t="s">
        <v>132</v>
      </c>
      <c r="AG58" t="s">
        <v>2864</v>
      </c>
      <c r="AH58" t="s">
        <v>133</v>
      </c>
      <c r="AI58" t="s">
        <v>1077</v>
      </c>
      <c r="AJ58">
        <v>0</v>
      </c>
      <c r="AK58" t="s">
        <v>2865</v>
      </c>
      <c r="AL58" t="s">
        <v>2162</v>
      </c>
      <c r="AM58" t="s">
        <v>2163</v>
      </c>
      <c r="AN58" t="s">
        <v>1510</v>
      </c>
      <c r="AO58">
        <v>6122624720</v>
      </c>
      <c r="AP58" t="s">
        <v>3178</v>
      </c>
      <c r="AQ58">
        <v>6122624720</v>
      </c>
      <c r="AR58" t="s">
        <v>2164</v>
      </c>
      <c r="AS58" t="s">
        <v>3258</v>
      </c>
      <c r="AU58" t="s">
        <v>131</v>
      </c>
      <c r="AV58" t="s">
        <v>386</v>
      </c>
      <c r="AW58">
        <v>55440</v>
      </c>
      <c r="AX58">
        <v>43</v>
      </c>
      <c r="AY58" t="s">
        <v>134</v>
      </c>
      <c r="AZ58" t="s">
        <v>135</v>
      </c>
      <c r="BA58" t="s">
        <v>2156</v>
      </c>
      <c r="BB58">
        <v>6122624719</v>
      </c>
      <c r="BC58" t="s">
        <v>3178</v>
      </c>
      <c r="BD58">
        <v>6122624719</v>
      </c>
      <c r="BE58" t="s">
        <v>136</v>
      </c>
      <c r="BF58" t="s">
        <v>3258</v>
      </c>
      <c r="BG58" t="s">
        <v>137</v>
      </c>
      <c r="BH58" t="s">
        <v>131</v>
      </c>
      <c r="BI58" t="s">
        <v>386</v>
      </c>
      <c r="BJ58">
        <v>55440</v>
      </c>
      <c r="BK58">
        <v>43</v>
      </c>
      <c r="BL58" t="s">
        <v>1498</v>
      </c>
      <c r="BM58" t="s">
        <v>205</v>
      </c>
      <c r="BN58" t="s">
        <v>1319</v>
      </c>
      <c r="BO58">
        <v>6122624735</v>
      </c>
      <c r="BP58" t="s">
        <v>3178</v>
      </c>
      <c r="BQ58">
        <v>6122624735</v>
      </c>
      <c r="BR58" t="s">
        <v>1499</v>
      </c>
      <c r="BS58" t="s">
        <v>3258</v>
      </c>
      <c r="BU58" t="s">
        <v>131</v>
      </c>
      <c r="BV58" t="s">
        <v>386</v>
      </c>
      <c r="BW58">
        <v>55440</v>
      </c>
      <c r="BX58">
        <v>43</v>
      </c>
    </row>
    <row r="59" spans="1:76" customFormat="1" x14ac:dyDescent="0.25">
      <c r="A59" s="496">
        <v>58</v>
      </c>
      <c r="B59">
        <v>1316026370</v>
      </c>
      <c r="C59" t="s">
        <v>535</v>
      </c>
      <c r="D59" t="s">
        <v>536</v>
      </c>
      <c r="E59" t="s">
        <v>2866</v>
      </c>
      <c r="H59" t="s">
        <v>537</v>
      </c>
      <c r="I59" t="s">
        <v>386</v>
      </c>
      <c r="J59">
        <v>56136</v>
      </c>
      <c r="K59">
        <v>10</v>
      </c>
      <c r="L59">
        <v>5072753134</v>
      </c>
      <c r="M59">
        <v>5072753104</v>
      </c>
      <c r="N59" t="s">
        <v>160</v>
      </c>
      <c r="O59" t="s">
        <v>538</v>
      </c>
      <c r="P59" t="s">
        <v>320</v>
      </c>
      <c r="Q59" t="s">
        <v>2427</v>
      </c>
      <c r="R59" t="s">
        <v>3374</v>
      </c>
      <c r="S59" t="s">
        <v>236</v>
      </c>
      <c r="T59" t="s">
        <v>1348</v>
      </c>
      <c r="U59" t="s">
        <v>526</v>
      </c>
      <c r="V59">
        <v>5072753134</v>
      </c>
      <c r="W59">
        <v>205</v>
      </c>
      <c r="X59">
        <v>5072752242</v>
      </c>
      <c r="Y59" t="s">
        <v>1349</v>
      </c>
      <c r="AC59" t="s">
        <v>2789</v>
      </c>
      <c r="AG59" t="s">
        <v>1350</v>
      </c>
      <c r="AH59" t="s">
        <v>402</v>
      </c>
      <c r="AJ59">
        <v>1</v>
      </c>
      <c r="AK59" t="s">
        <v>2867</v>
      </c>
      <c r="AL59" t="s">
        <v>160</v>
      </c>
      <c r="AM59" t="s">
        <v>538</v>
      </c>
      <c r="AN59" t="s">
        <v>397</v>
      </c>
      <c r="AO59">
        <v>5072753134</v>
      </c>
      <c r="AP59" t="s">
        <v>3178</v>
      </c>
      <c r="AQ59">
        <v>5072752242</v>
      </c>
      <c r="AR59" t="s">
        <v>1351</v>
      </c>
      <c r="AV59" t="s">
        <v>2789</v>
      </c>
      <c r="BL59" t="s">
        <v>236</v>
      </c>
      <c r="BM59" t="s">
        <v>1348</v>
      </c>
      <c r="BN59" t="s">
        <v>526</v>
      </c>
      <c r="BO59">
        <v>5072753134</v>
      </c>
      <c r="BP59">
        <v>205</v>
      </c>
      <c r="BQ59">
        <v>5072752242</v>
      </c>
      <c r="BR59" t="s">
        <v>1349</v>
      </c>
      <c r="BV59" t="s">
        <v>2789</v>
      </c>
    </row>
    <row r="60" spans="1:76" customFormat="1" x14ac:dyDescent="0.25">
      <c r="A60" s="496">
        <v>85</v>
      </c>
      <c r="B60">
        <v>1356321699</v>
      </c>
      <c r="C60" t="s">
        <v>539</v>
      </c>
      <c r="D60" t="s">
        <v>540</v>
      </c>
      <c r="E60" t="s">
        <v>3375</v>
      </c>
      <c r="H60" t="s">
        <v>1112</v>
      </c>
      <c r="I60" t="s">
        <v>386</v>
      </c>
      <c r="J60">
        <v>55746</v>
      </c>
      <c r="K60">
        <v>2341</v>
      </c>
      <c r="L60">
        <v>2182624881</v>
      </c>
      <c r="M60">
        <v>2183626619</v>
      </c>
      <c r="N60" t="s">
        <v>1556</v>
      </c>
      <c r="O60" t="s">
        <v>182</v>
      </c>
      <c r="P60" t="s">
        <v>541</v>
      </c>
      <c r="Q60" t="s">
        <v>1822</v>
      </c>
      <c r="R60" t="s">
        <v>2428</v>
      </c>
      <c r="S60" t="s">
        <v>307</v>
      </c>
      <c r="T60" t="s">
        <v>2429</v>
      </c>
      <c r="U60" t="s">
        <v>2430</v>
      </c>
      <c r="V60">
        <v>6126726870</v>
      </c>
      <c r="W60" t="s">
        <v>3178</v>
      </c>
      <c r="X60">
        <v>6126726986</v>
      </c>
      <c r="Y60" t="s">
        <v>2431</v>
      </c>
      <c r="Z60" t="s">
        <v>3376</v>
      </c>
      <c r="AB60" t="s">
        <v>131</v>
      </c>
      <c r="AC60" t="s">
        <v>386</v>
      </c>
      <c r="AD60">
        <v>55413</v>
      </c>
      <c r="AE60">
        <v>2613</v>
      </c>
      <c r="AF60" t="s">
        <v>132</v>
      </c>
      <c r="AG60">
        <v>0</v>
      </c>
      <c r="AH60" t="s">
        <v>145</v>
      </c>
      <c r="AI60" t="s">
        <v>1077</v>
      </c>
      <c r="AJ60">
        <v>0</v>
      </c>
      <c r="AK60" t="s">
        <v>2432</v>
      </c>
      <c r="AL60" t="s">
        <v>1533</v>
      </c>
      <c r="AM60" t="s">
        <v>542</v>
      </c>
      <c r="AN60" t="s">
        <v>1115</v>
      </c>
      <c r="AO60">
        <v>2183626265</v>
      </c>
      <c r="AP60" t="s">
        <v>3178</v>
      </c>
      <c r="AQ60">
        <v>2183626775</v>
      </c>
      <c r="AR60" t="s">
        <v>543</v>
      </c>
      <c r="AS60" t="s">
        <v>3377</v>
      </c>
      <c r="AU60" t="s">
        <v>544</v>
      </c>
      <c r="AV60" t="s">
        <v>386</v>
      </c>
      <c r="AW60">
        <v>55746</v>
      </c>
      <c r="BL60" t="s">
        <v>1492</v>
      </c>
      <c r="BM60" t="s">
        <v>1807</v>
      </c>
      <c r="BN60" t="s">
        <v>3261</v>
      </c>
      <c r="BO60">
        <v>6126724668</v>
      </c>
      <c r="BP60" t="s">
        <v>3178</v>
      </c>
      <c r="BQ60">
        <v>6126721240</v>
      </c>
      <c r="BR60" t="s">
        <v>1808</v>
      </c>
      <c r="BS60" t="s">
        <v>2010</v>
      </c>
      <c r="BU60" t="s">
        <v>131</v>
      </c>
      <c r="BV60" t="s">
        <v>386</v>
      </c>
      <c r="BW60">
        <v>55413</v>
      </c>
      <c r="BX60">
        <v>2613</v>
      </c>
    </row>
    <row r="61" spans="1:76" customFormat="1" x14ac:dyDescent="0.25">
      <c r="A61" s="496">
        <v>62</v>
      </c>
      <c r="B61">
        <v>1053508820</v>
      </c>
      <c r="C61" t="s">
        <v>2433</v>
      </c>
      <c r="D61" t="s">
        <v>545</v>
      </c>
      <c r="E61" t="s">
        <v>3378</v>
      </c>
      <c r="H61" t="s">
        <v>496</v>
      </c>
      <c r="I61" t="s">
        <v>386</v>
      </c>
      <c r="J61">
        <v>55350</v>
      </c>
      <c r="K61">
        <v>5000</v>
      </c>
      <c r="L61">
        <v>3202345000</v>
      </c>
      <c r="M61">
        <v>3204844688</v>
      </c>
      <c r="N61" t="s">
        <v>1328</v>
      </c>
      <c r="O61" t="s">
        <v>1823</v>
      </c>
      <c r="P61" t="s">
        <v>397</v>
      </c>
      <c r="Q61" t="s">
        <v>2035</v>
      </c>
      <c r="R61" t="s">
        <v>1620</v>
      </c>
      <c r="S61" t="s">
        <v>1621</v>
      </c>
      <c r="T61" t="s">
        <v>1622</v>
      </c>
      <c r="U61" t="s">
        <v>392</v>
      </c>
      <c r="V61">
        <v>3204844472</v>
      </c>
      <c r="W61" t="s">
        <v>3178</v>
      </c>
      <c r="X61">
        <v>3204844688</v>
      </c>
      <c r="Y61" t="s">
        <v>2434</v>
      </c>
      <c r="Z61" t="s">
        <v>3379</v>
      </c>
      <c r="AB61" t="s">
        <v>1623</v>
      </c>
      <c r="AC61" t="s">
        <v>386</v>
      </c>
      <c r="AD61">
        <v>55350</v>
      </c>
      <c r="AE61">
        <v>3500</v>
      </c>
      <c r="AG61" t="s">
        <v>2036</v>
      </c>
      <c r="AH61" t="s">
        <v>133</v>
      </c>
      <c r="AI61" t="s">
        <v>1206</v>
      </c>
      <c r="AJ61">
        <v>0</v>
      </c>
      <c r="AK61" t="s">
        <v>2868</v>
      </c>
      <c r="AL61" t="s">
        <v>816</v>
      </c>
      <c r="AM61" t="s">
        <v>1234</v>
      </c>
      <c r="AN61" t="s">
        <v>2038</v>
      </c>
      <c r="AO61">
        <v>3202345000</v>
      </c>
      <c r="AP61">
        <v>-7098</v>
      </c>
      <c r="AQ61" t="s">
        <v>3178</v>
      </c>
      <c r="AR61" t="s">
        <v>2039</v>
      </c>
      <c r="AS61" t="s">
        <v>3380</v>
      </c>
      <c r="AU61" t="s">
        <v>1623</v>
      </c>
      <c r="AV61" t="s">
        <v>386</v>
      </c>
      <c r="AW61">
        <v>55350</v>
      </c>
      <c r="AX61">
        <v>3500</v>
      </c>
      <c r="AY61" t="s">
        <v>1498</v>
      </c>
      <c r="AZ61" t="s">
        <v>1352</v>
      </c>
      <c r="BA61" t="s">
        <v>1099</v>
      </c>
      <c r="BB61">
        <v>3204844471</v>
      </c>
      <c r="BC61" t="s">
        <v>3178</v>
      </c>
      <c r="BD61">
        <v>3204844651</v>
      </c>
      <c r="BE61" t="s">
        <v>2037</v>
      </c>
      <c r="BF61" t="s">
        <v>3379</v>
      </c>
      <c r="BH61" t="s">
        <v>1623</v>
      </c>
      <c r="BI61" t="s">
        <v>386</v>
      </c>
      <c r="BJ61">
        <v>55350</v>
      </c>
      <c r="BK61">
        <v>3500</v>
      </c>
      <c r="BL61" t="s">
        <v>1498</v>
      </c>
      <c r="BM61" t="s">
        <v>1352</v>
      </c>
      <c r="BN61" t="s">
        <v>1099</v>
      </c>
      <c r="BO61">
        <v>3204844471</v>
      </c>
      <c r="BP61" t="s">
        <v>3178</v>
      </c>
      <c r="BQ61">
        <v>3204844651</v>
      </c>
      <c r="BR61" t="s">
        <v>2037</v>
      </c>
      <c r="BS61" t="s">
        <v>3379</v>
      </c>
      <c r="BU61" t="s">
        <v>1623</v>
      </c>
      <c r="BV61" t="s">
        <v>386</v>
      </c>
      <c r="BW61">
        <v>55350</v>
      </c>
      <c r="BX61">
        <v>3500</v>
      </c>
    </row>
    <row r="62" spans="1:76" customFormat="1" x14ac:dyDescent="0.25">
      <c r="A62" s="496">
        <v>45</v>
      </c>
      <c r="B62">
        <v>1528041183</v>
      </c>
      <c r="C62" t="s">
        <v>1824</v>
      </c>
      <c r="D62" t="s">
        <v>1625</v>
      </c>
      <c r="E62" t="s">
        <v>3381</v>
      </c>
      <c r="H62" t="s">
        <v>1626</v>
      </c>
      <c r="I62" t="s">
        <v>386</v>
      </c>
      <c r="J62">
        <v>56649</v>
      </c>
      <c r="K62">
        <v>2154</v>
      </c>
      <c r="L62">
        <v>2182834481</v>
      </c>
      <c r="M62">
        <v>2182832281</v>
      </c>
      <c r="N62" t="s">
        <v>3382</v>
      </c>
      <c r="O62" t="s">
        <v>1708</v>
      </c>
      <c r="P62" t="s">
        <v>397</v>
      </c>
      <c r="Q62" t="s">
        <v>3383</v>
      </c>
      <c r="R62" t="s">
        <v>2015</v>
      </c>
      <c r="S62" t="s">
        <v>1533</v>
      </c>
      <c r="T62" t="s">
        <v>1547</v>
      </c>
      <c r="U62" t="s">
        <v>1229</v>
      </c>
      <c r="V62">
        <v>2182835475</v>
      </c>
      <c r="W62" t="s">
        <v>3178</v>
      </c>
      <c r="X62">
        <v>2182832281</v>
      </c>
      <c r="Y62" t="s">
        <v>1353</v>
      </c>
      <c r="Z62" t="s">
        <v>3384</v>
      </c>
      <c r="AB62" t="s">
        <v>1630</v>
      </c>
      <c r="AC62" t="s">
        <v>386</v>
      </c>
      <c r="AD62">
        <v>56649</v>
      </c>
      <c r="AE62">
        <v>2154</v>
      </c>
      <c r="AF62" t="s">
        <v>1631</v>
      </c>
      <c r="AG62" t="s">
        <v>1825</v>
      </c>
      <c r="AH62" t="s">
        <v>402</v>
      </c>
      <c r="AJ62">
        <v>1</v>
      </c>
      <c r="AK62" t="s">
        <v>2869</v>
      </c>
      <c r="AL62" t="s">
        <v>1628</v>
      </c>
      <c r="AM62" t="s">
        <v>1629</v>
      </c>
      <c r="AN62" t="s">
        <v>392</v>
      </c>
      <c r="AO62">
        <v>2182835431</v>
      </c>
      <c r="AP62" t="s">
        <v>3178</v>
      </c>
      <c r="AQ62">
        <v>2182832281</v>
      </c>
      <c r="AR62" t="s">
        <v>1354</v>
      </c>
      <c r="AS62" t="s">
        <v>3384</v>
      </c>
      <c r="AU62" t="s">
        <v>1630</v>
      </c>
      <c r="AV62" t="s">
        <v>386</v>
      </c>
      <c r="AW62">
        <v>56649</v>
      </c>
      <c r="AX62">
        <v>2154</v>
      </c>
      <c r="BL62" t="s">
        <v>1533</v>
      </c>
      <c r="BM62" t="s">
        <v>1547</v>
      </c>
      <c r="BN62" t="s">
        <v>1229</v>
      </c>
      <c r="BO62">
        <v>2182835475</v>
      </c>
      <c r="BP62" t="s">
        <v>3178</v>
      </c>
      <c r="BQ62">
        <v>2182832281</v>
      </c>
      <c r="BR62" t="s">
        <v>1353</v>
      </c>
      <c r="BS62" t="s">
        <v>3384</v>
      </c>
      <c r="BU62" t="s">
        <v>1630</v>
      </c>
      <c r="BV62" t="s">
        <v>386</v>
      </c>
      <c r="BW62">
        <v>56649</v>
      </c>
      <c r="BX62">
        <v>2154</v>
      </c>
    </row>
    <row r="63" spans="1:76" customFormat="1" x14ac:dyDescent="0.25">
      <c r="A63" s="496">
        <v>65</v>
      </c>
      <c r="B63">
        <v>1326069097</v>
      </c>
      <c r="C63" t="s">
        <v>1826</v>
      </c>
      <c r="D63" t="s">
        <v>1633</v>
      </c>
      <c r="E63" t="s">
        <v>3385</v>
      </c>
      <c r="H63" t="s">
        <v>1633</v>
      </c>
      <c r="I63" t="s">
        <v>386</v>
      </c>
      <c r="J63">
        <v>56143</v>
      </c>
      <c r="K63">
        <v>1093</v>
      </c>
      <c r="L63">
        <v>5078472420</v>
      </c>
      <c r="M63">
        <v>5078473728</v>
      </c>
      <c r="N63" t="s">
        <v>1634</v>
      </c>
      <c r="O63" t="s">
        <v>1635</v>
      </c>
      <c r="P63" t="s">
        <v>397</v>
      </c>
      <c r="Q63" t="s">
        <v>2050</v>
      </c>
      <c r="R63" t="s">
        <v>1636</v>
      </c>
      <c r="S63" t="s">
        <v>1557</v>
      </c>
      <c r="T63" t="s">
        <v>2799</v>
      </c>
      <c r="U63" t="s">
        <v>2156</v>
      </c>
      <c r="V63">
        <v>6123764528</v>
      </c>
      <c r="W63" t="s">
        <v>3178</v>
      </c>
      <c r="X63">
        <v>6123764850</v>
      </c>
      <c r="Y63" t="s">
        <v>2800</v>
      </c>
      <c r="Z63" t="s">
        <v>3214</v>
      </c>
      <c r="AB63" t="s">
        <v>131</v>
      </c>
      <c r="AC63" t="s">
        <v>386</v>
      </c>
      <c r="AD63">
        <v>55402</v>
      </c>
      <c r="AF63" t="s">
        <v>132</v>
      </c>
      <c r="AG63" t="s">
        <v>2051</v>
      </c>
      <c r="AH63" t="s">
        <v>1505</v>
      </c>
      <c r="AI63" t="s">
        <v>1077</v>
      </c>
      <c r="AJ63" s="494">
        <v>1</v>
      </c>
      <c r="AK63" t="s">
        <v>2052</v>
      </c>
      <c r="AL63" t="s">
        <v>1355</v>
      </c>
      <c r="AM63" t="s">
        <v>1356</v>
      </c>
      <c r="AN63" t="s">
        <v>3386</v>
      </c>
      <c r="AO63">
        <v>5078472420</v>
      </c>
      <c r="AP63" t="s">
        <v>3178</v>
      </c>
      <c r="AQ63">
        <v>5078473728</v>
      </c>
      <c r="AR63" t="s">
        <v>2053</v>
      </c>
      <c r="AV63" t="s">
        <v>386</v>
      </c>
      <c r="BL63" t="s">
        <v>1355</v>
      </c>
      <c r="BM63" t="s">
        <v>1356</v>
      </c>
      <c r="BN63" t="s">
        <v>3386</v>
      </c>
      <c r="BO63">
        <v>5078472420</v>
      </c>
      <c r="BP63" t="s">
        <v>3178</v>
      </c>
      <c r="BQ63">
        <v>5078473728</v>
      </c>
      <c r="BR63" t="s">
        <v>2053</v>
      </c>
      <c r="BV63" t="s">
        <v>386</v>
      </c>
    </row>
    <row r="64" spans="1:76" customFormat="1" x14ac:dyDescent="0.25">
      <c r="A64" s="496">
        <v>70</v>
      </c>
      <c r="B64">
        <v>1538113022</v>
      </c>
      <c r="C64" t="s">
        <v>2060</v>
      </c>
      <c r="D64" t="s">
        <v>546</v>
      </c>
      <c r="E64" t="s">
        <v>3387</v>
      </c>
      <c r="H64" t="s">
        <v>157</v>
      </c>
      <c r="I64" t="s">
        <v>386</v>
      </c>
      <c r="J64">
        <v>55041</v>
      </c>
      <c r="K64">
        <v>1143</v>
      </c>
      <c r="L64">
        <v>6513453321</v>
      </c>
      <c r="M64">
        <v>6513451182</v>
      </c>
      <c r="N64" t="s">
        <v>3388</v>
      </c>
      <c r="O64" t="s">
        <v>3389</v>
      </c>
      <c r="P64" t="s">
        <v>3390</v>
      </c>
      <c r="Q64" t="s">
        <v>3391</v>
      </c>
      <c r="R64" t="s">
        <v>1835</v>
      </c>
      <c r="S64" t="s">
        <v>1498</v>
      </c>
      <c r="T64" t="s">
        <v>1450</v>
      </c>
      <c r="U64" t="s">
        <v>1451</v>
      </c>
      <c r="V64">
        <v>5072664851</v>
      </c>
      <c r="W64" t="s">
        <v>3178</v>
      </c>
      <c r="X64">
        <v>5072840986</v>
      </c>
      <c r="Y64" t="s">
        <v>1452</v>
      </c>
      <c r="Z64" t="s">
        <v>3267</v>
      </c>
      <c r="AB64" t="s">
        <v>1065</v>
      </c>
      <c r="AC64" t="s">
        <v>386</v>
      </c>
      <c r="AD64">
        <v>55905</v>
      </c>
      <c r="AE64" t="s">
        <v>2353</v>
      </c>
      <c r="AF64" t="s">
        <v>1009</v>
      </c>
      <c r="AG64" t="s">
        <v>2061</v>
      </c>
      <c r="AH64" t="s">
        <v>1087</v>
      </c>
      <c r="AI64" t="s">
        <v>1077</v>
      </c>
      <c r="AJ64">
        <v>1</v>
      </c>
      <c r="AK64" t="s">
        <v>2062</v>
      </c>
    </row>
    <row r="65" spans="1:76" customFormat="1" x14ac:dyDescent="0.25">
      <c r="A65" s="496">
        <v>92</v>
      </c>
      <c r="B65">
        <v>1730248907</v>
      </c>
      <c r="C65" t="s">
        <v>548</v>
      </c>
      <c r="D65" t="s">
        <v>549</v>
      </c>
      <c r="E65" t="s">
        <v>2870</v>
      </c>
      <c r="H65" t="s">
        <v>549</v>
      </c>
      <c r="I65" t="s">
        <v>386</v>
      </c>
      <c r="J65">
        <v>56058</v>
      </c>
      <c r="K65">
        <v>2298</v>
      </c>
      <c r="L65">
        <v>5076653375</v>
      </c>
      <c r="M65">
        <v>5076652191</v>
      </c>
      <c r="N65" t="s">
        <v>1559</v>
      </c>
      <c r="O65" t="s">
        <v>1306</v>
      </c>
      <c r="P65" t="s">
        <v>397</v>
      </c>
      <c r="Q65" t="s">
        <v>2084</v>
      </c>
      <c r="R65" t="s">
        <v>550</v>
      </c>
      <c r="S65" t="s">
        <v>488</v>
      </c>
      <c r="T65" t="s">
        <v>551</v>
      </c>
      <c r="U65" t="s">
        <v>392</v>
      </c>
      <c r="V65">
        <v>5076658683</v>
      </c>
      <c r="W65" t="s">
        <v>3178</v>
      </c>
      <c r="X65">
        <v>5076652191</v>
      </c>
      <c r="Y65" t="s">
        <v>552</v>
      </c>
      <c r="Z65" t="s">
        <v>2871</v>
      </c>
      <c r="AB65" t="s">
        <v>553</v>
      </c>
      <c r="AC65" t="s">
        <v>386</v>
      </c>
      <c r="AD65">
        <v>56058</v>
      </c>
      <c r="AE65">
        <v>2298</v>
      </c>
      <c r="AG65" t="s">
        <v>554</v>
      </c>
      <c r="AH65" t="s">
        <v>3180</v>
      </c>
      <c r="AI65" t="s">
        <v>1077</v>
      </c>
      <c r="AJ65">
        <v>1</v>
      </c>
      <c r="AK65" t="s">
        <v>2435</v>
      </c>
      <c r="BL65" t="s">
        <v>488</v>
      </c>
      <c r="BM65" t="s">
        <v>551</v>
      </c>
      <c r="BN65" t="s">
        <v>392</v>
      </c>
      <c r="BO65">
        <v>5076658683</v>
      </c>
      <c r="BP65" t="s">
        <v>3178</v>
      </c>
      <c r="BQ65">
        <v>5076652191</v>
      </c>
      <c r="BR65" t="s">
        <v>552</v>
      </c>
      <c r="BS65" t="s">
        <v>2871</v>
      </c>
      <c r="BU65" t="s">
        <v>553</v>
      </c>
      <c r="BV65" t="s">
        <v>386</v>
      </c>
      <c r="BW65">
        <v>56058</v>
      </c>
      <c r="BX65">
        <v>2298</v>
      </c>
    </row>
    <row r="66" spans="1:76" customFormat="1" x14ac:dyDescent="0.25">
      <c r="A66" s="496">
        <v>80</v>
      </c>
      <c r="B66">
        <v>1598860215</v>
      </c>
      <c r="C66" t="s">
        <v>2077</v>
      </c>
      <c r="D66" t="s">
        <v>555</v>
      </c>
      <c r="E66" t="s">
        <v>3392</v>
      </c>
      <c r="H66" t="s">
        <v>556</v>
      </c>
      <c r="I66" t="s">
        <v>386</v>
      </c>
      <c r="J66">
        <v>55355</v>
      </c>
      <c r="K66">
        <v>3340</v>
      </c>
      <c r="L66">
        <v>3206933242</v>
      </c>
      <c r="M66">
        <v>3206934567</v>
      </c>
      <c r="N66" t="s">
        <v>1222</v>
      </c>
      <c r="O66" t="s">
        <v>1827</v>
      </c>
      <c r="P66" t="s">
        <v>397</v>
      </c>
      <c r="Q66" t="s">
        <v>1828</v>
      </c>
      <c r="R66" t="s">
        <v>1829</v>
      </c>
      <c r="S66" t="s">
        <v>661</v>
      </c>
      <c r="T66" t="s">
        <v>662</v>
      </c>
      <c r="U66" t="s">
        <v>663</v>
      </c>
      <c r="V66">
        <v>5075264428</v>
      </c>
      <c r="W66" t="s">
        <v>3178</v>
      </c>
      <c r="X66">
        <v>5075263326</v>
      </c>
      <c r="Y66" t="s">
        <v>3331</v>
      </c>
      <c r="Z66" t="s">
        <v>3332</v>
      </c>
      <c r="AB66" t="s">
        <v>1220</v>
      </c>
      <c r="AC66" t="s">
        <v>386</v>
      </c>
      <c r="AD66">
        <v>56013</v>
      </c>
      <c r="AF66" t="s">
        <v>1541</v>
      </c>
      <c r="AG66" t="s">
        <v>559</v>
      </c>
      <c r="AH66" t="s">
        <v>402</v>
      </c>
      <c r="AJ66">
        <v>1</v>
      </c>
      <c r="AK66" t="s">
        <v>560</v>
      </c>
      <c r="AL66" t="s">
        <v>1080</v>
      </c>
      <c r="AM66" t="s">
        <v>1830</v>
      </c>
      <c r="AN66" t="s">
        <v>392</v>
      </c>
      <c r="AO66">
        <v>3206934512</v>
      </c>
      <c r="AP66" t="s">
        <v>3178</v>
      </c>
      <c r="AQ66">
        <v>3206934567</v>
      </c>
      <c r="AR66" t="s">
        <v>1831</v>
      </c>
      <c r="AV66" t="s">
        <v>386</v>
      </c>
      <c r="BL66" t="s">
        <v>1080</v>
      </c>
      <c r="BM66" t="s">
        <v>1830</v>
      </c>
      <c r="BN66" t="s">
        <v>392</v>
      </c>
      <c r="BO66">
        <v>3206934512</v>
      </c>
      <c r="BP66" t="s">
        <v>3178</v>
      </c>
      <c r="BQ66">
        <v>3206934567</v>
      </c>
      <c r="BR66" t="s">
        <v>1831</v>
      </c>
      <c r="BV66" t="s">
        <v>386</v>
      </c>
    </row>
    <row r="67" spans="1:76" customFormat="1" x14ac:dyDescent="0.25">
      <c r="A67" s="496">
        <v>136</v>
      </c>
      <c r="B67">
        <v>1780630939</v>
      </c>
      <c r="C67" t="s">
        <v>561</v>
      </c>
      <c r="D67" t="s">
        <v>562</v>
      </c>
      <c r="E67" t="s">
        <v>2872</v>
      </c>
      <c r="H67" t="s">
        <v>563</v>
      </c>
      <c r="I67" t="s">
        <v>386</v>
      </c>
      <c r="J67">
        <v>56345</v>
      </c>
      <c r="K67">
        <v>3505</v>
      </c>
      <c r="L67">
        <v>3206325441</v>
      </c>
      <c r="M67">
        <v>3206315680</v>
      </c>
      <c r="N67" t="s">
        <v>197</v>
      </c>
      <c r="O67" t="s">
        <v>2873</v>
      </c>
      <c r="P67" t="s">
        <v>397</v>
      </c>
      <c r="Q67" t="s">
        <v>2874</v>
      </c>
      <c r="R67" t="s">
        <v>1954</v>
      </c>
      <c r="S67" t="s">
        <v>1475</v>
      </c>
      <c r="T67" t="s">
        <v>1476</v>
      </c>
      <c r="U67" t="s">
        <v>1115</v>
      </c>
      <c r="V67">
        <v>3206315674</v>
      </c>
      <c r="W67" t="s">
        <v>3178</v>
      </c>
      <c r="X67">
        <v>3206315681</v>
      </c>
      <c r="Y67" t="s">
        <v>1477</v>
      </c>
      <c r="Z67" t="s">
        <v>3189</v>
      </c>
      <c r="AB67" t="s">
        <v>562</v>
      </c>
      <c r="AC67" t="s">
        <v>386</v>
      </c>
      <c r="AD67">
        <v>56345</v>
      </c>
      <c r="AE67">
        <v>3596</v>
      </c>
      <c r="AG67" t="s">
        <v>2141</v>
      </c>
      <c r="AH67" t="s">
        <v>1076</v>
      </c>
      <c r="AI67" t="s">
        <v>1077</v>
      </c>
      <c r="AJ67">
        <v>1</v>
      </c>
      <c r="AK67" t="s">
        <v>2142</v>
      </c>
      <c r="BL67" t="s">
        <v>1475</v>
      </c>
      <c r="BM67" t="s">
        <v>1476</v>
      </c>
      <c r="BN67" t="s">
        <v>1115</v>
      </c>
      <c r="BO67">
        <v>3206315674</v>
      </c>
      <c r="BP67" t="s">
        <v>3178</v>
      </c>
      <c r="BQ67">
        <v>3206315681</v>
      </c>
      <c r="BR67" t="s">
        <v>1477</v>
      </c>
      <c r="BS67" t="s">
        <v>3189</v>
      </c>
      <c r="BU67" t="s">
        <v>562</v>
      </c>
      <c r="BV67" t="s">
        <v>386</v>
      </c>
      <c r="BW67">
        <v>56345</v>
      </c>
      <c r="BX67">
        <v>3596</v>
      </c>
    </row>
    <row r="68" spans="1:76" customFormat="1" x14ac:dyDescent="0.25">
      <c r="A68" s="496">
        <v>76</v>
      </c>
      <c r="B68">
        <v>1164471678</v>
      </c>
      <c r="C68" t="s">
        <v>2071</v>
      </c>
      <c r="D68" t="s">
        <v>565</v>
      </c>
      <c r="E68" t="s">
        <v>3393</v>
      </c>
      <c r="H68" t="s">
        <v>566</v>
      </c>
      <c r="I68" t="s">
        <v>386</v>
      </c>
      <c r="J68">
        <v>56347</v>
      </c>
      <c r="K68">
        <v>1404</v>
      </c>
      <c r="L68">
        <v>3207322141</v>
      </c>
      <c r="M68">
        <v>3207323802</v>
      </c>
      <c r="N68" t="s">
        <v>1717</v>
      </c>
      <c r="O68" t="s">
        <v>1105</v>
      </c>
      <c r="P68" t="s">
        <v>320</v>
      </c>
      <c r="Q68" t="s">
        <v>1832</v>
      </c>
      <c r="R68" t="s">
        <v>567</v>
      </c>
      <c r="S68" t="s">
        <v>321</v>
      </c>
      <c r="T68" t="s">
        <v>568</v>
      </c>
      <c r="U68" t="s">
        <v>501</v>
      </c>
      <c r="V68">
        <v>3207327240</v>
      </c>
      <c r="W68" t="s">
        <v>3178</v>
      </c>
      <c r="X68">
        <v>3207323802</v>
      </c>
      <c r="Y68" t="s">
        <v>569</v>
      </c>
      <c r="Z68" t="s">
        <v>3394</v>
      </c>
      <c r="AB68" t="s">
        <v>570</v>
      </c>
      <c r="AC68" t="s">
        <v>386</v>
      </c>
      <c r="AD68">
        <v>56347</v>
      </c>
      <c r="AE68" t="s">
        <v>1953</v>
      </c>
      <c r="AG68" t="s">
        <v>571</v>
      </c>
      <c r="AH68" t="s">
        <v>1548</v>
      </c>
      <c r="AI68" t="s">
        <v>1077</v>
      </c>
      <c r="AJ68">
        <v>1</v>
      </c>
      <c r="AK68" t="s">
        <v>572</v>
      </c>
      <c r="BL68" t="s">
        <v>321</v>
      </c>
      <c r="BM68" t="s">
        <v>568</v>
      </c>
      <c r="BN68" t="s">
        <v>501</v>
      </c>
      <c r="BO68">
        <v>3207327240</v>
      </c>
      <c r="BP68" t="s">
        <v>3178</v>
      </c>
      <c r="BQ68">
        <v>3207323802</v>
      </c>
      <c r="BR68" t="s">
        <v>569</v>
      </c>
      <c r="BS68" t="s">
        <v>3394</v>
      </c>
      <c r="BU68" t="s">
        <v>570</v>
      </c>
      <c r="BV68" t="s">
        <v>386</v>
      </c>
      <c r="BW68">
        <v>56347</v>
      </c>
      <c r="BX68" t="s">
        <v>1953</v>
      </c>
    </row>
    <row r="69" spans="1:76" customFormat="1" x14ac:dyDescent="0.25">
      <c r="A69" s="496">
        <v>21</v>
      </c>
      <c r="B69">
        <v>1497703045</v>
      </c>
      <c r="C69" t="s">
        <v>1551</v>
      </c>
      <c r="D69" t="s">
        <v>573</v>
      </c>
      <c r="E69" t="s">
        <v>3395</v>
      </c>
      <c r="H69" t="s">
        <v>574</v>
      </c>
      <c r="I69" t="s">
        <v>386</v>
      </c>
      <c r="J69">
        <v>56156</v>
      </c>
      <c r="K69">
        <v>1067</v>
      </c>
      <c r="L69">
        <v>5072832321</v>
      </c>
      <c r="M69">
        <v>5072832091</v>
      </c>
      <c r="N69" t="s">
        <v>1977</v>
      </c>
      <c r="O69" t="s">
        <v>1978</v>
      </c>
      <c r="P69" t="s">
        <v>1217</v>
      </c>
      <c r="Q69" t="s">
        <v>1979</v>
      </c>
      <c r="R69" t="s">
        <v>1833</v>
      </c>
      <c r="S69" t="s">
        <v>1557</v>
      </c>
      <c r="T69" t="s">
        <v>2799</v>
      </c>
      <c r="U69" t="s">
        <v>2156</v>
      </c>
      <c r="V69">
        <v>6123764528</v>
      </c>
      <c r="W69" t="s">
        <v>3178</v>
      </c>
      <c r="X69">
        <v>6123764850</v>
      </c>
      <c r="Y69" t="s">
        <v>2800</v>
      </c>
      <c r="Z69" t="s">
        <v>3214</v>
      </c>
      <c r="AB69" t="s">
        <v>131</v>
      </c>
      <c r="AC69" t="s">
        <v>386</v>
      </c>
      <c r="AD69">
        <v>55402</v>
      </c>
      <c r="AF69" t="s">
        <v>132</v>
      </c>
      <c r="AG69" t="s">
        <v>1980</v>
      </c>
      <c r="AH69" t="s">
        <v>1505</v>
      </c>
      <c r="AI69" t="s">
        <v>1077</v>
      </c>
      <c r="AJ69" s="494">
        <v>1</v>
      </c>
      <c r="AK69" t="s">
        <v>1981</v>
      </c>
      <c r="AL69" t="s">
        <v>1357</v>
      </c>
      <c r="AM69" t="s">
        <v>1358</v>
      </c>
      <c r="AN69" t="s">
        <v>392</v>
      </c>
      <c r="AO69">
        <v>5074491252</v>
      </c>
      <c r="AP69" t="s">
        <v>3178</v>
      </c>
      <c r="AQ69">
        <v>5072832091</v>
      </c>
      <c r="AR69" t="s">
        <v>1866</v>
      </c>
      <c r="AV69" t="s">
        <v>386</v>
      </c>
      <c r="BL69" t="s">
        <v>1357</v>
      </c>
      <c r="BM69" t="s">
        <v>1358</v>
      </c>
      <c r="BN69" t="s">
        <v>392</v>
      </c>
      <c r="BO69">
        <v>5074491252</v>
      </c>
      <c r="BP69" t="s">
        <v>3178</v>
      </c>
      <c r="BQ69">
        <v>5072832091</v>
      </c>
      <c r="BR69" t="s">
        <v>1866</v>
      </c>
      <c r="BV69" t="s">
        <v>386</v>
      </c>
    </row>
    <row r="70" spans="1:76" customFormat="1" x14ac:dyDescent="0.25">
      <c r="A70" s="496">
        <v>77</v>
      </c>
      <c r="B70">
        <v>1912999137</v>
      </c>
      <c r="C70" t="s">
        <v>2875</v>
      </c>
      <c r="D70" t="s">
        <v>575</v>
      </c>
      <c r="E70" t="s">
        <v>3396</v>
      </c>
      <c r="H70" t="s">
        <v>576</v>
      </c>
      <c r="I70" t="s">
        <v>386</v>
      </c>
      <c r="J70">
        <v>56062</v>
      </c>
      <c r="K70">
        <v>1841</v>
      </c>
      <c r="L70">
        <v>5076423255</v>
      </c>
      <c r="M70">
        <v>5016428516</v>
      </c>
      <c r="N70" t="s">
        <v>577</v>
      </c>
      <c r="O70" t="s">
        <v>578</v>
      </c>
      <c r="P70" t="s">
        <v>320</v>
      </c>
      <c r="Q70" t="s">
        <v>579</v>
      </c>
      <c r="R70" t="s">
        <v>580</v>
      </c>
      <c r="S70" t="s">
        <v>1717</v>
      </c>
      <c r="T70" t="s">
        <v>2360</v>
      </c>
      <c r="U70" t="s">
        <v>2361</v>
      </c>
      <c r="V70">
        <v>5074347055</v>
      </c>
      <c r="W70" t="s">
        <v>3178</v>
      </c>
      <c r="X70">
        <v>5074378997</v>
      </c>
      <c r="Y70" t="s">
        <v>2362</v>
      </c>
      <c r="Z70" t="s">
        <v>3219</v>
      </c>
      <c r="AB70" t="s">
        <v>1116</v>
      </c>
      <c r="AC70" t="s">
        <v>386</v>
      </c>
      <c r="AD70">
        <v>55912</v>
      </c>
      <c r="AF70" t="s">
        <v>1117</v>
      </c>
      <c r="AG70" t="s">
        <v>581</v>
      </c>
      <c r="AH70" t="s">
        <v>402</v>
      </c>
      <c r="AJ70">
        <v>1</v>
      </c>
      <c r="AK70" t="s">
        <v>2436</v>
      </c>
      <c r="BL70" t="s">
        <v>1359</v>
      </c>
      <c r="BM70" t="s">
        <v>1360</v>
      </c>
      <c r="BN70" t="s">
        <v>392</v>
      </c>
      <c r="BO70">
        <v>5706423255</v>
      </c>
      <c r="BP70" t="s">
        <v>3178</v>
      </c>
      <c r="BQ70">
        <v>5076428516</v>
      </c>
      <c r="BR70" t="s">
        <v>1361</v>
      </c>
      <c r="BV70" t="s">
        <v>386</v>
      </c>
    </row>
    <row r="71" spans="1:76" customFormat="1" x14ac:dyDescent="0.25">
      <c r="A71" s="496">
        <v>78</v>
      </c>
      <c r="B71">
        <v>1942246848</v>
      </c>
      <c r="C71" t="s">
        <v>582</v>
      </c>
      <c r="D71" t="s">
        <v>583</v>
      </c>
      <c r="E71" t="s">
        <v>3397</v>
      </c>
      <c r="H71" t="s">
        <v>195</v>
      </c>
      <c r="I71" t="s">
        <v>386</v>
      </c>
      <c r="J71">
        <v>56256</v>
      </c>
      <c r="K71">
        <v>1006</v>
      </c>
      <c r="L71">
        <v>3205987551</v>
      </c>
      <c r="M71">
        <v>3205983923</v>
      </c>
      <c r="N71" t="s">
        <v>3398</v>
      </c>
      <c r="O71" t="s">
        <v>3399</v>
      </c>
      <c r="P71" t="s">
        <v>397</v>
      </c>
      <c r="Q71" t="s">
        <v>3400</v>
      </c>
      <c r="R71" t="s">
        <v>2072</v>
      </c>
      <c r="S71" t="s">
        <v>1552</v>
      </c>
      <c r="T71" t="s">
        <v>1834</v>
      </c>
      <c r="U71" t="s">
        <v>392</v>
      </c>
      <c r="V71">
        <v>3205987536</v>
      </c>
      <c r="W71" t="s">
        <v>3178</v>
      </c>
      <c r="X71">
        <v>3205983923</v>
      </c>
      <c r="Y71" t="s">
        <v>2073</v>
      </c>
      <c r="Z71" t="s">
        <v>3401</v>
      </c>
      <c r="AB71" t="s">
        <v>585</v>
      </c>
      <c r="AC71" t="s">
        <v>386</v>
      </c>
      <c r="AD71">
        <v>56256</v>
      </c>
      <c r="AE71">
        <v>1006</v>
      </c>
      <c r="AF71" t="s">
        <v>1553</v>
      </c>
      <c r="AG71" t="s">
        <v>2074</v>
      </c>
      <c r="AH71" t="s">
        <v>402</v>
      </c>
      <c r="AJ71">
        <v>1</v>
      </c>
      <c r="AK71" t="s">
        <v>2437</v>
      </c>
      <c r="AL71" t="s">
        <v>3398</v>
      </c>
      <c r="AM71" t="s">
        <v>3399</v>
      </c>
      <c r="AN71" t="s">
        <v>397</v>
      </c>
      <c r="AO71">
        <v>3205987536</v>
      </c>
      <c r="AP71" t="s">
        <v>3178</v>
      </c>
      <c r="AQ71">
        <v>3205983923</v>
      </c>
      <c r="AR71" t="s">
        <v>3400</v>
      </c>
      <c r="AS71" t="s">
        <v>3402</v>
      </c>
      <c r="AU71" t="s">
        <v>585</v>
      </c>
      <c r="AV71" t="s">
        <v>386</v>
      </c>
      <c r="AW71">
        <v>56256</v>
      </c>
      <c r="AX71">
        <v>1006</v>
      </c>
      <c r="BL71" t="s">
        <v>1552</v>
      </c>
      <c r="BM71" t="s">
        <v>1834</v>
      </c>
      <c r="BN71" t="s">
        <v>392</v>
      </c>
      <c r="BO71">
        <v>3205987536</v>
      </c>
      <c r="BP71" t="s">
        <v>3178</v>
      </c>
      <c r="BQ71">
        <v>3205983923</v>
      </c>
      <c r="BR71" t="s">
        <v>2073</v>
      </c>
      <c r="BS71" t="s">
        <v>3401</v>
      </c>
      <c r="BU71" t="s">
        <v>585</v>
      </c>
      <c r="BV71" t="s">
        <v>386</v>
      </c>
      <c r="BW71">
        <v>56256</v>
      </c>
      <c r="BX71">
        <v>1006</v>
      </c>
    </row>
    <row r="72" spans="1:76" customFormat="1" x14ac:dyDescent="0.25">
      <c r="A72" s="496">
        <v>79</v>
      </c>
      <c r="B72">
        <v>1942233234</v>
      </c>
      <c r="C72" t="s">
        <v>586</v>
      </c>
      <c r="D72" t="s">
        <v>587</v>
      </c>
      <c r="E72" t="s">
        <v>3403</v>
      </c>
      <c r="H72" t="s">
        <v>587</v>
      </c>
      <c r="I72" t="s">
        <v>386</v>
      </c>
      <c r="J72">
        <v>56557</v>
      </c>
      <c r="K72">
        <v>4912</v>
      </c>
      <c r="L72">
        <v>2189352511</v>
      </c>
      <c r="M72">
        <v>2189352370</v>
      </c>
      <c r="N72" t="s">
        <v>1779</v>
      </c>
      <c r="O72" t="s">
        <v>1780</v>
      </c>
      <c r="P72" t="s">
        <v>320</v>
      </c>
      <c r="Q72" t="s">
        <v>3404</v>
      </c>
      <c r="R72" t="s">
        <v>3405</v>
      </c>
      <c r="S72" t="s">
        <v>2978</v>
      </c>
      <c r="T72" t="s">
        <v>2979</v>
      </c>
      <c r="U72" t="s">
        <v>2361</v>
      </c>
      <c r="V72">
        <v>6123764549</v>
      </c>
      <c r="W72" t="s">
        <v>3178</v>
      </c>
      <c r="X72">
        <v>6123764850</v>
      </c>
      <c r="Y72" t="s">
        <v>2980</v>
      </c>
      <c r="Z72" t="s">
        <v>3406</v>
      </c>
      <c r="AB72" t="s">
        <v>131</v>
      </c>
      <c r="AC72" t="s">
        <v>386</v>
      </c>
      <c r="AD72">
        <v>55402</v>
      </c>
      <c r="AF72" t="s">
        <v>132</v>
      </c>
      <c r="AG72" t="s">
        <v>406</v>
      </c>
      <c r="AH72" t="s">
        <v>1505</v>
      </c>
      <c r="AI72" t="s">
        <v>1206</v>
      </c>
      <c r="AJ72">
        <v>1</v>
      </c>
      <c r="AK72" t="s">
        <v>2075</v>
      </c>
      <c r="AL72" t="s">
        <v>1779</v>
      </c>
      <c r="AM72" t="s">
        <v>1780</v>
      </c>
      <c r="AN72" t="s">
        <v>397</v>
      </c>
      <c r="AO72" t="s">
        <v>3178</v>
      </c>
      <c r="AP72" t="s">
        <v>3178</v>
      </c>
      <c r="AQ72" t="s">
        <v>3178</v>
      </c>
      <c r="AR72" t="s">
        <v>3407</v>
      </c>
      <c r="AS72" t="s">
        <v>3408</v>
      </c>
      <c r="AU72" t="s">
        <v>2076</v>
      </c>
      <c r="AV72" t="s">
        <v>386</v>
      </c>
      <c r="AW72">
        <v>56557</v>
      </c>
      <c r="AX72">
        <v>4912</v>
      </c>
      <c r="AY72" t="s">
        <v>1097</v>
      </c>
      <c r="AZ72" t="s">
        <v>3409</v>
      </c>
      <c r="BA72" t="s">
        <v>392</v>
      </c>
      <c r="BB72" t="s">
        <v>3178</v>
      </c>
      <c r="BC72" t="s">
        <v>3178</v>
      </c>
      <c r="BD72" t="s">
        <v>3178</v>
      </c>
      <c r="BE72" t="s">
        <v>3410</v>
      </c>
      <c r="BF72" t="s">
        <v>3408</v>
      </c>
      <c r="BH72" t="s">
        <v>2076</v>
      </c>
      <c r="BI72" t="s">
        <v>386</v>
      </c>
      <c r="BJ72">
        <v>56557</v>
      </c>
      <c r="BK72">
        <v>4912</v>
      </c>
    </row>
    <row r="73" spans="1:76" customFormat="1" x14ac:dyDescent="0.25">
      <c r="A73" s="496">
        <v>63</v>
      </c>
      <c r="B73">
        <v>1154302487</v>
      </c>
      <c r="C73" t="s">
        <v>2040</v>
      </c>
      <c r="D73" t="s">
        <v>407</v>
      </c>
      <c r="E73" t="s">
        <v>3411</v>
      </c>
      <c r="H73" t="s">
        <v>1215</v>
      </c>
      <c r="I73" t="s">
        <v>386</v>
      </c>
      <c r="J73">
        <v>56001</v>
      </c>
      <c r="L73">
        <v>5076254031</v>
      </c>
      <c r="M73">
        <v>5073452926</v>
      </c>
      <c r="N73" t="s">
        <v>408</v>
      </c>
      <c r="O73" t="s">
        <v>2041</v>
      </c>
      <c r="P73" t="s">
        <v>1194</v>
      </c>
      <c r="Q73" t="s">
        <v>2042</v>
      </c>
      <c r="R73" t="s">
        <v>2043</v>
      </c>
      <c r="S73" t="s">
        <v>2044</v>
      </c>
      <c r="T73" t="s">
        <v>2045</v>
      </c>
      <c r="U73" t="s">
        <v>2876</v>
      </c>
      <c r="V73">
        <v>5073047197</v>
      </c>
      <c r="W73" t="s">
        <v>3178</v>
      </c>
      <c r="X73">
        <v>5073854874</v>
      </c>
      <c r="Y73" t="s">
        <v>2046</v>
      </c>
      <c r="Z73" t="s">
        <v>3048</v>
      </c>
      <c r="AA73" t="s">
        <v>410</v>
      </c>
      <c r="AB73" t="s">
        <v>2008</v>
      </c>
      <c r="AC73" t="s">
        <v>386</v>
      </c>
      <c r="AD73">
        <v>56001</v>
      </c>
      <c r="AF73" t="s">
        <v>1220</v>
      </c>
      <c r="AG73" t="s">
        <v>1118</v>
      </c>
      <c r="AH73" t="s">
        <v>1087</v>
      </c>
      <c r="AI73" t="s">
        <v>1077</v>
      </c>
      <c r="AJ73">
        <v>0</v>
      </c>
      <c r="AK73" t="s">
        <v>2877</v>
      </c>
      <c r="AL73" t="s">
        <v>390</v>
      </c>
      <c r="AM73" t="s">
        <v>411</v>
      </c>
      <c r="AN73" t="s">
        <v>2846</v>
      </c>
      <c r="AO73">
        <v>5073852680</v>
      </c>
      <c r="AP73" t="s">
        <v>3178</v>
      </c>
      <c r="AQ73">
        <v>5073854874</v>
      </c>
      <c r="AR73" t="s">
        <v>1362</v>
      </c>
      <c r="AS73" t="s">
        <v>3048</v>
      </c>
      <c r="AT73" t="s">
        <v>410</v>
      </c>
      <c r="AU73" t="s">
        <v>2008</v>
      </c>
      <c r="AV73" t="s">
        <v>386</v>
      </c>
      <c r="AW73">
        <v>56002</v>
      </c>
      <c r="AX73">
        <v>8673</v>
      </c>
      <c r="BL73" t="s">
        <v>390</v>
      </c>
      <c r="BM73" t="s">
        <v>411</v>
      </c>
      <c r="BN73" t="s">
        <v>2846</v>
      </c>
      <c r="BO73">
        <v>5073852680</v>
      </c>
      <c r="BP73" t="s">
        <v>3178</v>
      </c>
      <c r="BQ73">
        <v>5073854874</v>
      </c>
      <c r="BR73" t="s">
        <v>1362</v>
      </c>
      <c r="BS73" t="s">
        <v>3048</v>
      </c>
      <c r="BT73" t="s">
        <v>410</v>
      </c>
      <c r="BU73" t="s">
        <v>2008</v>
      </c>
      <c r="BV73" t="s">
        <v>386</v>
      </c>
      <c r="BW73">
        <v>56002</v>
      </c>
      <c r="BX73">
        <v>8673</v>
      </c>
    </row>
    <row r="74" spans="1:76" customFormat="1" x14ac:dyDescent="0.25">
      <c r="A74" s="496">
        <v>191</v>
      </c>
      <c r="B74">
        <v>1225272552</v>
      </c>
      <c r="C74" t="s">
        <v>2184</v>
      </c>
      <c r="D74" t="s">
        <v>2185</v>
      </c>
      <c r="E74" t="s">
        <v>3412</v>
      </c>
      <c r="H74" t="s">
        <v>143</v>
      </c>
      <c r="I74" t="s">
        <v>386</v>
      </c>
      <c r="J74">
        <v>55369</v>
      </c>
      <c r="L74">
        <v>7635811000</v>
      </c>
      <c r="M74">
        <v>7635811555</v>
      </c>
      <c r="N74" t="s">
        <v>2878</v>
      </c>
      <c r="O74" t="s">
        <v>2879</v>
      </c>
      <c r="P74" t="s">
        <v>1217</v>
      </c>
      <c r="Q74" t="s">
        <v>2880</v>
      </c>
      <c r="R74" t="s">
        <v>3413</v>
      </c>
      <c r="S74" t="s">
        <v>1549</v>
      </c>
      <c r="T74" t="s">
        <v>2097</v>
      </c>
      <c r="U74" t="s">
        <v>2101</v>
      </c>
      <c r="V74">
        <v>9524576042</v>
      </c>
      <c r="W74" t="s">
        <v>3178</v>
      </c>
      <c r="X74">
        <v>3203104397</v>
      </c>
      <c r="Y74" t="s">
        <v>2881</v>
      </c>
      <c r="Z74" t="s">
        <v>3414</v>
      </c>
      <c r="AB74" t="s">
        <v>2882</v>
      </c>
      <c r="AC74" t="s">
        <v>386</v>
      </c>
      <c r="AD74">
        <v>55376</v>
      </c>
      <c r="AG74" t="s">
        <v>2186</v>
      </c>
      <c r="AH74" t="s">
        <v>1059</v>
      </c>
      <c r="AI74" t="s">
        <v>1077</v>
      </c>
      <c r="AJ74">
        <v>0</v>
      </c>
      <c r="AK74" t="s">
        <v>2187</v>
      </c>
      <c r="AL74" t="s">
        <v>1557</v>
      </c>
      <c r="AM74" t="s">
        <v>2146</v>
      </c>
      <c r="AN74" t="s">
        <v>1099</v>
      </c>
      <c r="AO74">
        <v>7635814635</v>
      </c>
      <c r="AP74" t="s">
        <v>3178</v>
      </c>
      <c r="AQ74">
        <v>7635814561</v>
      </c>
      <c r="AR74" t="s">
        <v>2883</v>
      </c>
      <c r="AS74" t="s">
        <v>3415</v>
      </c>
      <c r="AU74" t="s">
        <v>1058</v>
      </c>
      <c r="AV74" t="s">
        <v>386</v>
      </c>
      <c r="AW74">
        <v>55422</v>
      </c>
      <c r="AX74" t="s">
        <v>1963</v>
      </c>
      <c r="BL74" t="s">
        <v>1549</v>
      </c>
      <c r="BM74" t="s">
        <v>2097</v>
      </c>
      <c r="BN74" t="s">
        <v>2101</v>
      </c>
      <c r="BO74">
        <v>9524576042</v>
      </c>
      <c r="BP74" t="s">
        <v>3178</v>
      </c>
      <c r="BQ74">
        <v>3203104397</v>
      </c>
      <c r="BR74" t="s">
        <v>2881</v>
      </c>
      <c r="BS74" t="s">
        <v>3414</v>
      </c>
      <c r="BU74" t="s">
        <v>2882</v>
      </c>
      <c r="BV74" t="s">
        <v>386</v>
      </c>
      <c r="BW74">
        <v>55376</v>
      </c>
    </row>
    <row r="75" spans="1:76" customFormat="1" x14ac:dyDescent="0.25">
      <c r="A75" s="496">
        <v>257</v>
      </c>
      <c r="B75">
        <v>1215182928</v>
      </c>
      <c r="C75" t="s">
        <v>2210</v>
      </c>
      <c r="D75" t="s">
        <v>2185</v>
      </c>
      <c r="E75" t="s">
        <v>3416</v>
      </c>
      <c r="H75" t="s">
        <v>143</v>
      </c>
      <c r="I75" t="s">
        <v>386</v>
      </c>
      <c r="J75">
        <v>55369</v>
      </c>
      <c r="L75">
        <v>7633835800</v>
      </c>
      <c r="M75">
        <v>7633835801</v>
      </c>
      <c r="N75" t="s">
        <v>1587</v>
      </c>
      <c r="O75" t="s">
        <v>3244</v>
      </c>
      <c r="P75" t="s">
        <v>397</v>
      </c>
      <c r="Q75" t="s">
        <v>3245</v>
      </c>
      <c r="R75" t="s">
        <v>3246</v>
      </c>
      <c r="S75" t="s">
        <v>224</v>
      </c>
      <c r="T75" t="s">
        <v>3247</v>
      </c>
      <c r="U75" t="s">
        <v>392</v>
      </c>
      <c r="V75">
        <v>7637626809</v>
      </c>
      <c r="W75" t="s">
        <v>3178</v>
      </c>
      <c r="X75">
        <v>7633154669</v>
      </c>
      <c r="Y75" t="s">
        <v>3248</v>
      </c>
      <c r="Z75" t="s">
        <v>3249</v>
      </c>
      <c r="AB75" t="s">
        <v>3250</v>
      </c>
      <c r="AC75" t="s">
        <v>386</v>
      </c>
      <c r="AD75">
        <v>55443</v>
      </c>
      <c r="AF75" t="s">
        <v>132</v>
      </c>
      <c r="AG75" t="s">
        <v>3251</v>
      </c>
      <c r="AH75" t="s">
        <v>402</v>
      </c>
      <c r="AJ75">
        <v>0</v>
      </c>
      <c r="AK75" t="s">
        <v>3252</v>
      </c>
      <c r="BL75" t="s">
        <v>224</v>
      </c>
      <c r="BM75" t="s">
        <v>3247</v>
      </c>
      <c r="BN75" t="s">
        <v>392</v>
      </c>
      <c r="BO75">
        <v>7637626809</v>
      </c>
      <c r="BP75" t="s">
        <v>3178</v>
      </c>
      <c r="BQ75">
        <v>7633154669</v>
      </c>
      <c r="BR75" t="s">
        <v>3248</v>
      </c>
      <c r="BS75" t="s">
        <v>3249</v>
      </c>
      <c r="BU75" t="s">
        <v>3250</v>
      </c>
      <c r="BV75" t="s">
        <v>386</v>
      </c>
      <c r="BW75">
        <v>55443</v>
      </c>
    </row>
    <row r="76" spans="1:76" customFormat="1" x14ac:dyDescent="0.25">
      <c r="A76" s="496">
        <v>180</v>
      </c>
      <c r="B76">
        <v>1447218482</v>
      </c>
      <c r="C76" t="s">
        <v>412</v>
      </c>
      <c r="D76" t="s">
        <v>413</v>
      </c>
      <c r="E76" t="s">
        <v>3417</v>
      </c>
      <c r="H76" t="s">
        <v>1187</v>
      </c>
      <c r="I76" t="s">
        <v>386</v>
      </c>
      <c r="J76">
        <v>55109</v>
      </c>
      <c r="K76">
        <v>1126</v>
      </c>
      <c r="L76">
        <v>6512327000</v>
      </c>
      <c r="M76">
        <v>6512323601</v>
      </c>
      <c r="N76" t="s">
        <v>1014</v>
      </c>
      <c r="O76" t="s">
        <v>1582</v>
      </c>
      <c r="P76" t="s">
        <v>3418</v>
      </c>
      <c r="Q76" t="s">
        <v>1583</v>
      </c>
      <c r="R76" t="s">
        <v>2439</v>
      </c>
      <c r="S76" t="s">
        <v>1497</v>
      </c>
      <c r="T76" t="s">
        <v>1554</v>
      </c>
      <c r="U76" t="s">
        <v>154</v>
      </c>
      <c r="V76">
        <v>6512322913</v>
      </c>
      <c r="W76" t="s">
        <v>3178</v>
      </c>
      <c r="X76">
        <v>6512326444</v>
      </c>
      <c r="Y76" t="s">
        <v>1555</v>
      </c>
      <c r="Z76" t="s">
        <v>3419</v>
      </c>
      <c r="AB76" t="s">
        <v>1100</v>
      </c>
      <c r="AC76" t="s">
        <v>386</v>
      </c>
      <c r="AD76">
        <v>55104</v>
      </c>
      <c r="AE76" t="s">
        <v>2353</v>
      </c>
      <c r="AF76" t="s">
        <v>1187</v>
      </c>
      <c r="AG76" t="s">
        <v>415</v>
      </c>
      <c r="AH76" t="s">
        <v>416</v>
      </c>
      <c r="AI76" t="s">
        <v>1077</v>
      </c>
      <c r="AJ76">
        <v>0</v>
      </c>
      <c r="AK76" t="s">
        <v>1363</v>
      </c>
      <c r="BL76" t="s">
        <v>2884</v>
      </c>
      <c r="BM76" t="s">
        <v>2885</v>
      </c>
      <c r="BN76" t="s">
        <v>2886</v>
      </c>
      <c r="BO76">
        <v>6512320138</v>
      </c>
      <c r="BP76" t="s">
        <v>3178</v>
      </c>
      <c r="BQ76" t="s">
        <v>3178</v>
      </c>
      <c r="BR76" t="s">
        <v>2887</v>
      </c>
      <c r="BS76" t="s">
        <v>3420</v>
      </c>
      <c r="BU76" t="s">
        <v>1100</v>
      </c>
      <c r="BV76" t="s">
        <v>386</v>
      </c>
      <c r="BW76">
        <v>55104</v>
      </c>
      <c r="BX76" t="s">
        <v>2353</v>
      </c>
    </row>
    <row r="77" spans="1:76" customFormat="1" x14ac:dyDescent="0.25">
      <c r="A77" s="496">
        <v>172</v>
      </c>
      <c r="B77">
        <v>1568401016</v>
      </c>
      <c r="C77" t="s">
        <v>418</v>
      </c>
      <c r="D77" t="s">
        <v>1302</v>
      </c>
      <c r="E77" t="s">
        <v>3421</v>
      </c>
      <c r="H77" t="s">
        <v>1303</v>
      </c>
      <c r="I77" t="s">
        <v>386</v>
      </c>
      <c r="J77">
        <v>56258</v>
      </c>
      <c r="K77">
        <v>1934</v>
      </c>
      <c r="L77">
        <v>5075329661</v>
      </c>
      <c r="M77">
        <v>5075379053</v>
      </c>
      <c r="N77" t="s">
        <v>1634</v>
      </c>
      <c r="O77" t="s">
        <v>1304</v>
      </c>
      <c r="P77" t="s">
        <v>1364</v>
      </c>
      <c r="Q77" t="s">
        <v>1836</v>
      </c>
      <c r="R77" t="s">
        <v>1305</v>
      </c>
      <c r="S77" t="s">
        <v>1535</v>
      </c>
      <c r="T77" t="s">
        <v>2888</v>
      </c>
      <c r="U77" t="s">
        <v>2889</v>
      </c>
      <c r="V77">
        <v>5075379159</v>
      </c>
      <c r="W77" t="s">
        <v>3178</v>
      </c>
      <c r="X77">
        <v>5075372743</v>
      </c>
      <c r="Y77" t="s">
        <v>2890</v>
      </c>
      <c r="Z77" t="s">
        <v>3422</v>
      </c>
      <c r="AB77" t="s">
        <v>1307</v>
      </c>
      <c r="AC77" t="s">
        <v>386</v>
      </c>
      <c r="AD77">
        <v>56258</v>
      </c>
      <c r="AE77">
        <v>1934</v>
      </c>
      <c r="AG77" t="s">
        <v>1308</v>
      </c>
      <c r="AH77" t="s">
        <v>1632</v>
      </c>
      <c r="AI77" t="s">
        <v>1077</v>
      </c>
      <c r="AJ77">
        <v>1</v>
      </c>
      <c r="AK77" t="s">
        <v>3423</v>
      </c>
      <c r="AL77" t="s">
        <v>3424</v>
      </c>
      <c r="AM77" t="s">
        <v>1306</v>
      </c>
      <c r="AN77" t="s">
        <v>3425</v>
      </c>
      <c r="AO77">
        <v>5075379150</v>
      </c>
      <c r="AP77" t="s">
        <v>3178</v>
      </c>
      <c r="AQ77" t="s">
        <v>3178</v>
      </c>
      <c r="AR77" t="s">
        <v>3426</v>
      </c>
      <c r="AS77" t="s">
        <v>3422</v>
      </c>
      <c r="AU77" t="s">
        <v>1307</v>
      </c>
      <c r="AV77" t="s">
        <v>386</v>
      </c>
      <c r="AW77">
        <v>56258</v>
      </c>
      <c r="BL77" t="s">
        <v>1535</v>
      </c>
      <c r="BM77" t="s">
        <v>2888</v>
      </c>
      <c r="BN77" t="s">
        <v>2889</v>
      </c>
      <c r="BO77">
        <v>5075379159</v>
      </c>
      <c r="BP77" t="s">
        <v>3178</v>
      </c>
      <c r="BQ77">
        <v>5075372743</v>
      </c>
      <c r="BR77" t="s">
        <v>2890</v>
      </c>
      <c r="BS77" t="s">
        <v>3422</v>
      </c>
      <c r="BU77" t="s">
        <v>1307</v>
      </c>
      <c r="BV77" t="s">
        <v>386</v>
      </c>
      <c r="BW77">
        <v>56258</v>
      </c>
      <c r="BX77">
        <v>1934</v>
      </c>
    </row>
    <row r="78" spans="1:76" customFormat="1" x14ac:dyDescent="0.25">
      <c r="A78" s="496">
        <v>81</v>
      </c>
      <c r="B78">
        <v>1720045073</v>
      </c>
      <c r="C78" t="s">
        <v>3427</v>
      </c>
      <c r="D78" t="s">
        <v>1309</v>
      </c>
      <c r="E78" t="s">
        <v>3428</v>
      </c>
      <c r="H78" t="s">
        <v>318</v>
      </c>
      <c r="I78" t="s">
        <v>386</v>
      </c>
      <c r="J78">
        <v>56352</v>
      </c>
      <c r="K78">
        <v>1071</v>
      </c>
      <c r="L78">
        <v>3202564231</v>
      </c>
      <c r="M78">
        <v>3202564949</v>
      </c>
      <c r="N78" t="s">
        <v>1057</v>
      </c>
      <c r="O78" t="s">
        <v>1365</v>
      </c>
      <c r="P78" t="s">
        <v>397</v>
      </c>
      <c r="Q78" t="s">
        <v>1366</v>
      </c>
      <c r="R78" t="s">
        <v>3429</v>
      </c>
      <c r="S78" t="s">
        <v>1487</v>
      </c>
      <c r="T78" t="s">
        <v>213</v>
      </c>
      <c r="U78" t="s">
        <v>1092</v>
      </c>
      <c r="V78">
        <v>3202561760</v>
      </c>
      <c r="W78" t="s">
        <v>3178</v>
      </c>
      <c r="X78">
        <v>3202561814</v>
      </c>
      <c r="Y78" t="s">
        <v>2078</v>
      </c>
      <c r="Z78" t="s">
        <v>3430</v>
      </c>
      <c r="AB78" t="s">
        <v>1312</v>
      </c>
      <c r="AC78" t="s">
        <v>386</v>
      </c>
      <c r="AD78">
        <v>56352</v>
      </c>
      <c r="AE78">
        <v>1098</v>
      </c>
      <c r="AF78" t="s">
        <v>1849</v>
      </c>
      <c r="AG78">
        <v>0</v>
      </c>
      <c r="AH78" t="s">
        <v>1548</v>
      </c>
      <c r="AI78" t="s">
        <v>1077</v>
      </c>
      <c r="AJ78">
        <v>1</v>
      </c>
      <c r="AK78" t="s">
        <v>3431</v>
      </c>
      <c r="AL78" t="s">
        <v>3432</v>
      </c>
      <c r="AM78" t="s">
        <v>3433</v>
      </c>
      <c r="AN78" t="s">
        <v>3434</v>
      </c>
      <c r="AO78">
        <v>3202512700</v>
      </c>
      <c r="AP78">
        <v>54553</v>
      </c>
      <c r="AQ78">
        <v>3202555756</v>
      </c>
      <c r="AR78" t="s">
        <v>3435</v>
      </c>
      <c r="AS78" t="s">
        <v>3436</v>
      </c>
      <c r="AU78" t="s">
        <v>756</v>
      </c>
      <c r="AV78" t="s">
        <v>386</v>
      </c>
      <c r="AW78">
        <v>56303</v>
      </c>
      <c r="AX78">
        <v>1901</v>
      </c>
      <c r="AY78" t="s">
        <v>2085</v>
      </c>
      <c r="AZ78" t="s">
        <v>2086</v>
      </c>
      <c r="BA78" t="s">
        <v>3437</v>
      </c>
      <c r="BB78">
        <v>3202512700</v>
      </c>
      <c r="BC78">
        <v>54697</v>
      </c>
      <c r="BD78">
        <v>3202555756</v>
      </c>
      <c r="BE78" t="s">
        <v>2087</v>
      </c>
      <c r="BF78" t="s">
        <v>3438</v>
      </c>
      <c r="BH78" t="s">
        <v>756</v>
      </c>
      <c r="BI78" t="s">
        <v>386</v>
      </c>
      <c r="BL78" t="s">
        <v>1097</v>
      </c>
      <c r="BM78" t="s">
        <v>1367</v>
      </c>
      <c r="BN78" t="s">
        <v>1368</v>
      </c>
      <c r="BO78">
        <v>3202512700</v>
      </c>
      <c r="BP78" t="s">
        <v>3178</v>
      </c>
      <c r="BQ78">
        <v>3202294979</v>
      </c>
      <c r="BR78" t="s">
        <v>1369</v>
      </c>
      <c r="BS78" t="s">
        <v>3439</v>
      </c>
      <c r="BU78" t="s">
        <v>1312</v>
      </c>
      <c r="BV78" t="s">
        <v>386</v>
      </c>
      <c r="BW78">
        <v>55352</v>
      </c>
      <c r="BX78">
        <v>1098</v>
      </c>
    </row>
    <row r="79" spans="1:76" customFormat="1" x14ac:dyDescent="0.25">
      <c r="A79" s="496">
        <v>2</v>
      </c>
      <c r="B79">
        <v>1760446256</v>
      </c>
      <c r="C79" t="s">
        <v>1317</v>
      </c>
      <c r="D79" t="s">
        <v>138</v>
      </c>
      <c r="E79" t="s">
        <v>3440</v>
      </c>
      <c r="H79" t="s">
        <v>143</v>
      </c>
      <c r="I79" t="s">
        <v>386</v>
      </c>
      <c r="J79">
        <v>55407</v>
      </c>
      <c r="K79">
        <v>3723</v>
      </c>
      <c r="L79">
        <v>6128634000</v>
      </c>
      <c r="M79">
        <v>6128635667</v>
      </c>
      <c r="N79" t="s">
        <v>1566</v>
      </c>
      <c r="O79" t="s">
        <v>2441</v>
      </c>
      <c r="P79" t="s">
        <v>2079</v>
      </c>
      <c r="Q79" t="s">
        <v>2442</v>
      </c>
      <c r="R79" t="s">
        <v>1318</v>
      </c>
      <c r="S79" t="s">
        <v>1196</v>
      </c>
      <c r="T79" t="s">
        <v>1968</v>
      </c>
      <c r="U79" t="s">
        <v>130</v>
      </c>
      <c r="V79">
        <v>6122624727</v>
      </c>
      <c r="W79" t="s">
        <v>3178</v>
      </c>
      <c r="X79">
        <v>6122624727</v>
      </c>
      <c r="Y79" t="s">
        <v>2443</v>
      </c>
      <c r="Z79" t="s">
        <v>3441</v>
      </c>
      <c r="AB79" t="s">
        <v>131</v>
      </c>
      <c r="AC79" t="s">
        <v>386</v>
      </c>
      <c r="AD79">
        <v>55440</v>
      </c>
      <c r="AE79">
        <v>-43</v>
      </c>
      <c r="AG79" t="s">
        <v>2891</v>
      </c>
      <c r="AH79" t="s">
        <v>133</v>
      </c>
      <c r="AI79" t="s">
        <v>1077</v>
      </c>
      <c r="AJ79">
        <v>0</v>
      </c>
      <c r="AK79" t="s">
        <v>2892</v>
      </c>
      <c r="AL79" t="s">
        <v>134</v>
      </c>
      <c r="AM79" t="s">
        <v>135</v>
      </c>
      <c r="AN79" t="s">
        <v>2156</v>
      </c>
      <c r="AO79">
        <v>6122624719</v>
      </c>
      <c r="AP79" t="s">
        <v>3178</v>
      </c>
      <c r="AQ79">
        <v>6122624719</v>
      </c>
      <c r="AR79" t="s">
        <v>136</v>
      </c>
      <c r="AS79" t="s">
        <v>3258</v>
      </c>
      <c r="AT79" t="s">
        <v>137</v>
      </c>
      <c r="AU79" t="s">
        <v>131</v>
      </c>
      <c r="AV79" t="s">
        <v>386</v>
      </c>
      <c r="AW79">
        <v>55440</v>
      </c>
      <c r="AX79">
        <v>43</v>
      </c>
      <c r="AY79" t="s">
        <v>2387</v>
      </c>
      <c r="AZ79" t="s">
        <v>2388</v>
      </c>
      <c r="BA79" t="s">
        <v>2389</v>
      </c>
      <c r="BB79">
        <v>6122624721</v>
      </c>
      <c r="BC79" t="s">
        <v>3178</v>
      </c>
      <c r="BD79">
        <v>6122624721</v>
      </c>
      <c r="BE79" t="s">
        <v>2390</v>
      </c>
      <c r="BF79" t="s">
        <v>3263</v>
      </c>
      <c r="BH79" t="s">
        <v>131</v>
      </c>
      <c r="BI79" t="s">
        <v>386</v>
      </c>
      <c r="BJ79">
        <v>55440</v>
      </c>
      <c r="BK79">
        <v>43</v>
      </c>
      <c r="BL79" t="s">
        <v>1196</v>
      </c>
      <c r="BM79" t="s">
        <v>1968</v>
      </c>
      <c r="BN79" t="s">
        <v>130</v>
      </c>
      <c r="BO79">
        <v>6122624727</v>
      </c>
      <c r="BP79" t="s">
        <v>3178</v>
      </c>
      <c r="BQ79">
        <v>6122624727</v>
      </c>
      <c r="BR79" t="s">
        <v>2443</v>
      </c>
      <c r="BS79" t="s">
        <v>3441</v>
      </c>
      <c r="BU79" t="s">
        <v>131</v>
      </c>
      <c r="BV79" t="s">
        <v>386</v>
      </c>
      <c r="BW79">
        <v>55440</v>
      </c>
      <c r="BX79">
        <v>-43</v>
      </c>
    </row>
    <row r="80" spans="1:76" customFormat="1" x14ac:dyDescent="0.25">
      <c r="A80" s="496">
        <v>59</v>
      </c>
      <c r="B80">
        <v>1407897309</v>
      </c>
      <c r="C80" t="s">
        <v>1315</v>
      </c>
      <c r="D80" t="s">
        <v>138</v>
      </c>
      <c r="E80" t="s">
        <v>3442</v>
      </c>
      <c r="H80" t="s">
        <v>143</v>
      </c>
      <c r="I80" t="s">
        <v>386</v>
      </c>
      <c r="J80">
        <v>55415</v>
      </c>
      <c r="K80">
        <v>1829</v>
      </c>
      <c r="L80">
        <v>6788733000</v>
      </c>
      <c r="M80">
        <v>6129044259</v>
      </c>
      <c r="N80" t="s">
        <v>2444</v>
      </c>
      <c r="O80" t="s">
        <v>2445</v>
      </c>
      <c r="P80" t="s">
        <v>1217</v>
      </c>
      <c r="Q80" t="s">
        <v>2446</v>
      </c>
      <c r="R80" t="s">
        <v>1316</v>
      </c>
      <c r="S80" t="s">
        <v>1434</v>
      </c>
      <c r="T80" t="s">
        <v>469</v>
      </c>
      <c r="U80" t="s">
        <v>1510</v>
      </c>
      <c r="V80">
        <v>6128734759</v>
      </c>
      <c r="W80" t="s">
        <v>3178</v>
      </c>
      <c r="X80">
        <v>6129044259</v>
      </c>
      <c r="Y80" t="s">
        <v>1435</v>
      </c>
      <c r="Z80" t="s">
        <v>3443</v>
      </c>
      <c r="AB80" t="s">
        <v>131</v>
      </c>
      <c r="AC80" t="s">
        <v>386</v>
      </c>
      <c r="AD80">
        <v>55415</v>
      </c>
      <c r="AE80">
        <v>1829</v>
      </c>
      <c r="AF80" t="s">
        <v>132</v>
      </c>
      <c r="AG80" t="s">
        <v>2448</v>
      </c>
      <c r="AH80" t="s">
        <v>402</v>
      </c>
      <c r="AJ80">
        <v>0</v>
      </c>
      <c r="AK80" t="s">
        <v>2893</v>
      </c>
      <c r="AL80" t="s">
        <v>1557</v>
      </c>
      <c r="AM80" t="s">
        <v>1234</v>
      </c>
      <c r="AN80" t="s">
        <v>1319</v>
      </c>
      <c r="AO80">
        <v>6128733513</v>
      </c>
      <c r="AP80" t="s">
        <v>3178</v>
      </c>
      <c r="AQ80">
        <v>6129044259</v>
      </c>
      <c r="AR80" t="s">
        <v>1558</v>
      </c>
      <c r="AV80" t="s">
        <v>386</v>
      </c>
      <c r="BL80" t="s">
        <v>1559</v>
      </c>
      <c r="BM80" t="s">
        <v>1560</v>
      </c>
      <c r="BN80" t="s">
        <v>154</v>
      </c>
      <c r="BO80">
        <v>6128734762</v>
      </c>
      <c r="BP80" t="s">
        <v>3178</v>
      </c>
      <c r="BQ80">
        <v>6129044759</v>
      </c>
      <c r="BR80" t="s">
        <v>1561</v>
      </c>
      <c r="BV80" t="s">
        <v>386</v>
      </c>
    </row>
    <row r="81" spans="1:76" customFormat="1" x14ac:dyDescent="0.25">
      <c r="A81" s="496">
        <v>91</v>
      </c>
      <c r="B81">
        <v>1881793750</v>
      </c>
      <c r="C81" t="s">
        <v>2083</v>
      </c>
      <c r="D81" t="s">
        <v>138</v>
      </c>
      <c r="E81" t="s">
        <v>3444</v>
      </c>
      <c r="H81" t="s">
        <v>143</v>
      </c>
      <c r="I81" t="s">
        <v>386</v>
      </c>
      <c r="J81">
        <v>55404</v>
      </c>
      <c r="K81">
        <v>4518</v>
      </c>
      <c r="L81">
        <v>6128136100</v>
      </c>
      <c r="M81">
        <v>9529926994</v>
      </c>
      <c r="N81" t="s">
        <v>1795</v>
      </c>
      <c r="O81" t="s">
        <v>2894</v>
      </c>
      <c r="P81" t="s">
        <v>1217</v>
      </c>
      <c r="Q81" t="s">
        <v>2895</v>
      </c>
      <c r="R81" t="s">
        <v>2438</v>
      </c>
      <c r="S81" t="s">
        <v>1431</v>
      </c>
      <c r="T81" t="s">
        <v>1432</v>
      </c>
      <c r="U81" t="s">
        <v>3445</v>
      </c>
      <c r="V81">
        <v>9529925630</v>
      </c>
      <c r="W81" t="s">
        <v>3178</v>
      </c>
      <c r="X81">
        <v>9529926994</v>
      </c>
      <c r="Y81" t="s">
        <v>1433</v>
      </c>
      <c r="Z81" t="s">
        <v>3446</v>
      </c>
      <c r="AB81" t="s">
        <v>3447</v>
      </c>
      <c r="AC81" t="s">
        <v>386</v>
      </c>
      <c r="AD81">
        <v>55436</v>
      </c>
      <c r="AF81" t="s">
        <v>132</v>
      </c>
      <c r="AG81" t="s">
        <v>1313</v>
      </c>
      <c r="AH81" t="s">
        <v>1314</v>
      </c>
      <c r="AI81" t="s">
        <v>1077</v>
      </c>
      <c r="AJ81">
        <v>0</v>
      </c>
      <c r="AK81" t="s">
        <v>1837</v>
      </c>
      <c r="AL81" t="s">
        <v>1370</v>
      </c>
      <c r="AM81" t="s">
        <v>1371</v>
      </c>
      <c r="AN81" t="s">
        <v>3448</v>
      </c>
      <c r="AO81">
        <v>9529925632</v>
      </c>
      <c r="AP81" t="s">
        <v>3178</v>
      </c>
      <c r="AQ81">
        <v>9529926994</v>
      </c>
      <c r="AR81" t="s">
        <v>1372</v>
      </c>
      <c r="AS81" t="s">
        <v>3446</v>
      </c>
      <c r="AU81" t="s">
        <v>3447</v>
      </c>
      <c r="AV81" t="s">
        <v>386</v>
      </c>
      <c r="AW81">
        <v>55436</v>
      </c>
      <c r="AY81" t="s">
        <v>1210</v>
      </c>
      <c r="AZ81" t="s">
        <v>1429</v>
      </c>
      <c r="BA81" t="s">
        <v>3449</v>
      </c>
      <c r="BB81">
        <v>9529925649</v>
      </c>
      <c r="BC81" t="s">
        <v>3178</v>
      </c>
      <c r="BD81">
        <v>9529926994</v>
      </c>
      <c r="BE81" t="s">
        <v>1430</v>
      </c>
      <c r="BF81" t="s">
        <v>3446</v>
      </c>
      <c r="BH81" t="s">
        <v>3447</v>
      </c>
      <c r="BI81" t="s">
        <v>386</v>
      </c>
      <c r="BJ81">
        <v>55436</v>
      </c>
      <c r="BL81" t="s">
        <v>1796</v>
      </c>
      <c r="BM81" t="s">
        <v>2449</v>
      </c>
      <c r="BN81" t="s">
        <v>3450</v>
      </c>
      <c r="BO81">
        <v>9529925404</v>
      </c>
      <c r="BP81" t="s">
        <v>3178</v>
      </c>
      <c r="BQ81">
        <v>9529926994</v>
      </c>
      <c r="BR81" t="s">
        <v>2450</v>
      </c>
      <c r="BS81" t="s">
        <v>3446</v>
      </c>
      <c r="BU81" t="s">
        <v>3447</v>
      </c>
      <c r="BV81" t="s">
        <v>386</v>
      </c>
      <c r="BW81">
        <v>55436</v>
      </c>
    </row>
    <row r="82" spans="1:76" customFormat="1" x14ac:dyDescent="0.25">
      <c r="A82" s="496">
        <v>184</v>
      </c>
      <c r="B82">
        <v>1457319527</v>
      </c>
      <c r="C82" t="s">
        <v>1320</v>
      </c>
      <c r="D82" t="s">
        <v>138</v>
      </c>
      <c r="E82" t="s">
        <v>3451</v>
      </c>
      <c r="H82" t="s">
        <v>143</v>
      </c>
      <c r="I82" t="s">
        <v>386</v>
      </c>
      <c r="J82">
        <v>55404</v>
      </c>
      <c r="K82">
        <v>3711</v>
      </c>
      <c r="L82">
        <v>6127758800</v>
      </c>
      <c r="M82">
        <v>6127759601</v>
      </c>
      <c r="N82" t="s">
        <v>1717</v>
      </c>
      <c r="O82" t="s">
        <v>2451</v>
      </c>
      <c r="P82" t="s">
        <v>128</v>
      </c>
      <c r="Q82" t="s">
        <v>2452</v>
      </c>
      <c r="R82" t="s">
        <v>1838</v>
      </c>
      <c r="S82" t="s">
        <v>2387</v>
      </c>
      <c r="T82" t="s">
        <v>2388</v>
      </c>
      <c r="U82" t="s">
        <v>2389</v>
      </c>
      <c r="V82">
        <v>6122624721</v>
      </c>
      <c r="W82" t="s">
        <v>3178</v>
      </c>
      <c r="X82">
        <v>6122624721</v>
      </c>
      <c r="Y82" t="s">
        <v>2390</v>
      </c>
      <c r="Z82" t="s">
        <v>3263</v>
      </c>
      <c r="AB82" t="s">
        <v>131</v>
      </c>
      <c r="AC82" t="s">
        <v>386</v>
      </c>
      <c r="AD82">
        <v>55440</v>
      </c>
      <c r="AE82">
        <v>43</v>
      </c>
      <c r="AG82" t="s">
        <v>2897</v>
      </c>
      <c r="AH82" t="s">
        <v>133</v>
      </c>
      <c r="AI82" t="s">
        <v>1077</v>
      </c>
      <c r="AJ82">
        <v>0</v>
      </c>
      <c r="AK82" t="s">
        <v>115</v>
      </c>
      <c r="AL82" t="s">
        <v>134</v>
      </c>
      <c r="AM82" t="s">
        <v>135</v>
      </c>
      <c r="AN82" t="s">
        <v>2156</v>
      </c>
      <c r="AO82">
        <v>6122624719</v>
      </c>
      <c r="AP82" t="s">
        <v>3178</v>
      </c>
      <c r="AQ82">
        <v>6122624719</v>
      </c>
      <c r="AR82" t="s">
        <v>136</v>
      </c>
      <c r="AS82" t="s">
        <v>3258</v>
      </c>
      <c r="AT82" t="s">
        <v>137</v>
      </c>
      <c r="AU82" t="s">
        <v>131</v>
      </c>
      <c r="AV82" t="s">
        <v>386</v>
      </c>
      <c r="AW82">
        <v>55440</v>
      </c>
      <c r="AX82">
        <v>43</v>
      </c>
      <c r="AY82" t="s">
        <v>2387</v>
      </c>
      <c r="AZ82" t="s">
        <v>2388</v>
      </c>
      <c r="BA82" t="s">
        <v>2389</v>
      </c>
      <c r="BB82">
        <v>6122624721</v>
      </c>
      <c r="BC82" t="s">
        <v>3178</v>
      </c>
      <c r="BD82">
        <v>6122624721</v>
      </c>
      <c r="BE82" t="s">
        <v>2390</v>
      </c>
      <c r="BF82" t="s">
        <v>3263</v>
      </c>
      <c r="BH82" t="s">
        <v>131</v>
      </c>
      <c r="BI82" t="s">
        <v>386</v>
      </c>
      <c r="BJ82">
        <v>55440</v>
      </c>
      <c r="BK82">
        <v>43</v>
      </c>
      <c r="BL82" t="s">
        <v>2387</v>
      </c>
      <c r="BM82" t="s">
        <v>2388</v>
      </c>
      <c r="BN82" t="s">
        <v>2389</v>
      </c>
      <c r="BO82">
        <v>6122624721</v>
      </c>
      <c r="BP82" t="s">
        <v>3178</v>
      </c>
      <c r="BQ82">
        <v>6122624721</v>
      </c>
      <c r="BR82" t="s">
        <v>2390</v>
      </c>
      <c r="BS82" t="s">
        <v>3263</v>
      </c>
      <c r="BU82" t="s">
        <v>131</v>
      </c>
      <c r="BV82" t="s">
        <v>386</v>
      </c>
      <c r="BW82">
        <v>55440</v>
      </c>
      <c r="BX82">
        <v>43</v>
      </c>
    </row>
    <row r="83" spans="1:76" customFormat="1" x14ac:dyDescent="0.25">
      <c r="A83" s="496">
        <v>185</v>
      </c>
      <c r="B83">
        <v>1013994359</v>
      </c>
      <c r="C83" t="s">
        <v>1321</v>
      </c>
      <c r="D83" t="s">
        <v>138</v>
      </c>
      <c r="E83" t="s">
        <v>3452</v>
      </c>
      <c r="H83" t="s">
        <v>143</v>
      </c>
      <c r="I83" t="s">
        <v>386</v>
      </c>
      <c r="J83">
        <v>55454</v>
      </c>
      <c r="K83">
        <v>1450</v>
      </c>
      <c r="L83">
        <v>6126726000</v>
      </c>
      <c r="M83">
        <v>6126724098</v>
      </c>
      <c r="N83" t="s">
        <v>1535</v>
      </c>
      <c r="O83" t="s">
        <v>3453</v>
      </c>
      <c r="P83" t="s">
        <v>2863</v>
      </c>
      <c r="Q83" t="s">
        <v>3454</v>
      </c>
      <c r="R83" t="s">
        <v>2453</v>
      </c>
      <c r="S83" t="s">
        <v>557</v>
      </c>
      <c r="T83" t="s">
        <v>1598</v>
      </c>
      <c r="U83" t="s">
        <v>2454</v>
      </c>
      <c r="V83">
        <v>6126726883</v>
      </c>
      <c r="W83" t="s">
        <v>3178</v>
      </c>
      <c r="X83">
        <v>6126726986</v>
      </c>
      <c r="Y83" t="s">
        <v>1599</v>
      </c>
      <c r="Z83" t="s">
        <v>2010</v>
      </c>
      <c r="AB83" t="s">
        <v>131</v>
      </c>
      <c r="AC83" t="s">
        <v>386</v>
      </c>
      <c r="AD83">
        <v>55413</v>
      </c>
      <c r="AE83">
        <v>2613</v>
      </c>
      <c r="AF83" t="s">
        <v>132</v>
      </c>
      <c r="AG83" t="s">
        <v>144</v>
      </c>
      <c r="AH83" t="s">
        <v>145</v>
      </c>
      <c r="AI83" t="s">
        <v>1077</v>
      </c>
      <c r="AJ83">
        <v>0</v>
      </c>
      <c r="AK83" t="s">
        <v>1322</v>
      </c>
      <c r="AL83" t="s">
        <v>2011</v>
      </c>
      <c r="AM83" t="s">
        <v>2012</v>
      </c>
      <c r="AN83" t="s">
        <v>2822</v>
      </c>
      <c r="AO83">
        <v>6126727067</v>
      </c>
      <c r="AP83" t="s">
        <v>3178</v>
      </c>
      <c r="AQ83">
        <v>6126726986</v>
      </c>
      <c r="AR83" t="s">
        <v>1562</v>
      </c>
      <c r="AS83" t="s">
        <v>2010</v>
      </c>
      <c r="AU83" t="s">
        <v>131</v>
      </c>
      <c r="AV83" t="s">
        <v>386</v>
      </c>
      <c r="AW83">
        <v>55413</v>
      </c>
      <c r="AX83">
        <v>2613</v>
      </c>
      <c r="AY83" t="s">
        <v>247</v>
      </c>
      <c r="AZ83" t="s">
        <v>1495</v>
      </c>
      <c r="BA83" t="s">
        <v>2009</v>
      </c>
      <c r="BB83">
        <v>6126726736</v>
      </c>
      <c r="BC83" t="s">
        <v>3178</v>
      </c>
      <c r="BD83">
        <v>6126726986</v>
      </c>
      <c r="BE83" t="s">
        <v>1496</v>
      </c>
      <c r="BF83" t="s">
        <v>2010</v>
      </c>
      <c r="BH83" t="s">
        <v>131</v>
      </c>
      <c r="BI83" t="s">
        <v>386</v>
      </c>
      <c r="BJ83">
        <v>55413</v>
      </c>
      <c r="BK83">
        <v>2613</v>
      </c>
      <c r="BL83" t="s">
        <v>1492</v>
      </c>
      <c r="BM83" t="s">
        <v>1807</v>
      </c>
      <c r="BN83" t="s">
        <v>3261</v>
      </c>
      <c r="BO83">
        <v>6126724668</v>
      </c>
      <c r="BP83" t="s">
        <v>3178</v>
      </c>
      <c r="BQ83">
        <v>6126721240</v>
      </c>
      <c r="BR83" t="s">
        <v>1808</v>
      </c>
      <c r="BS83" t="s">
        <v>2010</v>
      </c>
      <c r="BU83" t="s">
        <v>131</v>
      </c>
      <c r="BV83" t="s">
        <v>386</v>
      </c>
      <c r="BW83">
        <v>55413</v>
      </c>
      <c r="BX83">
        <v>2613</v>
      </c>
    </row>
    <row r="84" spans="1:76" customFormat="1" x14ac:dyDescent="0.25">
      <c r="A84" s="496">
        <v>210</v>
      </c>
      <c r="B84">
        <v>1871636522</v>
      </c>
      <c r="C84" t="s">
        <v>1323</v>
      </c>
      <c r="D84" t="s">
        <v>138</v>
      </c>
      <c r="E84" t="s">
        <v>3455</v>
      </c>
      <c r="H84" t="s">
        <v>143</v>
      </c>
      <c r="I84" t="s">
        <v>386</v>
      </c>
      <c r="J84">
        <v>55414</v>
      </c>
      <c r="K84">
        <v>3604</v>
      </c>
      <c r="L84">
        <v>6125966100</v>
      </c>
      <c r="M84">
        <v>6123397634</v>
      </c>
      <c r="N84" t="s">
        <v>1324</v>
      </c>
      <c r="O84" t="s">
        <v>1325</v>
      </c>
      <c r="P84" t="s">
        <v>320</v>
      </c>
      <c r="Q84" t="s">
        <v>1326</v>
      </c>
      <c r="R84" t="s">
        <v>2455</v>
      </c>
      <c r="S84" t="s">
        <v>2898</v>
      </c>
      <c r="T84" t="s">
        <v>2899</v>
      </c>
      <c r="U84" t="s">
        <v>2188</v>
      </c>
      <c r="V84">
        <v>6125966117</v>
      </c>
      <c r="W84" t="s">
        <v>3178</v>
      </c>
      <c r="X84">
        <v>6123397634</v>
      </c>
      <c r="Y84" t="s">
        <v>2900</v>
      </c>
      <c r="AC84" t="s">
        <v>2789</v>
      </c>
      <c r="AG84" t="s">
        <v>2189</v>
      </c>
      <c r="AH84" t="s">
        <v>1323</v>
      </c>
      <c r="AI84" t="s">
        <v>1077</v>
      </c>
      <c r="AJ84">
        <v>0</v>
      </c>
      <c r="AK84" t="s">
        <v>2190</v>
      </c>
      <c r="AL84" t="s">
        <v>2456</v>
      </c>
      <c r="AM84" t="s">
        <v>2457</v>
      </c>
      <c r="AN84" t="s">
        <v>1092</v>
      </c>
      <c r="AO84">
        <v>6125966244</v>
      </c>
      <c r="AP84" t="s">
        <v>3178</v>
      </c>
      <c r="AQ84" t="s">
        <v>3178</v>
      </c>
      <c r="AR84" t="s">
        <v>2901</v>
      </c>
      <c r="AV84" t="s">
        <v>2789</v>
      </c>
    </row>
    <row r="85" spans="1:76" customFormat="1" x14ac:dyDescent="0.25">
      <c r="A85" s="496">
        <v>211</v>
      </c>
      <c r="B85">
        <v>1073627931</v>
      </c>
      <c r="C85" t="s">
        <v>1327</v>
      </c>
      <c r="D85" t="s">
        <v>138</v>
      </c>
      <c r="E85" t="s">
        <v>3456</v>
      </c>
      <c r="H85" t="s">
        <v>143</v>
      </c>
      <c r="I85" t="s">
        <v>386</v>
      </c>
      <c r="J85">
        <v>55417</v>
      </c>
      <c r="K85">
        <v>2309</v>
      </c>
      <c r="L85">
        <v>6127252000</v>
      </c>
      <c r="M85">
        <v>6127252049</v>
      </c>
      <c r="N85" t="s">
        <v>2803</v>
      </c>
      <c r="O85" t="s">
        <v>3457</v>
      </c>
      <c r="P85" t="s">
        <v>3458</v>
      </c>
      <c r="Q85" t="s">
        <v>3459</v>
      </c>
      <c r="R85" t="s">
        <v>2459</v>
      </c>
      <c r="S85" t="s">
        <v>1839</v>
      </c>
      <c r="T85" t="s">
        <v>3460</v>
      </c>
      <c r="U85" t="s">
        <v>1840</v>
      </c>
      <c r="V85">
        <v>6124675981</v>
      </c>
      <c r="W85" t="s">
        <v>3178</v>
      </c>
      <c r="X85">
        <v>6127252049</v>
      </c>
      <c r="Y85" t="s">
        <v>3461</v>
      </c>
      <c r="Z85" t="s">
        <v>3462</v>
      </c>
      <c r="AB85" t="s">
        <v>131</v>
      </c>
      <c r="AC85" t="s">
        <v>386</v>
      </c>
      <c r="AD85">
        <v>55417</v>
      </c>
      <c r="AE85">
        <v>2309</v>
      </c>
      <c r="AF85" t="s">
        <v>132</v>
      </c>
      <c r="AG85" t="s">
        <v>2191</v>
      </c>
      <c r="AH85" t="s">
        <v>209</v>
      </c>
      <c r="AI85" t="s">
        <v>1077</v>
      </c>
      <c r="AJ85">
        <v>0</v>
      </c>
      <c r="AK85" t="s">
        <v>2192</v>
      </c>
      <c r="AL85" t="s">
        <v>1359</v>
      </c>
      <c r="AM85" t="s">
        <v>3463</v>
      </c>
      <c r="AN85" t="s">
        <v>3464</v>
      </c>
      <c r="AO85">
        <v>6127252000</v>
      </c>
      <c r="AP85" t="s">
        <v>3178</v>
      </c>
      <c r="AQ85" t="s">
        <v>3178</v>
      </c>
      <c r="AR85" t="s">
        <v>3465</v>
      </c>
      <c r="AV85" t="s">
        <v>2789</v>
      </c>
    </row>
    <row r="86" spans="1:76" customFormat="1" x14ac:dyDescent="0.25">
      <c r="A86" s="496">
        <v>17</v>
      </c>
      <c r="B86">
        <v>1720086028</v>
      </c>
      <c r="C86" t="s">
        <v>210</v>
      </c>
      <c r="D86" t="s">
        <v>211</v>
      </c>
      <c r="E86" t="s">
        <v>3466</v>
      </c>
      <c r="H86" t="s">
        <v>212</v>
      </c>
      <c r="I86" t="s">
        <v>386</v>
      </c>
      <c r="J86">
        <v>56265</v>
      </c>
      <c r="K86">
        <v>1629</v>
      </c>
      <c r="L86">
        <v>3202698877</v>
      </c>
      <c r="M86">
        <v>3202698186</v>
      </c>
      <c r="N86" t="s">
        <v>129</v>
      </c>
      <c r="O86" t="s">
        <v>213</v>
      </c>
      <c r="P86" t="s">
        <v>320</v>
      </c>
      <c r="Q86" t="s">
        <v>214</v>
      </c>
      <c r="R86" t="s">
        <v>215</v>
      </c>
      <c r="S86" t="s">
        <v>2902</v>
      </c>
      <c r="T86" t="s">
        <v>1563</v>
      </c>
      <c r="U86" t="s">
        <v>392</v>
      </c>
      <c r="V86">
        <v>3203218153</v>
      </c>
      <c r="W86" t="s">
        <v>3178</v>
      </c>
      <c r="X86">
        <v>3202698186</v>
      </c>
      <c r="Y86" t="s">
        <v>1564</v>
      </c>
      <c r="AC86" t="s">
        <v>2789</v>
      </c>
      <c r="AG86" t="s">
        <v>216</v>
      </c>
      <c r="AH86" t="s">
        <v>402</v>
      </c>
      <c r="AJ86" s="494">
        <v>1</v>
      </c>
      <c r="AK86" t="s">
        <v>1436</v>
      </c>
      <c r="AL86" t="s">
        <v>2902</v>
      </c>
      <c r="AM86" t="s">
        <v>1563</v>
      </c>
      <c r="AN86" t="s">
        <v>392</v>
      </c>
      <c r="AO86">
        <v>3203218153</v>
      </c>
      <c r="AP86" t="s">
        <v>3178</v>
      </c>
      <c r="AQ86">
        <v>3202698186</v>
      </c>
      <c r="AR86" t="s">
        <v>1564</v>
      </c>
      <c r="AV86" t="s">
        <v>2789</v>
      </c>
      <c r="BL86" t="s">
        <v>2902</v>
      </c>
      <c r="BM86" t="s">
        <v>1563</v>
      </c>
      <c r="BN86" t="s">
        <v>392</v>
      </c>
      <c r="BO86">
        <v>3203218153</v>
      </c>
      <c r="BP86" t="s">
        <v>3178</v>
      </c>
      <c r="BQ86">
        <v>3202698186</v>
      </c>
      <c r="BR86" t="s">
        <v>1564</v>
      </c>
      <c r="BV86" t="s">
        <v>2789</v>
      </c>
    </row>
    <row r="87" spans="1:76" customFormat="1" x14ac:dyDescent="0.25">
      <c r="A87" s="496">
        <v>94</v>
      </c>
      <c r="B87">
        <v>1427041052</v>
      </c>
      <c r="C87" t="s">
        <v>2691</v>
      </c>
      <c r="D87" t="s">
        <v>217</v>
      </c>
      <c r="E87" t="s">
        <v>3467</v>
      </c>
      <c r="H87" t="s">
        <v>1240</v>
      </c>
      <c r="I87" t="s">
        <v>386</v>
      </c>
      <c r="J87">
        <v>55362</v>
      </c>
      <c r="K87">
        <v>8575</v>
      </c>
      <c r="L87">
        <v>7632952945</v>
      </c>
      <c r="M87">
        <v>7632712291</v>
      </c>
      <c r="N87" t="s">
        <v>2460</v>
      </c>
      <c r="O87" t="s">
        <v>2461</v>
      </c>
      <c r="P87" t="s">
        <v>320</v>
      </c>
      <c r="Q87" t="s">
        <v>2462</v>
      </c>
      <c r="R87" t="s">
        <v>3468</v>
      </c>
      <c r="S87" t="s">
        <v>3432</v>
      </c>
      <c r="T87" t="s">
        <v>3433</v>
      </c>
      <c r="U87" t="s">
        <v>3434</v>
      </c>
      <c r="V87">
        <v>3202512700</v>
      </c>
      <c r="W87">
        <v>54553</v>
      </c>
      <c r="X87">
        <v>3202555756</v>
      </c>
      <c r="Y87" t="s">
        <v>3435</v>
      </c>
      <c r="Z87" t="s">
        <v>3436</v>
      </c>
      <c r="AB87" t="s">
        <v>756</v>
      </c>
      <c r="AC87" t="s">
        <v>386</v>
      </c>
      <c r="AD87">
        <v>56303</v>
      </c>
      <c r="AE87">
        <v>1901</v>
      </c>
      <c r="AF87" t="s">
        <v>1849</v>
      </c>
      <c r="AG87" t="s">
        <v>3469</v>
      </c>
      <c r="AH87" t="s">
        <v>1548</v>
      </c>
      <c r="AI87" t="s">
        <v>1077</v>
      </c>
      <c r="AJ87">
        <v>1</v>
      </c>
      <c r="AK87" t="s">
        <v>219</v>
      </c>
      <c r="AL87" t="s">
        <v>2085</v>
      </c>
      <c r="AM87" t="s">
        <v>2086</v>
      </c>
      <c r="AN87" t="s">
        <v>3437</v>
      </c>
      <c r="AO87">
        <v>3202512700</v>
      </c>
      <c r="AP87">
        <v>54697</v>
      </c>
      <c r="AQ87">
        <v>3202555756</v>
      </c>
      <c r="AR87" t="s">
        <v>2087</v>
      </c>
      <c r="AS87" t="s">
        <v>3438</v>
      </c>
      <c r="AU87" t="s">
        <v>756</v>
      </c>
      <c r="AV87" t="s">
        <v>386</v>
      </c>
      <c r="AY87" t="s">
        <v>1497</v>
      </c>
      <c r="AZ87" t="s">
        <v>2088</v>
      </c>
      <c r="BA87" t="s">
        <v>501</v>
      </c>
      <c r="BB87">
        <v>7632712303</v>
      </c>
      <c r="BC87" t="s">
        <v>3178</v>
      </c>
      <c r="BD87">
        <v>7632712299</v>
      </c>
      <c r="BE87" t="s">
        <v>2903</v>
      </c>
      <c r="BF87" t="s">
        <v>3470</v>
      </c>
      <c r="BH87" t="s">
        <v>217</v>
      </c>
      <c r="BI87" t="s">
        <v>386</v>
      </c>
      <c r="BJ87">
        <v>55362</v>
      </c>
      <c r="BK87">
        <v>8575</v>
      </c>
      <c r="BL87" t="s">
        <v>1497</v>
      </c>
      <c r="BM87" t="s">
        <v>2088</v>
      </c>
      <c r="BN87" t="s">
        <v>501</v>
      </c>
      <c r="BO87">
        <v>7632712303</v>
      </c>
      <c r="BP87" t="s">
        <v>3178</v>
      </c>
      <c r="BQ87">
        <v>7632712299</v>
      </c>
      <c r="BR87" t="s">
        <v>2903</v>
      </c>
      <c r="BS87" t="s">
        <v>3470</v>
      </c>
      <c r="BU87" t="s">
        <v>217</v>
      </c>
      <c r="BV87" t="s">
        <v>386</v>
      </c>
      <c r="BW87">
        <v>55362</v>
      </c>
      <c r="BX87">
        <v>8575</v>
      </c>
    </row>
    <row r="88" spans="1:76" customFormat="1" x14ac:dyDescent="0.25">
      <c r="A88" s="496">
        <v>83</v>
      </c>
      <c r="B88">
        <v>1942398029</v>
      </c>
      <c r="C88" t="s">
        <v>176</v>
      </c>
      <c r="D88" t="s">
        <v>220</v>
      </c>
      <c r="E88" t="s">
        <v>3471</v>
      </c>
      <c r="H88" t="s">
        <v>163</v>
      </c>
      <c r="I88" t="s">
        <v>386</v>
      </c>
      <c r="J88">
        <v>55767</v>
      </c>
      <c r="L88">
        <v>2184854481</v>
      </c>
      <c r="M88">
        <v>2184855654</v>
      </c>
      <c r="N88" t="s">
        <v>396</v>
      </c>
      <c r="O88" t="s">
        <v>2904</v>
      </c>
      <c r="P88" t="s">
        <v>397</v>
      </c>
      <c r="Q88" t="s">
        <v>3472</v>
      </c>
      <c r="R88" t="s">
        <v>2905</v>
      </c>
      <c r="S88" t="s">
        <v>2906</v>
      </c>
      <c r="T88" t="s">
        <v>1114</v>
      </c>
      <c r="U88" t="s">
        <v>392</v>
      </c>
      <c r="V88">
        <v>2184855532</v>
      </c>
      <c r="W88" t="s">
        <v>3178</v>
      </c>
      <c r="X88">
        <v>2184855654</v>
      </c>
      <c r="Y88" t="s">
        <v>1806</v>
      </c>
      <c r="AC88" t="s">
        <v>386</v>
      </c>
      <c r="AG88" t="s">
        <v>221</v>
      </c>
      <c r="AH88" t="s">
        <v>402</v>
      </c>
      <c r="AJ88">
        <v>1</v>
      </c>
      <c r="AK88" t="s">
        <v>1783</v>
      </c>
      <c r="BL88" t="s">
        <v>2906</v>
      </c>
      <c r="BM88" t="s">
        <v>1114</v>
      </c>
      <c r="BN88" t="s">
        <v>392</v>
      </c>
      <c r="BO88">
        <v>2184855532</v>
      </c>
      <c r="BP88" t="s">
        <v>3178</v>
      </c>
      <c r="BQ88">
        <v>2184855654</v>
      </c>
      <c r="BR88" t="s">
        <v>1806</v>
      </c>
      <c r="BV88" t="s">
        <v>386</v>
      </c>
    </row>
    <row r="89" spans="1:76" customFormat="1" x14ac:dyDescent="0.25">
      <c r="A89" s="496">
        <v>67</v>
      </c>
      <c r="B89">
        <v>1528031390</v>
      </c>
      <c r="C89" t="s">
        <v>2055</v>
      </c>
      <c r="D89" t="s">
        <v>222</v>
      </c>
      <c r="E89" t="s">
        <v>3473</v>
      </c>
      <c r="H89" t="s">
        <v>223</v>
      </c>
      <c r="I89" t="s">
        <v>386</v>
      </c>
      <c r="J89">
        <v>55051</v>
      </c>
      <c r="K89">
        <v>1899</v>
      </c>
      <c r="L89">
        <v>3206791212</v>
      </c>
      <c r="M89">
        <v>3206791643</v>
      </c>
      <c r="N89" t="s">
        <v>224</v>
      </c>
      <c r="O89" t="s">
        <v>225</v>
      </c>
      <c r="P89" t="s">
        <v>1217</v>
      </c>
      <c r="Q89" t="s">
        <v>226</v>
      </c>
      <c r="R89" t="s">
        <v>227</v>
      </c>
      <c r="S89" t="s">
        <v>1113</v>
      </c>
      <c r="T89" t="s">
        <v>1114</v>
      </c>
      <c r="U89" t="s">
        <v>1985</v>
      </c>
      <c r="V89">
        <v>7634862698</v>
      </c>
      <c r="W89" t="s">
        <v>3178</v>
      </c>
      <c r="X89">
        <v>2187633559</v>
      </c>
      <c r="Y89" t="s">
        <v>1806</v>
      </c>
      <c r="AC89" t="s">
        <v>2789</v>
      </c>
      <c r="AG89" t="s">
        <v>2463</v>
      </c>
      <c r="AH89" t="s">
        <v>402</v>
      </c>
      <c r="AJ89">
        <v>1</v>
      </c>
      <c r="AK89" t="s">
        <v>1565</v>
      </c>
      <c r="BL89" t="s">
        <v>1113</v>
      </c>
      <c r="BM89" t="s">
        <v>1114</v>
      </c>
      <c r="BN89" t="s">
        <v>1985</v>
      </c>
      <c r="BO89">
        <v>7634862698</v>
      </c>
      <c r="BP89" t="s">
        <v>3178</v>
      </c>
      <c r="BQ89">
        <v>2187633559</v>
      </c>
      <c r="BR89" t="s">
        <v>1806</v>
      </c>
      <c r="BV89" t="s">
        <v>2789</v>
      </c>
    </row>
    <row r="90" spans="1:76" customFormat="1" x14ac:dyDescent="0.25">
      <c r="A90" s="496">
        <v>152</v>
      </c>
      <c r="B90">
        <v>1487678942</v>
      </c>
      <c r="C90" t="s">
        <v>228</v>
      </c>
      <c r="D90" t="s">
        <v>229</v>
      </c>
      <c r="E90" t="s">
        <v>3474</v>
      </c>
      <c r="H90" t="s">
        <v>230</v>
      </c>
      <c r="I90" t="s">
        <v>386</v>
      </c>
      <c r="J90">
        <v>56267</v>
      </c>
      <c r="K90">
        <v>1408</v>
      </c>
      <c r="L90">
        <v>3205891313</v>
      </c>
      <c r="M90">
        <v>3205893533</v>
      </c>
      <c r="N90" t="s">
        <v>532</v>
      </c>
      <c r="O90" t="s">
        <v>165</v>
      </c>
      <c r="P90" t="s">
        <v>1194</v>
      </c>
      <c r="Q90" t="s">
        <v>3475</v>
      </c>
      <c r="R90" t="s">
        <v>3476</v>
      </c>
      <c r="S90" t="s">
        <v>1533</v>
      </c>
      <c r="T90" t="s">
        <v>1437</v>
      </c>
      <c r="U90" t="s">
        <v>1569</v>
      </c>
      <c r="V90" t="s">
        <v>3178</v>
      </c>
      <c r="W90" t="s">
        <v>3178</v>
      </c>
      <c r="X90">
        <v>3205897686</v>
      </c>
      <c r="Y90" t="s">
        <v>1438</v>
      </c>
      <c r="Z90" t="s">
        <v>3477</v>
      </c>
      <c r="AB90" t="s">
        <v>231</v>
      </c>
      <c r="AC90" t="s">
        <v>386</v>
      </c>
      <c r="AD90">
        <v>56267</v>
      </c>
      <c r="AE90" t="s">
        <v>2353</v>
      </c>
      <c r="AF90" t="s">
        <v>232</v>
      </c>
      <c r="AG90" t="s">
        <v>3478</v>
      </c>
      <c r="AH90" t="s">
        <v>402</v>
      </c>
      <c r="AJ90">
        <v>1</v>
      </c>
      <c r="AK90" t="s">
        <v>2157</v>
      </c>
      <c r="BL90" t="s">
        <v>1533</v>
      </c>
      <c r="BM90" t="s">
        <v>1437</v>
      </c>
      <c r="BN90" t="s">
        <v>1569</v>
      </c>
      <c r="BO90" t="s">
        <v>3178</v>
      </c>
      <c r="BP90" t="s">
        <v>3178</v>
      </c>
      <c r="BQ90">
        <v>3205897686</v>
      </c>
      <c r="BR90" t="s">
        <v>1438</v>
      </c>
      <c r="BS90" t="s">
        <v>3477</v>
      </c>
      <c r="BU90" t="s">
        <v>231</v>
      </c>
      <c r="BV90" t="s">
        <v>386</v>
      </c>
      <c r="BW90">
        <v>56267</v>
      </c>
      <c r="BX90" t="s">
        <v>2353</v>
      </c>
    </row>
    <row r="91" spans="1:76" customFormat="1" x14ac:dyDescent="0.25">
      <c r="A91" s="496">
        <v>114</v>
      </c>
      <c r="B91">
        <v>1124035282</v>
      </c>
      <c r="C91" t="s">
        <v>2120</v>
      </c>
      <c r="D91" t="s">
        <v>233</v>
      </c>
      <c r="E91" t="s">
        <v>3479</v>
      </c>
      <c r="H91" t="s">
        <v>234</v>
      </c>
      <c r="I91" t="s">
        <v>386</v>
      </c>
      <c r="J91">
        <v>56071</v>
      </c>
      <c r="K91">
        <v>1709</v>
      </c>
      <c r="L91">
        <v>9527584431</v>
      </c>
      <c r="M91">
        <v>9527585009</v>
      </c>
      <c r="N91" t="s">
        <v>1634</v>
      </c>
      <c r="O91" t="s">
        <v>235</v>
      </c>
      <c r="P91" t="s">
        <v>2464</v>
      </c>
      <c r="Q91" t="s">
        <v>2465</v>
      </c>
      <c r="R91" t="s">
        <v>1835</v>
      </c>
      <c r="S91" t="s">
        <v>2044</v>
      </c>
      <c r="T91" t="s">
        <v>2045</v>
      </c>
      <c r="U91" t="s">
        <v>2876</v>
      </c>
      <c r="V91">
        <v>5073047197</v>
      </c>
      <c r="W91" t="s">
        <v>3178</v>
      </c>
      <c r="X91">
        <v>5073854874</v>
      </c>
      <c r="Y91" t="s">
        <v>2046</v>
      </c>
      <c r="Z91" t="s">
        <v>3048</v>
      </c>
      <c r="AA91" t="s">
        <v>410</v>
      </c>
      <c r="AB91" t="s">
        <v>2008</v>
      </c>
      <c r="AC91" t="s">
        <v>386</v>
      </c>
      <c r="AD91">
        <v>56001</v>
      </c>
      <c r="AF91" t="s">
        <v>1220</v>
      </c>
      <c r="AG91" t="s">
        <v>2121</v>
      </c>
      <c r="AH91" t="s">
        <v>1087</v>
      </c>
      <c r="AI91" t="s">
        <v>1077</v>
      </c>
      <c r="AJ91">
        <v>1</v>
      </c>
      <c r="AK91" t="s">
        <v>2877</v>
      </c>
      <c r="AL91" t="s">
        <v>390</v>
      </c>
      <c r="AM91" t="s">
        <v>411</v>
      </c>
      <c r="AN91" t="s">
        <v>2846</v>
      </c>
      <c r="AO91">
        <v>5073852680</v>
      </c>
      <c r="AP91" t="s">
        <v>3178</v>
      </c>
      <c r="AQ91">
        <v>5073854874</v>
      </c>
      <c r="AR91" t="s">
        <v>1362</v>
      </c>
      <c r="AS91" t="s">
        <v>3048</v>
      </c>
      <c r="AT91" t="s">
        <v>410</v>
      </c>
      <c r="AU91" t="s">
        <v>2008</v>
      </c>
      <c r="AV91" t="s">
        <v>386</v>
      </c>
      <c r="AW91">
        <v>56002</v>
      </c>
      <c r="AX91">
        <v>8673</v>
      </c>
      <c r="BL91" t="s">
        <v>390</v>
      </c>
      <c r="BM91" t="s">
        <v>411</v>
      </c>
      <c r="BN91" t="s">
        <v>2846</v>
      </c>
      <c r="BO91">
        <v>5073852680</v>
      </c>
      <c r="BP91" t="s">
        <v>3178</v>
      </c>
      <c r="BQ91">
        <v>5073854874</v>
      </c>
      <c r="BR91" t="s">
        <v>1362</v>
      </c>
      <c r="BS91" t="s">
        <v>3048</v>
      </c>
      <c r="BT91" t="s">
        <v>410</v>
      </c>
      <c r="BU91" t="s">
        <v>2008</v>
      </c>
      <c r="BV91" t="s">
        <v>386</v>
      </c>
      <c r="BW91">
        <v>56002</v>
      </c>
      <c r="BX91">
        <v>8673</v>
      </c>
    </row>
    <row r="92" spans="1:76" customFormat="1" x14ac:dyDescent="0.25">
      <c r="A92" s="496">
        <v>127</v>
      </c>
      <c r="B92">
        <v>1558328435</v>
      </c>
      <c r="C92" t="s">
        <v>237</v>
      </c>
      <c r="D92" t="s">
        <v>238</v>
      </c>
      <c r="E92" t="s">
        <v>3480</v>
      </c>
      <c r="H92" t="s">
        <v>239</v>
      </c>
      <c r="I92" t="s">
        <v>386</v>
      </c>
      <c r="J92">
        <v>56073</v>
      </c>
      <c r="K92">
        <v>1514</v>
      </c>
      <c r="L92">
        <v>5072331000</v>
      </c>
      <c r="M92">
        <v>5072331575</v>
      </c>
      <c r="N92" t="s">
        <v>2466</v>
      </c>
      <c r="O92" t="s">
        <v>2467</v>
      </c>
      <c r="P92" t="s">
        <v>128</v>
      </c>
      <c r="Q92" t="s">
        <v>2468</v>
      </c>
      <c r="R92" t="s">
        <v>3481</v>
      </c>
      <c r="S92" t="s">
        <v>532</v>
      </c>
      <c r="T92" t="s">
        <v>2476</v>
      </c>
      <c r="U92" t="s">
        <v>130</v>
      </c>
      <c r="V92">
        <v>6122624728</v>
      </c>
      <c r="W92" t="s">
        <v>3178</v>
      </c>
      <c r="X92">
        <v>6122624728</v>
      </c>
      <c r="Y92" t="s">
        <v>2896</v>
      </c>
      <c r="Z92" t="s">
        <v>3256</v>
      </c>
      <c r="AB92" t="s">
        <v>131</v>
      </c>
      <c r="AC92" t="s">
        <v>386</v>
      </c>
      <c r="AD92">
        <v>55440</v>
      </c>
      <c r="AE92">
        <v>43</v>
      </c>
      <c r="AF92" t="s">
        <v>132</v>
      </c>
      <c r="AG92" t="s">
        <v>2907</v>
      </c>
      <c r="AH92" t="s">
        <v>133</v>
      </c>
      <c r="AI92" t="s">
        <v>1077</v>
      </c>
      <c r="AJ92">
        <v>1</v>
      </c>
      <c r="AK92" t="s">
        <v>2135</v>
      </c>
      <c r="AL92" t="s">
        <v>2162</v>
      </c>
      <c r="AM92" t="s">
        <v>2163</v>
      </c>
      <c r="AN92" t="s">
        <v>1510</v>
      </c>
      <c r="AO92">
        <v>6122624720</v>
      </c>
      <c r="AP92" t="s">
        <v>3178</v>
      </c>
      <c r="AQ92">
        <v>6122624720</v>
      </c>
      <c r="AR92" t="s">
        <v>2164</v>
      </c>
      <c r="AS92" t="s">
        <v>3258</v>
      </c>
      <c r="AU92" t="s">
        <v>131</v>
      </c>
      <c r="AV92" t="s">
        <v>386</v>
      </c>
      <c r="AW92">
        <v>55440</v>
      </c>
      <c r="AX92">
        <v>43</v>
      </c>
      <c r="AY92" t="s">
        <v>134</v>
      </c>
      <c r="AZ92" t="s">
        <v>135</v>
      </c>
      <c r="BA92" t="s">
        <v>2156</v>
      </c>
      <c r="BB92">
        <v>6122624719</v>
      </c>
      <c r="BC92" t="s">
        <v>3178</v>
      </c>
      <c r="BD92">
        <v>6122624719</v>
      </c>
      <c r="BE92" t="s">
        <v>136</v>
      </c>
      <c r="BF92" t="s">
        <v>3258</v>
      </c>
      <c r="BG92" t="s">
        <v>137</v>
      </c>
      <c r="BH92" t="s">
        <v>131</v>
      </c>
      <c r="BI92" t="s">
        <v>386</v>
      </c>
      <c r="BJ92">
        <v>55440</v>
      </c>
      <c r="BK92">
        <v>43</v>
      </c>
      <c r="BL92" t="s">
        <v>532</v>
      </c>
      <c r="BM92" t="s">
        <v>2476</v>
      </c>
      <c r="BN92" t="s">
        <v>130</v>
      </c>
      <c r="BO92">
        <v>6122624728</v>
      </c>
      <c r="BP92" t="s">
        <v>3178</v>
      </c>
      <c r="BQ92">
        <v>6122624728</v>
      </c>
      <c r="BR92" t="s">
        <v>2896</v>
      </c>
      <c r="BS92" t="s">
        <v>3256</v>
      </c>
      <c r="BU92" t="s">
        <v>131</v>
      </c>
      <c r="BV92" t="s">
        <v>386</v>
      </c>
      <c r="BW92">
        <v>55440</v>
      </c>
      <c r="BX92">
        <v>43</v>
      </c>
    </row>
    <row r="93" spans="1:76" customFormat="1" x14ac:dyDescent="0.25">
      <c r="A93" s="496">
        <v>105</v>
      </c>
      <c r="B93">
        <v>1417990805</v>
      </c>
      <c r="C93" t="s">
        <v>2104</v>
      </c>
      <c r="D93" t="s">
        <v>240</v>
      </c>
      <c r="E93" t="s">
        <v>3482</v>
      </c>
      <c r="H93" t="s">
        <v>141</v>
      </c>
      <c r="I93" t="s">
        <v>386</v>
      </c>
      <c r="J93">
        <v>55057</v>
      </c>
      <c r="K93">
        <v>1498</v>
      </c>
      <c r="L93">
        <v>5076461000</v>
      </c>
      <c r="M93">
        <v>5076461392</v>
      </c>
      <c r="N93" t="s">
        <v>127</v>
      </c>
      <c r="O93" t="s">
        <v>2469</v>
      </c>
      <c r="P93" t="s">
        <v>2470</v>
      </c>
      <c r="Q93" t="s">
        <v>2471</v>
      </c>
      <c r="R93" t="s">
        <v>2908</v>
      </c>
      <c r="S93" t="s">
        <v>1196</v>
      </c>
      <c r="T93" t="s">
        <v>2105</v>
      </c>
      <c r="U93" t="s">
        <v>167</v>
      </c>
      <c r="V93">
        <v>5076461016</v>
      </c>
      <c r="W93" t="s">
        <v>3178</v>
      </c>
      <c r="X93">
        <v>5076466838</v>
      </c>
      <c r="Y93" t="s">
        <v>2106</v>
      </c>
      <c r="Z93" t="s">
        <v>3483</v>
      </c>
      <c r="AB93" t="s">
        <v>241</v>
      </c>
      <c r="AC93" t="s">
        <v>386</v>
      </c>
      <c r="AD93">
        <v>55057</v>
      </c>
      <c r="AE93">
        <v>1611</v>
      </c>
      <c r="AG93" t="s">
        <v>242</v>
      </c>
      <c r="AH93" t="s">
        <v>402</v>
      </c>
      <c r="AJ93">
        <v>0</v>
      </c>
      <c r="AK93" t="s">
        <v>243</v>
      </c>
      <c r="BL93" t="s">
        <v>1196</v>
      </c>
      <c r="BM93" t="s">
        <v>2105</v>
      </c>
      <c r="BN93" t="s">
        <v>167</v>
      </c>
      <c r="BO93">
        <v>5076461016</v>
      </c>
      <c r="BP93" t="s">
        <v>3178</v>
      </c>
      <c r="BQ93">
        <v>5076466838</v>
      </c>
      <c r="BR93" t="s">
        <v>2106</v>
      </c>
      <c r="BS93" t="s">
        <v>3483</v>
      </c>
      <c r="BU93" t="s">
        <v>241</v>
      </c>
      <c r="BV93" t="s">
        <v>386</v>
      </c>
      <c r="BW93">
        <v>55057</v>
      </c>
      <c r="BX93">
        <v>1611</v>
      </c>
    </row>
    <row r="94" spans="1:76" customFormat="1" x14ac:dyDescent="0.25">
      <c r="A94" s="496">
        <v>116</v>
      </c>
      <c r="B94">
        <v>1629091871</v>
      </c>
      <c r="C94" t="s">
        <v>244</v>
      </c>
      <c r="D94" t="s">
        <v>245</v>
      </c>
      <c r="E94" t="s">
        <v>3095</v>
      </c>
      <c r="H94" t="s">
        <v>246</v>
      </c>
      <c r="I94" t="s">
        <v>386</v>
      </c>
      <c r="J94">
        <v>56277</v>
      </c>
      <c r="K94">
        <v>4213</v>
      </c>
      <c r="L94">
        <v>3205231261</v>
      </c>
      <c r="M94">
        <v>3205233458</v>
      </c>
      <c r="N94" t="s">
        <v>2472</v>
      </c>
      <c r="O94" t="s">
        <v>2473</v>
      </c>
      <c r="P94" t="s">
        <v>397</v>
      </c>
      <c r="Q94" t="s">
        <v>2474</v>
      </c>
      <c r="R94" t="s">
        <v>3484</v>
      </c>
      <c r="S94" t="s">
        <v>1624</v>
      </c>
      <c r="T94" t="s">
        <v>1186</v>
      </c>
      <c r="U94" t="s">
        <v>218</v>
      </c>
      <c r="V94">
        <v>3205233477</v>
      </c>
      <c r="W94" t="s">
        <v>3178</v>
      </c>
      <c r="X94">
        <v>3205233458</v>
      </c>
      <c r="Y94" t="s">
        <v>3485</v>
      </c>
      <c r="AC94" t="s">
        <v>2789</v>
      </c>
      <c r="AG94" t="s">
        <v>248</v>
      </c>
      <c r="AH94" t="s">
        <v>402</v>
      </c>
      <c r="AJ94">
        <v>1</v>
      </c>
      <c r="AK94" t="s">
        <v>2122</v>
      </c>
      <c r="BL94" t="s">
        <v>2472</v>
      </c>
      <c r="BM94" t="s">
        <v>2473</v>
      </c>
      <c r="BN94" t="s">
        <v>397</v>
      </c>
      <c r="BO94">
        <v>3205231261</v>
      </c>
      <c r="BP94" t="s">
        <v>3178</v>
      </c>
      <c r="BQ94" t="s">
        <v>3178</v>
      </c>
      <c r="BR94" t="s">
        <v>2474</v>
      </c>
      <c r="BV94" t="s">
        <v>386</v>
      </c>
    </row>
    <row r="95" spans="1:76" customFormat="1" x14ac:dyDescent="0.25">
      <c r="A95" s="496">
        <v>28</v>
      </c>
      <c r="B95">
        <v>1548212699</v>
      </c>
      <c r="C95" t="s">
        <v>249</v>
      </c>
      <c r="D95" t="s">
        <v>250</v>
      </c>
      <c r="E95" t="s">
        <v>3486</v>
      </c>
      <c r="H95" t="s">
        <v>251</v>
      </c>
      <c r="I95" t="s">
        <v>386</v>
      </c>
      <c r="J95">
        <v>56359</v>
      </c>
      <c r="L95">
        <v>3205323154</v>
      </c>
      <c r="M95">
        <v>3205323111</v>
      </c>
      <c r="N95" t="s">
        <v>1439</v>
      </c>
      <c r="O95" t="s">
        <v>1234</v>
      </c>
      <c r="P95" t="s">
        <v>1217</v>
      </c>
      <c r="Q95" t="s">
        <v>1440</v>
      </c>
      <c r="R95" t="s">
        <v>1441</v>
      </c>
      <c r="S95" t="s">
        <v>1535</v>
      </c>
      <c r="T95" t="s">
        <v>1442</v>
      </c>
      <c r="U95" t="s">
        <v>218</v>
      </c>
      <c r="V95">
        <v>3205322581</v>
      </c>
      <c r="W95" t="s">
        <v>3178</v>
      </c>
      <c r="X95">
        <v>3205323111</v>
      </c>
      <c r="Y95" t="s">
        <v>1443</v>
      </c>
      <c r="Z95" t="s">
        <v>3487</v>
      </c>
      <c r="AA95" t="s">
        <v>1444</v>
      </c>
      <c r="AB95" t="s">
        <v>1987</v>
      </c>
      <c r="AC95" t="s">
        <v>386</v>
      </c>
      <c r="AD95">
        <v>56359</v>
      </c>
      <c r="AE95" t="s">
        <v>2353</v>
      </c>
      <c r="AF95" t="s">
        <v>1988</v>
      </c>
      <c r="AG95" t="s">
        <v>2909</v>
      </c>
      <c r="AH95" t="s">
        <v>402</v>
      </c>
      <c r="AJ95">
        <v>1</v>
      </c>
      <c r="AK95" t="s">
        <v>1989</v>
      </c>
      <c r="BL95" t="s">
        <v>1535</v>
      </c>
      <c r="BM95" t="s">
        <v>1442</v>
      </c>
      <c r="BN95" t="s">
        <v>218</v>
      </c>
      <c r="BO95">
        <v>3205322581</v>
      </c>
      <c r="BP95" t="s">
        <v>3178</v>
      </c>
      <c r="BQ95">
        <v>3205323111</v>
      </c>
      <c r="BR95" t="s">
        <v>1443</v>
      </c>
      <c r="BS95" t="s">
        <v>3487</v>
      </c>
      <c r="BT95" t="s">
        <v>1444</v>
      </c>
      <c r="BU95" t="s">
        <v>1987</v>
      </c>
      <c r="BV95" t="s">
        <v>386</v>
      </c>
      <c r="BW95">
        <v>56359</v>
      </c>
      <c r="BX95" t="s">
        <v>2353</v>
      </c>
    </row>
    <row r="96" spans="1:76" customFormat="1" x14ac:dyDescent="0.25">
      <c r="A96" s="496">
        <v>108</v>
      </c>
      <c r="B96">
        <v>1790783587</v>
      </c>
      <c r="C96" t="s">
        <v>252</v>
      </c>
      <c r="D96" t="s">
        <v>253</v>
      </c>
      <c r="E96" t="s">
        <v>3488</v>
      </c>
      <c r="H96" t="s">
        <v>516</v>
      </c>
      <c r="I96" t="s">
        <v>386</v>
      </c>
      <c r="J96">
        <v>56278</v>
      </c>
      <c r="L96">
        <v>3208392502</v>
      </c>
      <c r="M96">
        <v>3208394107</v>
      </c>
      <c r="N96" t="s">
        <v>1233</v>
      </c>
      <c r="O96" t="s">
        <v>3489</v>
      </c>
      <c r="P96" t="s">
        <v>397</v>
      </c>
      <c r="Q96" t="s">
        <v>3490</v>
      </c>
      <c r="R96" t="s">
        <v>2475</v>
      </c>
      <c r="S96" t="s">
        <v>307</v>
      </c>
      <c r="T96" t="s">
        <v>1204</v>
      </c>
      <c r="U96" t="s">
        <v>392</v>
      </c>
      <c r="V96">
        <v>3208394132</v>
      </c>
      <c r="W96" t="s">
        <v>3178</v>
      </c>
      <c r="X96">
        <v>3208394105</v>
      </c>
      <c r="Y96" t="s">
        <v>2113</v>
      </c>
      <c r="AC96" t="s">
        <v>2789</v>
      </c>
      <c r="AG96" t="s">
        <v>255</v>
      </c>
      <c r="AH96" t="s">
        <v>1505</v>
      </c>
      <c r="AI96" t="s">
        <v>1206</v>
      </c>
      <c r="AJ96">
        <v>1</v>
      </c>
      <c r="AK96" t="s">
        <v>2910</v>
      </c>
      <c r="AL96" t="s">
        <v>2400</v>
      </c>
      <c r="AM96" t="s">
        <v>3491</v>
      </c>
      <c r="AN96" t="s">
        <v>1115</v>
      </c>
      <c r="AO96">
        <v>3208394132</v>
      </c>
      <c r="AP96" t="s">
        <v>3178</v>
      </c>
      <c r="AQ96">
        <v>3208394105</v>
      </c>
      <c r="AR96" t="s">
        <v>3492</v>
      </c>
      <c r="AV96" t="s">
        <v>2789</v>
      </c>
      <c r="BL96" t="s">
        <v>307</v>
      </c>
      <c r="BM96" t="s">
        <v>1204</v>
      </c>
      <c r="BN96" t="s">
        <v>392</v>
      </c>
      <c r="BO96">
        <v>3208394132</v>
      </c>
      <c r="BP96" t="s">
        <v>3178</v>
      </c>
      <c r="BQ96">
        <v>3208394105</v>
      </c>
      <c r="BR96" t="s">
        <v>2113</v>
      </c>
      <c r="BV96" t="s">
        <v>2789</v>
      </c>
    </row>
    <row r="97" spans="1:76" customFormat="1" x14ac:dyDescent="0.25">
      <c r="A97" s="496">
        <v>57</v>
      </c>
      <c r="B97">
        <v>1528025632</v>
      </c>
      <c r="C97" t="s">
        <v>256</v>
      </c>
      <c r="D97" t="s">
        <v>257</v>
      </c>
      <c r="E97" t="s">
        <v>3493</v>
      </c>
      <c r="H97" t="s">
        <v>258</v>
      </c>
      <c r="I97" t="s">
        <v>386</v>
      </c>
      <c r="J97">
        <v>55060</v>
      </c>
      <c r="K97">
        <v>5503</v>
      </c>
      <c r="L97">
        <v>5074513850</v>
      </c>
      <c r="M97">
        <v>5079772335</v>
      </c>
      <c r="N97" t="s">
        <v>1233</v>
      </c>
      <c r="O97" t="s">
        <v>1445</v>
      </c>
      <c r="P97" t="s">
        <v>128</v>
      </c>
      <c r="Q97" t="s">
        <v>1446</v>
      </c>
      <c r="R97" t="s">
        <v>2911</v>
      </c>
      <c r="S97" t="s">
        <v>532</v>
      </c>
      <c r="T97" t="s">
        <v>2476</v>
      </c>
      <c r="U97" t="s">
        <v>130</v>
      </c>
      <c r="V97">
        <v>6122624728</v>
      </c>
      <c r="W97" t="s">
        <v>3178</v>
      </c>
      <c r="X97">
        <v>6122624728</v>
      </c>
      <c r="Y97" t="s">
        <v>2896</v>
      </c>
      <c r="Z97" t="s">
        <v>3256</v>
      </c>
      <c r="AB97" t="s">
        <v>131</v>
      </c>
      <c r="AC97" t="s">
        <v>386</v>
      </c>
      <c r="AD97">
        <v>55440</v>
      </c>
      <c r="AE97">
        <v>43</v>
      </c>
      <c r="AF97" t="s">
        <v>132</v>
      </c>
      <c r="AG97" t="s">
        <v>2912</v>
      </c>
      <c r="AH97" t="s">
        <v>133</v>
      </c>
      <c r="AI97" t="s">
        <v>1077</v>
      </c>
      <c r="AJ97">
        <v>0</v>
      </c>
      <c r="AK97" t="s">
        <v>2031</v>
      </c>
      <c r="AL97" t="s">
        <v>2162</v>
      </c>
      <c r="AM97" t="s">
        <v>2163</v>
      </c>
      <c r="AN97" t="s">
        <v>1510</v>
      </c>
      <c r="AO97">
        <v>6122624720</v>
      </c>
      <c r="AP97" t="s">
        <v>3178</v>
      </c>
      <c r="AQ97">
        <v>6122624720</v>
      </c>
      <c r="AR97" t="s">
        <v>2164</v>
      </c>
      <c r="AS97" t="s">
        <v>3258</v>
      </c>
      <c r="AU97" t="s">
        <v>131</v>
      </c>
      <c r="AV97" t="s">
        <v>386</v>
      </c>
      <c r="AW97">
        <v>55440</v>
      </c>
      <c r="AX97">
        <v>43</v>
      </c>
      <c r="AY97" t="s">
        <v>134</v>
      </c>
      <c r="AZ97" t="s">
        <v>135</v>
      </c>
      <c r="BA97" t="s">
        <v>2156</v>
      </c>
      <c r="BB97">
        <v>6122624719</v>
      </c>
      <c r="BC97" t="s">
        <v>3178</v>
      </c>
      <c r="BD97">
        <v>6122624719</v>
      </c>
      <c r="BE97" t="s">
        <v>136</v>
      </c>
      <c r="BF97" t="s">
        <v>3258</v>
      </c>
      <c r="BG97" t="s">
        <v>137</v>
      </c>
      <c r="BH97" t="s">
        <v>131</v>
      </c>
      <c r="BI97" t="s">
        <v>386</v>
      </c>
      <c r="BJ97">
        <v>55440</v>
      </c>
      <c r="BK97">
        <v>43</v>
      </c>
      <c r="BL97" t="s">
        <v>532</v>
      </c>
      <c r="BM97" t="s">
        <v>2476</v>
      </c>
      <c r="BN97" t="s">
        <v>130</v>
      </c>
      <c r="BO97">
        <v>6122624728</v>
      </c>
      <c r="BP97" t="s">
        <v>3178</v>
      </c>
      <c r="BQ97">
        <v>6122624728</v>
      </c>
      <c r="BR97" t="s">
        <v>2896</v>
      </c>
      <c r="BS97" t="s">
        <v>3256</v>
      </c>
      <c r="BU97" t="s">
        <v>131</v>
      </c>
      <c r="BV97" t="s">
        <v>386</v>
      </c>
      <c r="BW97">
        <v>55440</v>
      </c>
      <c r="BX97">
        <v>43</v>
      </c>
    </row>
    <row r="98" spans="1:76" customFormat="1" x14ac:dyDescent="0.25">
      <c r="A98" s="496">
        <v>140</v>
      </c>
      <c r="B98">
        <v>1023086055</v>
      </c>
      <c r="C98" t="s">
        <v>1241</v>
      </c>
      <c r="D98" t="s">
        <v>288</v>
      </c>
      <c r="E98" t="s">
        <v>3494</v>
      </c>
      <c r="H98" t="s">
        <v>289</v>
      </c>
      <c r="I98" t="s">
        <v>386</v>
      </c>
      <c r="J98">
        <v>56470</v>
      </c>
      <c r="K98">
        <v>1431</v>
      </c>
      <c r="L98">
        <v>2187323311</v>
      </c>
      <c r="M98">
        <v>2187321368</v>
      </c>
      <c r="N98" t="s">
        <v>1566</v>
      </c>
      <c r="O98" t="s">
        <v>319</v>
      </c>
      <c r="P98" t="s">
        <v>1217</v>
      </c>
      <c r="Q98" t="s">
        <v>1567</v>
      </c>
      <c r="R98" t="s">
        <v>2359</v>
      </c>
      <c r="S98" t="s">
        <v>387</v>
      </c>
      <c r="T98" t="s">
        <v>2360</v>
      </c>
      <c r="U98" t="s">
        <v>2361</v>
      </c>
      <c r="V98">
        <v>5074347055</v>
      </c>
      <c r="W98" t="s">
        <v>3178</v>
      </c>
      <c r="X98">
        <v>5074378997</v>
      </c>
      <c r="Y98" t="s">
        <v>2362</v>
      </c>
      <c r="Z98" t="s">
        <v>3240</v>
      </c>
      <c r="AB98" t="s">
        <v>1116</v>
      </c>
      <c r="AC98" t="s">
        <v>386</v>
      </c>
      <c r="AD98">
        <v>55912</v>
      </c>
      <c r="AF98" t="s">
        <v>1117</v>
      </c>
      <c r="AG98" t="s">
        <v>290</v>
      </c>
      <c r="AH98" t="s">
        <v>1076</v>
      </c>
      <c r="AI98" t="s">
        <v>1077</v>
      </c>
      <c r="AJ98">
        <v>1</v>
      </c>
      <c r="AK98" t="s">
        <v>291</v>
      </c>
      <c r="AL98" t="s">
        <v>2145</v>
      </c>
      <c r="AM98" t="s">
        <v>2146</v>
      </c>
      <c r="AN98" t="s">
        <v>392</v>
      </c>
      <c r="AO98">
        <v>2186343440</v>
      </c>
      <c r="AP98" t="s">
        <v>3178</v>
      </c>
      <c r="AQ98">
        <v>2186341094</v>
      </c>
      <c r="AR98" t="s">
        <v>2147</v>
      </c>
      <c r="AS98" t="s">
        <v>3220</v>
      </c>
      <c r="AU98" t="s">
        <v>3221</v>
      </c>
      <c r="AV98" t="s">
        <v>386</v>
      </c>
      <c r="AW98">
        <v>56623</v>
      </c>
      <c r="BL98" t="s">
        <v>2145</v>
      </c>
      <c r="BM98" t="s">
        <v>2146</v>
      </c>
      <c r="BN98" t="s">
        <v>392</v>
      </c>
      <c r="BO98">
        <v>2186343440</v>
      </c>
      <c r="BP98" t="s">
        <v>3178</v>
      </c>
      <c r="BQ98">
        <v>2186341094</v>
      </c>
      <c r="BR98" t="s">
        <v>2147</v>
      </c>
      <c r="BS98" t="s">
        <v>3220</v>
      </c>
      <c r="BU98" t="s">
        <v>3221</v>
      </c>
      <c r="BV98" t="s">
        <v>386</v>
      </c>
      <c r="BW98">
        <v>56623</v>
      </c>
    </row>
    <row r="99" spans="1:76" customFormat="1" x14ac:dyDescent="0.25">
      <c r="A99" s="496">
        <v>110</v>
      </c>
      <c r="B99">
        <v>1205269941</v>
      </c>
      <c r="C99" t="s">
        <v>2913</v>
      </c>
      <c r="D99" t="s">
        <v>292</v>
      </c>
      <c r="E99" t="s">
        <v>3495</v>
      </c>
      <c r="H99" t="s">
        <v>318</v>
      </c>
      <c r="I99" t="s">
        <v>386</v>
      </c>
      <c r="J99">
        <v>56362</v>
      </c>
      <c r="K99">
        <v>1445</v>
      </c>
      <c r="L99">
        <v>3202433767</v>
      </c>
      <c r="M99">
        <v>3202436707</v>
      </c>
      <c r="N99" t="s">
        <v>2477</v>
      </c>
      <c r="O99" t="s">
        <v>2478</v>
      </c>
      <c r="P99" t="s">
        <v>320</v>
      </c>
      <c r="Q99" t="s">
        <v>3496</v>
      </c>
      <c r="R99" t="s">
        <v>3497</v>
      </c>
      <c r="S99" t="s">
        <v>3432</v>
      </c>
      <c r="T99" t="s">
        <v>3433</v>
      </c>
      <c r="U99" t="s">
        <v>3434</v>
      </c>
      <c r="V99">
        <v>3202512700</v>
      </c>
      <c r="W99">
        <v>54553</v>
      </c>
      <c r="X99">
        <v>3202555756</v>
      </c>
      <c r="Y99" t="s">
        <v>3435</v>
      </c>
      <c r="Z99" t="s">
        <v>3436</v>
      </c>
      <c r="AB99" t="s">
        <v>756</v>
      </c>
      <c r="AC99" t="s">
        <v>386</v>
      </c>
      <c r="AD99">
        <v>56303</v>
      </c>
      <c r="AE99">
        <v>1901</v>
      </c>
      <c r="AF99" t="s">
        <v>1849</v>
      </c>
      <c r="AG99" t="s">
        <v>571</v>
      </c>
      <c r="AH99" t="s">
        <v>1548</v>
      </c>
      <c r="AI99" t="s">
        <v>1077</v>
      </c>
      <c r="AJ99">
        <v>1</v>
      </c>
      <c r="AK99" t="s">
        <v>2114</v>
      </c>
      <c r="AL99" t="s">
        <v>2085</v>
      </c>
      <c r="AM99" t="s">
        <v>2086</v>
      </c>
      <c r="AN99" t="s">
        <v>3437</v>
      </c>
      <c r="AO99">
        <v>3202512700</v>
      </c>
      <c r="AP99">
        <v>54697</v>
      </c>
      <c r="AQ99">
        <v>3202555756</v>
      </c>
      <c r="AR99" t="s">
        <v>2087</v>
      </c>
      <c r="AS99" t="s">
        <v>3438</v>
      </c>
      <c r="AU99" t="s">
        <v>756</v>
      </c>
      <c r="AV99" t="s">
        <v>386</v>
      </c>
      <c r="AY99" t="s">
        <v>1340</v>
      </c>
      <c r="AZ99" t="s">
        <v>2115</v>
      </c>
      <c r="BA99" t="s">
        <v>501</v>
      </c>
      <c r="BB99">
        <v>3202437769</v>
      </c>
      <c r="BC99">
        <v>42129</v>
      </c>
      <c r="BD99">
        <v>3202431541</v>
      </c>
      <c r="BE99" t="s">
        <v>2479</v>
      </c>
      <c r="BF99" t="s">
        <v>3498</v>
      </c>
      <c r="BH99" t="s">
        <v>3499</v>
      </c>
      <c r="BI99" t="s">
        <v>386</v>
      </c>
      <c r="BJ99">
        <v>56362</v>
      </c>
      <c r="BK99">
        <v>1445</v>
      </c>
      <c r="BL99" t="s">
        <v>1340</v>
      </c>
      <c r="BM99" t="s">
        <v>2115</v>
      </c>
      <c r="BN99" t="s">
        <v>501</v>
      </c>
      <c r="BO99">
        <v>3202437769</v>
      </c>
      <c r="BP99">
        <v>42129</v>
      </c>
      <c r="BQ99">
        <v>3202431541</v>
      </c>
      <c r="BR99" t="s">
        <v>2479</v>
      </c>
      <c r="BS99" t="s">
        <v>3498</v>
      </c>
      <c r="BU99" t="s">
        <v>3499</v>
      </c>
      <c r="BV99" t="s">
        <v>386</v>
      </c>
      <c r="BW99">
        <v>56362</v>
      </c>
      <c r="BX99">
        <v>1445</v>
      </c>
    </row>
    <row r="100" spans="1:76" customFormat="1" x14ac:dyDescent="0.25">
      <c r="A100" s="496">
        <v>112</v>
      </c>
      <c r="B100">
        <v>1790799518</v>
      </c>
      <c r="C100" t="s">
        <v>2116</v>
      </c>
      <c r="D100" t="s">
        <v>293</v>
      </c>
      <c r="E100" t="s">
        <v>3500</v>
      </c>
      <c r="H100" t="s">
        <v>1512</v>
      </c>
      <c r="I100" t="s">
        <v>386</v>
      </c>
      <c r="J100">
        <v>56573</v>
      </c>
      <c r="L100">
        <v>2183464500</v>
      </c>
      <c r="M100">
        <v>2183464540</v>
      </c>
      <c r="N100" t="s">
        <v>294</v>
      </c>
      <c r="O100" t="s">
        <v>295</v>
      </c>
      <c r="P100" t="s">
        <v>320</v>
      </c>
      <c r="Q100" t="s">
        <v>2480</v>
      </c>
      <c r="R100" t="s">
        <v>296</v>
      </c>
      <c r="S100" t="s">
        <v>2978</v>
      </c>
      <c r="T100" t="s">
        <v>2979</v>
      </c>
      <c r="U100" t="s">
        <v>2361</v>
      </c>
      <c r="V100">
        <v>6123764549</v>
      </c>
      <c r="W100" t="s">
        <v>3178</v>
      </c>
      <c r="X100">
        <v>6123764850</v>
      </c>
      <c r="Y100" t="s">
        <v>2980</v>
      </c>
      <c r="Z100" t="s">
        <v>3406</v>
      </c>
      <c r="AB100" t="s">
        <v>131</v>
      </c>
      <c r="AC100" t="s">
        <v>386</v>
      </c>
      <c r="AD100">
        <v>55402</v>
      </c>
      <c r="AF100" t="s">
        <v>132</v>
      </c>
      <c r="AG100" t="s">
        <v>2117</v>
      </c>
      <c r="AH100" t="s">
        <v>1505</v>
      </c>
      <c r="AI100" t="s">
        <v>1206</v>
      </c>
      <c r="AJ100">
        <v>1</v>
      </c>
      <c r="AK100" t="s">
        <v>2481</v>
      </c>
      <c r="AL100" t="s">
        <v>3501</v>
      </c>
      <c r="AM100" t="s">
        <v>3502</v>
      </c>
      <c r="AN100" t="s">
        <v>1099</v>
      </c>
      <c r="AO100">
        <v>2183474500</v>
      </c>
      <c r="AP100" t="s">
        <v>3178</v>
      </c>
      <c r="AQ100" t="s">
        <v>3178</v>
      </c>
      <c r="AR100" t="s">
        <v>3503</v>
      </c>
      <c r="AV100" t="s">
        <v>2789</v>
      </c>
      <c r="BL100" t="s">
        <v>3501</v>
      </c>
      <c r="BM100" t="s">
        <v>3502</v>
      </c>
      <c r="BN100" t="s">
        <v>1099</v>
      </c>
      <c r="BO100">
        <v>2183474500</v>
      </c>
      <c r="BP100" t="s">
        <v>3178</v>
      </c>
      <c r="BQ100" t="s">
        <v>3178</v>
      </c>
      <c r="BR100" t="s">
        <v>3503</v>
      </c>
      <c r="BV100" t="s">
        <v>2789</v>
      </c>
    </row>
    <row r="101" spans="1:76" customFormat="1" x14ac:dyDescent="0.25">
      <c r="A101" s="496">
        <v>113</v>
      </c>
      <c r="B101">
        <v>1598751240</v>
      </c>
      <c r="C101" t="s">
        <v>299</v>
      </c>
      <c r="D101" t="s">
        <v>300</v>
      </c>
      <c r="E101" t="s">
        <v>2914</v>
      </c>
      <c r="H101" t="s">
        <v>300</v>
      </c>
      <c r="I101" t="s">
        <v>386</v>
      </c>
      <c r="J101">
        <v>56164</v>
      </c>
      <c r="K101">
        <v>0</v>
      </c>
      <c r="L101">
        <v>5078255811</v>
      </c>
      <c r="M101">
        <v>5078255733</v>
      </c>
      <c r="N101" t="s">
        <v>297</v>
      </c>
      <c r="O101" t="s">
        <v>301</v>
      </c>
      <c r="P101" t="s">
        <v>388</v>
      </c>
      <c r="Q101" t="s">
        <v>302</v>
      </c>
      <c r="R101" t="s">
        <v>2482</v>
      </c>
      <c r="S101" t="s">
        <v>390</v>
      </c>
      <c r="T101" t="s">
        <v>391</v>
      </c>
      <c r="U101" t="s">
        <v>1099</v>
      </c>
      <c r="V101">
        <v>2187903903</v>
      </c>
      <c r="W101" t="s">
        <v>3178</v>
      </c>
      <c r="X101" t="s">
        <v>3178</v>
      </c>
      <c r="Y101" t="s">
        <v>2915</v>
      </c>
      <c r="Z101" t="s">
        <v>2916</v>
      </c>
      <c r="AB101" t="s">
        <v>2119</v>
      </c>
      <c r="AC101" t="s">
        <v>386</v>
      </c>
      <c r="AD101">
        <v>56164</v>
      </c>
      <c r="AF101" t="s">
        <v>2119</v>
      </c>
      <c r="AG101" t="s">
        <v>303</v>
      </c>
      <c r="AH101" t="s">
        <v>1632</v>
      </c>
      <c r="AI101" t="s">
        <v>1206</v>
      </c>
      <c r="AJ101">
        <v>1</v>
      </c>
      <c r="AK101" t="s">
        <v>3504</v>
      </c>
      <c r="BL101" t="s">
        <v>1455</v>
      </c>
      <c r="BM101" t="s">
        <v>2118</v>
      </c>
      <c r="BN101" t="s">
        <v>392</v>
      </c>
      <c r="BO101">
        <v>5078256079</v>
      </c>
      <c r="BP101" t="s">
        <v>3178</v>
      </c>
      <c r="BQ101">
        <v>5078255733</v>
      </c>
      <c r="BR101" t="s">
        <v>2483</v>
      </c>
      <c r="BS101" t="s">
        <v>2917</v>
      </c>
      <c r="BU101" t="s">
        <v>2119</v>
      </c>
      <c r="BV101" t="s">
        <v>386</v>
      </c>
    </row>
    <row r="102" spans="1:76" customFormat="1" x14ac:dyDescent="0.25">
      <c r="A102" s="496">
        <v>41</v>
      </c>
      <c r="B102">
        <v>1922085299</v>
      </c>
      <c r="C102" t="s">
        <v>304</v>
      </c>
      <c r="D102" t="s">
        <v>305</v>
      </c>
      <c r="E102" t="s">
        <v>3505</v>
      </c>
      <c r="H102" t="s">
        <v>306</v>
      </c>
      <c r="I102" t="s">
        <v>386</v>
      </c>
      <c r="J102">
        <v>55371</v>
      </c>
      <c r="K102">
        <v>2172</v>
      </c>
      <c r="L102">
        <v>7633891313</v>
      </c>
      <c r="M102">
        <v>7633896306</v>
      </c>
      <c r="N102" t="s">
        <v>1535</v>
      </c>
      <c r="O102" t="s">
        <v>1842</v>
      </c>
      <c r="P102" t="s">
        <v>128</v>
      </c>
      <c r="Q102" t="s">
        <v>2530</v>
      </c>
      <c r="R102" t="s">
        <v>2484</v>
      </c>
      <c r="S102" t="s">
        <v>2181</v>
      </c>
      <c r="T102" t="s">
        <v>2182</v>
      </c>
      <c r="U102" t="s">
        <v>2918</v>
      </c>
      <c r="V102">
        <v>6126726977</v>
      </c>
      <c r="W102" t="s">
        <v>3178</v>
      </c>
      <c r="X102">
        <v>6126726986</v>
      </c>
      <c r="Y102" t="s">
        <v>2183</v>
      </c>
      <c r="Z102" t="s">
        <v>3506</v>
      </c>
      <c r="AB102" t="s">
        <v>131</v>
      </c>
      <c r="AC102" t="s">
        <v>386</v>
      </c>
      <c r="AD102">
        <v>55413</v>
      </c>
      <c r="AE102">
        <v>2613</v>
      </c>
      <c r="AF102" t="s">
        <v>132</v>
      </c>
      <c r="AG102" t="s">
        <v>144</v>
      </c>
      <c r="AH102" t="s">
        <v>145</v>
      </c>
      <c r="AI102" t="s">
        <v>1077</v>
      </c>
      <c r="AJ102">
        <v>0</v>
      </c>
      <c r="AK102" t="s">
        <v>2485</v>
      </c>
      <c r="AL102" t="s">
        <v>2011</v>
      </c>
      <c r="AM102" t="s">
        <v>2012</v>
      </c>
      <c r="AN102" t="s">
        <v>2822</v>
      </c>
      <c r="AO102">
        <v>6126727067</v>
      </c>
      <c r="AP102" t="s">
        <v>3178</v>
      </c>
      <c r="AQ102">
        <v>6126726986</v>
      </c>
      <c r="AR102" t="s">
        <v>1562</v>
      </c>
      <c r="AS102" t="s">
        <v>2010</v>
      </c>
      <c r="AU102" t="s">
        <v>131</v>
      </c>
      <c r="AV102" t="s">
        <v>386</v>
      </c>
      <c r="AW102">
        <v>55413</v>
      </c>
      <c r="AX102">
        <v>2613</v>
      </c>
      <c r="AY102" t="s">
        <v>247</v>
      </c>
      <c r="AZ102" t="s">
        <v>1495</v>
      </c>
      <c r="BA102" t="s">
        <v>2009</v>
      </c>
      <c r="BB102">
        <v>6126726736</v>
      </c>
      <c r="BC102" t="s">
        <v>3178</v>
      </c>
      <c r="BD102">
        <v>6126726986</v>
      </c>
      <c r="BE102" t="s">
        <v>1496</v>
      </c>
      <c r="BF102" t="s">
        <v>2010</v>
      </c>
      <c r="BH102" t="s">
        <v>131</v>
      </c>
      <c r="BI102" t="s">
        <v>386</v>
      </c>
      <c r="BJ102">
        <v>55413</v>
      </c>
      <c r="BK102">
        <v>2613</v>
      </c>
      <c r="BL102" t="s">
        <v>1492</v>
      </c>
      <c r="BM102" t="s">
        <v>1807</v>
      </c>
      <c r="BN102" t="s">
        <v>3261</v>
      </c>
      <c r="BO102">
        <v>6126724668</v>
      </c>
      <c r="BP102" t="s">
        <v>3178</v>
      </c>
      <c r="BQ102">
        <v>6126721240</v>
      </c>
      <c r="BR102" t="s">
        <v>1808</v>
      </c>
      <c r="BS102" t="s">
        <v>2010</v>
      </c>
      <c r="BU102" t="s">
        <v>131</v>
      </c>
      <c r="BV102" t="s">
        <v>386</v>
      </c>
      <c r="BW102">
        <v>55413</v>
      </c>
      <c r="BX102">
        <v>2613</v>
      </c>
    </row>
    <row r="103" spans="1:76" customFormat="1" x14ac:dyDescent="0.25">
      <c r="A103" s="495">
        <v>213</v>
      </c>
      <c r="B103" s="339"/>
      <c r="C103" s="339" t="s">
        <v>2199</v>
      </c>
      <c r="D103" s="339" t="s">
        <v>2200</v>
      </c>
      <c r="E103" s="339" t="s">
        <v>2201</v>
      </c>
      <c r="F103" s="339"/>
      <c r="G103" s="339"/>
      <c r="H103" s="339" t="s">
        <v>1193</v>
      </c>
      <c r="I103" s="339" t="s">
        <v>386</v>
      </c>
      <c r="J103" s="339">
        <v>56671</v>
      </c>
      <c r="K103" s="339"/>
      <c r="L103" s="339">
        <v>2186793912</v>
      </c>
      <c r="M103" s="339"/>
      <c r="N103" s="339" t="s">
        <v>2202</v>
      </c>
      <c r="O103" s="339" t="s">
        <v>2203</v>
      </c>
      <c r="P103" s="339"/>
      <c r="Q103" s="339"/>
      <c r="R103" s="339"/>
      <c r="S103" s="339"/>
      <c r="T103" s="339"/>
      <c r="U103" s="339"/>
      <c r="V103" s="339"/>
      <c r="W103" s="339"/>
      <c r="X103" s="339"/>
      <c r="Y103" s="339"/>
      <c r="Z103" s="339"/>
      <c r="AA103" s="339"/>
      <c r="AB103" s="339"/>
      <c r="AC103" s="339"/>
      <c r="AD103" s="339"/>
      <c r="AE103" s="339"/>
      <c r="AF103" s="339"/>
      <c r="AG103" s="339"/>
      <c r="AH103" s="339" t="s">
        <v>2204</v>
      </c>
      <c r="AI103" s="339" t="s">
        <v>1077</v>
      </c>
      <c r="AJ103" s="339" t="s">
        <v>104</v>
      </c>
      <c r="AK103" s="339"/>
      <c r="BL103" s="339"/>
      <c r="BM103" s="339"/>
      <c r="BN103" s="339"/>
      <c r="BO103" s="339"/>
      <c r="BP103" s="339"/>
      <c r="BQ103" s="339"/>
      <c r="BR103" s="339"/>
      <c r="BS103" s="339"/>
      <c r="BT103" s="339"/>
      <c r="BU103" s="339"/>
      <c r="BV103" s="339"/>
      <c r="BW103" s="339"/>
      <c r="BX103" s="339"/>
    </row>
    <row r="104" spans="1:76" customFormat="1" x14ac:dyDescent="0.25">
      <c r="A104" s="496">
        <v>138</v>
      </c>
      <c r="B104">
        <v>1164400024</v>
      </c>
      <c r="C104" t="s">
        <v>2143</v>
      </c>
      <c r="D104" t="s">
        <v>309</v>
      </c>
      <c r="E104" t="s">
        <v>3507</v>
      </c>
      <c r="H104" t="s">
        <v>157</v>
      </c>
      <c r="I104" t="s">
        <v>386</v>
      </c>
      <c r="J104">
        <v>55066</v>
      </c>
      <c r="L104">
        <v>6512675000</v>
      </c>
      <c r="M104">
        <v>6513853448</v>
      </c>
      <c r="N104" t="s">
        <v>1080</v>
      </c>
      <c r="O104" t="s">
        <v>2486</v>
      </c>
      <c r="P104" t="s">
        <v>1082</v>
      </c>
      <c r="Q104" t="s">
        <v>2487</v>
      </c>
      <c r="R104" t="s">
        <v>2784</v>
      </c>
      <c r="S104" t="s">
        <v>129</v>
      </c>
      <c r="T104" t="s">
        <v>1063</v>
      </c>
      <c r="U104" t="s">
        <v>2352</v>
      </c>
      <c r="V104">
        <v>5072664742</v>
      </c>
      <c r="W104" t="s">
        <v>3178</v>
      </c>
      <c r="X104">
        <v>5072840986</v>
      </c>
      <c r="Y104" t="s">
        <v>1064</v>
      </c>
      <c r="Z104" t="s">
        <v>3191</v>
      </c>
      <c r="AB104" t="s">
        <v>1065</v>
      </c>
      <c r="AC104" t="s">
        <v>386</v>
      </c>
      <c r="AD104">
        <v>55905</v>
      </c>
      <c r="AF104" t="s">
        <v>1009</v>
      </c>
      <c r="AG104" t="s">
        <v>2144</v>
      </c>
      <c r="AH104" t="s">
        <v>1087</v>
      </c>
      <c r="AI104" t="s">
        <v>1077</v>
      </c>
      <c r="AJ104">
        <v>0</v>
      </c>
      <c r="AK104" t="s">
        <v>310</v>
      </c>
      <c r="AL104" t="s">
        <v>2044</v>
      </c>
      <c r="AM104" t="s">
        <v>2045</v>
      </c>
      <c r="AN104" t="s">
        <v>2876</v>
      </c>
      <c r="AO104">
        <v>5073047197</v>
      </c>
      <c r="AP104" t="s">
        <v>3178</v>
      </c>
      <c r="AQ104">
        <v>5073854874</v>
      </c>
      <c r="AR104" t="s">
        <v>2046</v>
      </c>
      <c r="AS104" t="s">
        <v>3048</v>
      </c>
      <c r="AT104" t="s">
        <v>410</v>
      </c>
      <c r="AU104" t="s">
        <v>2008</v>
      </c>
      <c r="AV104" t="s">
        <v>386</v>
      </c>
      <c r="AW104">
        <v>56001</v>
      </c>
      <c r="BL104" t="s">
        <v>129</v>
      </c>
      <c r="BM104" t="s">
        <v>1063</v>
      </c>
      <c r="BN104" t="s">
        <v>2352</v>
      </c>
      <c r="BO104">
        <v>5072664742</v>
      </c>
      <c r="BP104" t="s">
        <v>3178</v>
      </c>
      <c r="BQ104">
        <v>5072840986</v>
      </c>
      <c r="BR104" t="s">
        <v>1064</v>
      </c>
      <c r="BS104" t="s">
        <v>3191</v>
      </c>
      <c r="BU104" t="s">
        <v>1065</v>
      </c>
      <c r="BV104" t="s">
        <v>386</v>
      </c>
      <c r="BW104">
        <v>55905</v>
      </c>
    </row>
    <row r="105" spans="1:76" customFormat="1" x14ac:dyDescent="0.25">
      <c r="A105" s="496">
        <v>98</v>
      </c>
      <c r="B105">
        <v>1104818673</v>
      </c>
      <c r="C105" t="s">
        <v>312</v>
      </c>
      <c r="D105" t="s">
        <v>313</v>
      </c>
      <c r="E105" t="s">
        <v>3508</v>
      </c>
      <c r="H105" t="s">
        <v>314</v>
      </c>
      <c r="I105" t="s">
        <v>386</v>
      </c>
      <c r="J105">
        <v>56283</v>
      </c>
      <c r="K105">
        <v>1828</v>
      </c>
      <c r="L105">
        <v>5076374500</v>
      </c>
      <c r="M105">
        <v>5076976000</v>
      </c>
      <c r="N105" t="s">
        <v>2091</v>
      </c>
      <c r="O105" t="s">
        <v>2092</v>
      </c>
      <c r="P105" t="s">
        <v>397</v>
      </c>
      <c r="Q105" t="s">
        <v>2093</v>
      </c>
      <c r="R105" t="s">
        <v>2488</v>
      </c>
      <c r="S105" t="s">
        <v>1628</v>
      </c>
      <c r="T105" t="s">
        <v>1331</v>
      </c>
      <c r="U105" t="s">
        <v>2089</v>
      </c>
      <c r="V105">
        <v>5076375755</v>
      </c>
      <c r="W105" t="s">
        <v>3178</v>
      </c>
      <c r="X105">
        <v>5076372417</v>
      </c>
      <c r="Y105" t="s">
        <v>2090</v>
      </c>
      <c r="Z105" t="s">
        <v>3509</v>
      </c>
      <c r="AB105" t="s">
        <v>315</v>
      </c>
      <c r="AC105" t="s">
        <v>386</v>
      </c>
      <c r="AD105">
        <v>56283</v>
      </c>
      <c r="AF105" t="s">
        <v>314</v>
      </c>
      <c r="AG105" t="s">
        <v>316</v>
      </c>
      <c r="AH105" t="s">
        <v>402</v>
      </c>
      <c r="AJ105">
        <v>1</v>
      </c>
      <c r="AK105" t="s">
        <v>2919</v>
      </c>
      <c r="AL105" t="s">
        <v>2057</v>
      </c>
      <c r="AM105" t="s">
        <v>2058</v>
      </c>
      <c r="AN105" t="s">
        <v>2361</v>
      </c>
      <c r="AO105">
        <v>6123764624</v>
      </c>
      <c r="AP105" t="s">
        <v>3178</v>
      </c>
      <c r="AQ105">
        <v>6123764850</v>
      </c>
      <c r="AR105" t="s">
        <v>2426</v>
      </c>
      <c r="AS105" t="s">
        <v>2861</v>
      </c>
      <c r="AU105" t="s">
        <v>131</v>
      </c>
      <c r="AV105" t="s">
        <v>386</v>
      </c>
      <c r="AW105">
        <v>55402</v>
      </c>
      <c r="AX105">
        <v>1436</v>
      </c>
      <c r="AY105" t="s">
        <v>2091</v>
      </c>
      <c r="AZ105" t="s">
        <v>2092</v>
      </c>
      <c r="BA105" t="s">
        <v>392</v>
      </c>
      <c r="BB105">
        <v>5076374511</v>
      </c>
      <c r="BC105" t="s">
        <v>3178</v>
      </c>
      <c r="BD105">
        <v>5076976000</v>
      </c>
      <c r="BE105" t="s">
        <v>2093</v>
      </c>
      <c r="BF105" t="s">
        <v>3510</v>
      </c>
      <c r="BH105" t="s">
        <v>315</v>
      </c>
      <c r="BI105" t="s">
        <v>386</v>
      </c>
      <c r="BJ105">
        <v>56283</v>
      </c>
      <c r="BK105">
        <v>1828</v>
      </c>
      <c r="BL105" t="s">
        <v>1628</v>
      </c>
      <c r="BM105" t="s">
        <v>1331</v>
      </c>
      <c r="BN105" t="s">
        <v>2089</v>
      </c>
      <c r="BO105">
        <v>5076375755</v>
      </c>
      <c r="BP105" t="s">
        <v>3178</v>
      </c>
      <c r="BQ105">
        <v>5076372417</v>
      </c>
      <c r="BR105" t="s">
        <v>2090</v>
      </c>
      <c r="BS105" t="s">
        <v>3509</v>
      </c>
      <c r="BU105" t="s">
        <v>315</v>
      </c>
      <c r="BV105" t="s">
        <v>386</v>
      </c>
      <c r="BW105">
        <v>56283</v>
      </c>
    </row>
    <row r="106" spans="1:76" customFormat="1" x14ac:dyDescent="0.25">
      <c r="A106" s="496">
        <v>103</v>
      </c>
      <c r="B106">
        <v>1851344907</v>
      </c>
      <c r="C106" t="s">
        <v>286</v>
      </c>
      <c r="D106" t="s">
        <v>287</v>
      </c>
      <c r="E106" t="s">
        <v>3511</v>
      </c>
      <c r="H106" t="s">
        <v>143</v>
      </c>
      <c r="I106" t="s">
        <v>386</v>
      </c>
      <c r="J106">
        <v>55422</v>
      </c>
      <c r="K106">
        <v>2900</v>
      </c>
      <c r="L106">
        <v>7635205000</v>
      </c>
      <c r="M106">
        <v>7635205006</v>
      </c>
      <c r="N106" t="s">
        <v>2878</v>
      </c>
      <c r="O106" t="s">
        <v>2879</v>
      </c>
      <c r="P106" t="s">
        <v>1191</v>
      </c>
      <c r="Q106" t="s">
        <v>2880</v>
      </c>
      <c r="R106" t="s">
        <v>3413</v>
      </c>
      <c r="S106" t="s">
        <v>1549</v>
      </c>
      <c r="T106" t="s">
        <v>2097</v>
      </c>
      <c r="U106" t="s">
        <v>2101</v>
      </c>
      <c r="V106">
        <v>9524576042</v>
      </c>
      <c r="W106" t="s">
        <v>3178</v>
      </c>
      <c r="X106">
        <v>3203104397</v>
      </c>
      <c r="Y106" t="s">
        <v>2881</v>
      </c>
      <c r="Z106" t="s">
        <v>3414</v>
      </c>
      <c r="AB106" t="s">
        <v>2882</v>
      </c>
      <c r="AC106" t="s">
        <v>386</v>
      </c>
      <c r="AD106">
        <v>55376</v>
      </c>
      <c r="AG106" t="s">
        <v>2099</v>
      </c>
      <c r="AH106" t="s">
        <v>1059</v>
      </c>
      <c r="AI106" t="s">
        <v>1077</v>
      </c>
      <c r="AJ106">
        <v>0</v>
      </c>
      <c r="AK106" t="s">
        <v>2100</v>
      </c>
      <c r="AL106" t="s">
        <v>1557</v>
      </c>
      <c r="AM106" t="s">
        <v>2146</v>
      </c>
      <c r="AN106" t="s">
        <v>1099</v>
      </c>
      <c r="AO106">
        <v>7635814635</v>
      </c>
      <c r="AP106" t="s">
        <v>3178</v>
      </c>
      <c r="AQ106">
        <v>7635814561</v>
      </c>
      <c r="AR106" t="s">
        <v>2883</v>
      </c>
      <c r="AS106" t="s">
        <v>3415</v>
      </c>
      <c r="AU106" t="s">
        <v>1058</v>
      </c>
      <c r="AV106" t="s">
        <v>386</v>
      </c>
      <c r="AW106">
        <v>55422</v>
      </c>
      <c r="AX106" t="s">
        <v>1963</v>
      </c>
      <c r="BL106" t="s">
        <v>1549</v>
      </c>
      <c r="BM106" t="s">
        <v>2097</v>
      </c>
      <c r="BN106" t="s">
        <v>2101</v>
      </c>
      <c r="BO106">
        <v>9524576042</v>
      </c>
      <c r="BP106" t="s">
        <v>3178</v>
      </c>
      <c r="BQ106">
        <v>3203104397</v>
      </c>
      <c r="BR106" t="s">
        <v>2881</v>
      </c>
      <c r="BS106" t="s">
        <v>3414</v>
      </c>
      <c r="BU106" t="s">
        <v>2882</v>
      </c>
      <c r="BV106" t="s">
        <v>386</v>
      </c>
      <c r="BW106">
        <v>55376</v>
      </c>
    </row>
    <row r="107" spans="1:76" customFormat="1" x14ac:dyDescent="0.25">
      <c r="A107" s="496">
        <v>107</v>
      </c>
      <c r="B107">
        <v>1538112131</v>
      </c>
      <c r="C107" t="s">
        <v>1698</v>
      </c>
      <c r="D107" t="s">
        <v>1061</v>
      </c>
      <c r="E107" t="s">
        <v>3512</v>
      </c>
      <c r="H107" t="s">
        <v>1062</v>
      </c>
      <c r="I107" t="s">
        <v>386</v>
      </c>
      <c r="J107">
        <v>55904</v>
      </c>
      <c r="K107">
        <v>6425</v>
      </c>
      <c r="L107">
        <v>5075296600</v>
      </c>
      <c r="M107">
        <v>5075296622</v>
      </c>
      <c r="N107" t="s">
        <v>247</v>
      </c>
      <c r="O107" t="s">
        <v>1699</v>
      </c>
      <c r="P107" t="s">
        <v>1082</v>
      </c>
      <c r="Q107" t="s">
        <v>2489</v>
      </c>
      <c r="R107" t="s">
        <v>1700</v>
      </c>
      <c r="S107" t="s">
        <v>2920</v>
      </c>
      <c r="T107" t="s">
        <v>2921</v>
      </c>
      <c r="U107" t="s">
        <v>1569</v>
      </c>
      <c r="V107">
        <v>5075296598</v>
      </c>
      <c r="W107" t="s">
        <v>3178</v>
      </c>
      <c r="X107">
        <v>5072872779</v>
      </c>
      <c r="Y107" t="s">
        <v>2922</v>
      </c>
      <c r="Z107" t="s">
        <v>3513</v>
      </c>
      <c r="AB107" t="s">
        <v>1065</v>
      </c>
      <c r="AC107" t="s">
        <v>386</v>
      </c>
      <c r="AD107">
        <v>55904</v>
      </c>
      <c r="AG107" t="s">
        <v>1701</v>
      </c>
      <c r="AH107" t="s">
        <v>402</v>
      </c>
      <c r="AJ107">
        <v>0</v>
      </c>
      <c r="AK107" t="s">
        <v>1702</v>
      </c>
      <c r="AL107" t="s">
        <v>294</v>
      </c>
      <c r="AM107" t="s">
        <v>1331</v>
      </c>
      <c r="AN107" t="s">
        <v>1843</v>
      </c>
      <c r="AO107">
        <v>5075296581</v>
      </c>
      <c r="AP107" t="s">
        <v>3178</v>
      </c>
      <c r="AQ107">
        <v>5075296587</v>
      </c>
      <c r="AR107" t="s">
        <v>1844</v>
      </c>
      <c r="AV107" t="s">
        <v>386</v>
      </c>
      <c r="AY107" t="s">
        <v>1845</v>
      </c>
      <c r="AZ107" t="s">
        <v>472</v>
      </c>
      <c r="BA107" t="s">
        <v>1846</v>
      </c>
      <c r="BB107">
        <v>5075296615</v>
      </c>
      <c r="BC107" t="s">
        <v>3178</v>
      </c>
      <c r="BD107">
        <v>5075296587</v>
      </c>
      <c r="BE107" t="s">
        <v>1847</v>
      </c>
      <c r="BF107" t="s">
        <v>3513</v>
      </c>
      <c r="BH107" t="s">
        <v>1065</v>
      </c>
      <c r="BI107" t="s">
        <v>386</v>
      </c>
      <c r="BJ107">
        <v>55904</v>
      </c>
      <c r="BL107" t="s">
        <v>307</v>
      </c>
      <c r="BM107" t="s">
        <v>2111</v>
      </c>
      <c r="BN107" t="s">
        <v>218</v>
      </c>
      <c r="BO107">
        <v>5075296619</v>
      </c>
      <c r="BP107" t="s">
        <v>3178</v>
      </c>
      <c r="BQ107">
        <v>5072872779</v>
      </c>
      <c r="BR107" t="s">
        <v>2112</v>
      </c>
      <c r="BS107" t="s">
        <v>3513</v>
      </c>
      <c r="BU107" t="s">
        <v>1065</v>
      </c>
      <c r="BV107" t="s">
        <v>386</v>
      </c>
      <c r="BW107">
        <v>55904</v>
      </c>
    </row>
    <row r="108" spans="1:76" customFormat="1" x14ac:dyDescent="0.25">
      <c r="A108" s="496">
        <v>145</v>
      </c>
      <c r="B108">
        <v>1841266194</v>
      </c>
      <c r="C108" t="s">
        <v>2726</v>
      </c>
      <c r="D108" t="s">
        <v>1061</v>
      </c>
      <c r="E108" t="s">
        <v>3514</v>
      </c>
      <c r="H108" t="s">
        <v>1062</v>
      </c>
      <c r="I108" t="s">
        <v>386</v>
      </c>
      <c r="J108">
        <v>55902</v>
      </c>
      <c r="K108">
        <v>1906</v>
      </c>
      <c r="L108">
        <v>5072664742</v>
      </c>
      <c r="M108">
        <v>5072840986</v>
      </c>
      <c r="N108" t="s">
        <v>2923</v>
      </c>
      <c r="O108" t="s">
        <v>2924</v>
      </c>
      <c r="P108" t="s">
        <v>2925</v>
      </c>
      <c r="Q108" t="s">
        <v>2926</v>
      </c>
      <c r="R108" t="s">
        <v>2490</v>
      </c>
      <c r="S108" t="s">
        <v>1447</v>
      </c>
      <c r="T108" t="s">
        <v>1448</v>
      </c>
      <c r="U108" t="s">
        <v>1972</v>
      </c>
      <c r="V108">
        <v>5072845761</v>
      </c>
      <c r="W108" t="s">
        <v>3178</v>
      </c>
      <c r="X108">
        <v>5072840986</v>
      </c>
      <c r="Y108" t="s">
        <v>1449</v>
      </c>
      <c r="Z108" t="s">
        <v>3267</v>
      </c>
      <c r="AB108" t="s">
        <v>1065</v>
      </c>
      <c r="AC108" t="s">
        <v>386</v>
      </c>
      <c r="AD108">
        <v>55905</v>
      </c>
      <c r="AE108" t="s">
        <v>2353</v>
      </c>
      <c r="AF108" t="s">
        <v>1009</v>
      </c>
      <c r="AG108" t="s">
        <v>2149</v>
      </c>
      <c r="AH108" t="s">
        <v>1087</v>
      </c>
      <c r="AI108" t="s">
        <v>1077</v>
      </c>
      <c r="AJ108">
        <v>0</v>
      </c>
      <c r="AK108" t="s">
        <v>2150</v>
      </c>
      <c r="BL108" t="s">
        <v>1447</v>
      </c>
      <c r="BM108" t="s">
        <v>1448</v>
      </c>
      <c r="BN108" t="s">
        <v>1972</v>
      </c>
      <c r="BO108">
        <v>5072845761</v>
      </c>
      <c r="BP108" t="s">
        <v>3178</v>
      </c>
      <c r="BQ108">
        <v>5072840986</v>
      </c>
      <c r="BR108" t="s">
        <v>1449</v>
      </c>
      <c r="BS108" t="s">
        <v>3267</v>
      </c>
      <c r="BU108" t="s">
        <v>1065</v>
      </c>
      <c r="BV108" t="s">
        <v>386</v>
      </c>
      <c r="BW108">
        <v>55905</v>
      </c>
      <c r="BX108" t="s">
        <v>2353</v>
      </c>
    </row>
    <row r="109" spans="1:76" customFormat="1" x14ac:dyDescent="0.25">
      <c r="A109" s="496">
        <v>251</v>
      </c>
      <c r="B109">
        <v>1669418851</v>
      </c>
      <c r="C109" t="s">
        <v>1570</v>
      </c>
      <c r="D109" t="s">
        <v>1061</v>
      </c>
      <c r="E109" t="s">
        <v>3515</v>
      </c>
      <c r="H109" t="s">
        <v>1062</v>
      </c>
      <c r="I109" t="s">
        <v>386</v>
      </c>
      <c r="J109">
        <v>55904</v>
      </c>
      <c r="K109">
        <v>5530</v>
      </c>
      <c r="L109">
        <v>5072062561</v>
      </c>
      <c r="M109">
        <v>5075292748</v>
      </c>
      <c r="N109" t="s">
        <v>1624</v>
      </c>
      <c r="O109" t="s">
        <v>3193</v>
      </c>
      <c r="P109" t="s">
        <v>2354</v>
      </c>
      <c r="Q109" t="s">
        <v>3194</v>
      </c>
      <c r="R109" t="s">
        <v>1096</v>
      </c>
      <c r="S109" t="s">
        <v>1097</v>
      </c>
      <c r="T109" t="s">
        <v>1098</v>
      </c>
      <c r="U109" t="s">
        <v>392</v>
      </c>
      <c r="V109">
        <v>5079347689</v>
      </c>
      <c r="W109" t="s">
        <v>3178</v>
      </c>
      <c r="X109">
        <v>5079347651</v>
      </c>
      <c r="Y109" t="s">
        <v>3195</v>
      </c>
      <c r="Z109" t="s">
        <v>3196</v>
      </c>
      <c r="AB109" t="s">
        <v>817</v>
      </c>
      <c r="AC109" t="s">
        <v>386</v>
      </c>
      <c r="AD109">
        <v>56082</v>
      </c>
      <c r="AE109">
        <v>1327</v>
      </c>
      <c r="AG109" t="s">
        <v>3197</v>
      </c>
      <c r="AH109" t="s">
        <v>1101</v>
      </c>
      <c r="AI109" t="s">
        <v>1077</v>
      </c>
      <c r="AJ109">
        <v>0</v>
      </c>
      <c r="AK109">
        <v>0</v>
      </c>
    </row>
    <row r="110" spans="1:76" customFormat="1" x14ac:dyDescent="0.25">
      <c r="A110" s="496">
        <v>121</v>
      </c>
      <c r="B110">
        <v>1609861095</v>
      </c>
      <c r="C110" t="s">
        <v>1703</v>
      </c>
      <c r="D110" t="s">
        <v>1010</v>
      </c>
      <c r="E110" t="s">
        <v>3516</v>
      </c>
      <c r="H110" t="s">
        <v>1010</v>
      </c>
      <c r="I110" t="s">
        <v>386</v>
      </c>
      <c r="J110">
        <v>56751</v>
      </c>
      <c r="K110">
        <v>1534</v>
      </c>
      <c r="L110">
        <v>2184632500</v>
      </c>
      <c r="M110">
        <v>2184631266</v>
      </c>
      <c r="N110" t="s">
        <v>1011</v>
      </c>
      <c r="O110" t="s">
        <v>1012</v>
      </c>
      <c r="P110" t="s">
        <v>1191</v>
      </c>
      <c r="Q110" t="s">
        <v>1571</v>
      </c>
      <c r="R110" t="s">
        <v>1013</v>
      </c>
      <c r="S110" t="s">
        <v>1014</v>
      </c>
      <c r="T110" t="s">
        <v>1015</v>
      </c>
      <c r="U110" t="s">
        <v>218</v>
      </c>
      <c r="V110">
        <v>2184634763</v>
      </c>
      <c r="W110" t="s">
        <v>3178</v>
      </c>
      <c r="X110">
        <v>2184631266</v>
      </c>
      <c r="Y110" t="s">
        <v>1572</v>
      </c>
      <c r="Z110" t="s">
        <v>3517</v>
      </c>
      <c r="AB110" t="s">
        <v>1016</v>
      </c>
      <c r="AC110" t="s">
        <v>386</v>
      </c>
      <c r="AD110">
        <v>56751</v>
      </c>
      <c r="AE110" t="s">
        <v>2353</v>
      </c>
      <c r="AG110" t="s">
        <v>2133</v>
      </c>
      <c r="AH110" t="s">
        <v>402</v>
      </c>
      <c r="AJ110">
        <v>1</v>
      </c>
      <c r="AK110" t="s">
        <v>1848</v>
      </c>
      <c r="BL110" t="s">
        <v>1014</v>
      </c>
      <c r="BM110" t="s">
        <v>1015</v>
      </c>
      <c r="BN110" t="s">
        <v>218</v>
      </c>
      <c r="BO110">
        <v>2184634763</v>
      </c>
      <c r="BP110" t="s">
        <v>3178</v>
      </c>
      <c r="BQ110">
        <v>2184631266</v>
      </c>
      <c r="BR110" t="s">
        <v>1572</v>
      </c>
      <c r="BS110" t="s">
        <v>3517</v>
      </c>
      <c r="BU110" t="s">
        <v>1016</v>
      </c>
      <c r="BV110" t="s">
        <v>386</v>
      </c>
      <c r="BW110">
        <v>56751</v>
      </c>
      <c r="BX110" t="s">
        <v>2353</v>
      </c>
    </row>
    <row r="111" spans="1:76" customFormat="1" x14ac:dyDescent="0.25">
      <c r="A111" s="496">
        <v>124</v>
      </c>
      <c r="B111">
        <v>1568540847</v>
      </c>
      <c r="C111" t="s">
        <v>2491</v>
      </c>
      <c r="D111" t="s">
        <v>1017</v>
      </c>
      <c r="E111" t="s">
        <v>3518</v>
      </c>
      <c r="H111" t="s">
        <v>298</v>
      </c>
      <c r="I111" t="s">
        <v>386</v>
      </c>
      <c r="J111">
        <v>55072</v>
      </c>
      <c r="K111">
        <v>5120</v>
      </c>
      <c r="L111">
        <v>3202452212</v>
      </c>
      <c r="M111">
        <v>3202455243</v>
      </c>
      <c r="N111" t="s">
        <v>557</v>
      </c>
      <c r="O111" t="s">
        <v>2492</v>
      </c>
      <c r="P111" t="s">
        <v>2927</v>
      </c>
      <c r="Q111" t="s">
        <v>2928</v>
      </c>
      <c r="R111" t="s">
        <v>2357</v>
      </c>
      <c r="S111" t="s">
        <v>164</v>
      </c>
      <c r="T111" t="s">
        <v>3519</v>
      </c>
      <c r="U111" t="s">
        <v>1099</v>
      </c>
      <c r="V111">
        <v>3202456770</v>
      </c>
      <c r="W111" t="s">
        <v>3178</v>
      </c>
      <c r="X111" t="s">
        <v>3178</v>
      </c>
      <c r="Y111" t="s">
        <v>3520</v>
      </c>
      <c r="AC111" t="s">
        <v>2789</v>
      </c>
      <c r="AG111" t="s">
        <v>3209</v>
      </c>
      <c r="AH111" t="s">
        <v>3180</v>
      </c>
      <c r="AI111" t="s">
        <v>393</v>
      </c>
      <c r="AJ111">
        <v>1</v>
      </c>
      <c r="AK111" t="s">
        <v>2134</v>
      </c>
      <c r="AL111" t="s">
        <v>1334</v>
      </c>
      <c r="AM111" t="s">
        <v>1344</v>
      </c>
      <c r="AN111" t="s">
        <v>1345</v>
      </c>
      <c r="AO111">
        <v>2187861432</v>
      </c>
      <c r="AP111" t="s">
        <v>3178</v>
      </c>
      <c r="AQ111">
        <v>2187868406</v>
      </c>
      <c r="AR111" t="s">
        <v>3210</v>
      </c>
      <c r="AS111" t="s">
        <v>3208</v>
      </c>
      <c r="AU111" t="s">
        <v>1532</v>
      </c>
      <c r="AV111" t="s">
        <v>386</v>
      </c>
      <c r="AW111">
        <v>55805</v>
      </c>
      <c r="AY111" t="s">
        <v>557</v>
      </c>
      <c r="AZ111" t="s">
        <v>2831</v>
      </c>
      <c r="BA111" t="s">
        <v>3206</v>
      </c>
      <c r="BB111">
        <v>2187861242</v>
      </c>
      <c r="BC111" t="s">
        <v>3178</v>
      </c>
      <c r="BD111">
        <v>2187868406</v>
      </c>
      <c r="BE111" t="s">
        <v>3207</v>
      </c>
      <c r="BF111" t="s">
        <v>3208</v>
      </c>
      <c r="BH111" t="s">
        <v>1532</v>
      </c>
      <c r="BI111" t="s">
        <v>386</v>
      </c>
      <c r="BJ111">
        <v>55805</v>
      </c>
      <c r="BK111">
        <v>1984</v>
      </c>
      <c r="BL111" t="s">
        <v>149</v>
      </c>
      <c r="BM111" t="s">
        <v>533</v>
      </c>
      <c r="BN111" t="s">
        <v>3211</v>
      </c>
      <c r="BO111">
        <v>2187861703</v>
      </c>
      <c r="BP111" t="s">
        <v>3178</v>
      </c>
      <c r="BQ111">
        <v>2187868406</v>
      </c>
      <c r="BR111" t="s">
        <v>3212</v>
      </c>
      <c r="BS111" t="s">
        <v>3208</v>
      </c>
      <c r="BU111" t="s">
        <v>1532</v>
      </c>
      <c r="BV111" t="s">
        <v>386</v>
      </c>
      <c r="BW111">
        <v>55805</v>
      </c>
    </row>
    <row r="112" spans="1:76" customFormat="1" x14ac:dyDescent="0.25">
      <c r="A112" s="496">
        <v>149</v>
      </c>
      <c r="B112">
        <v>1407889991</v>
      </c>
      <c r="C112" t="s">
        <v>2929</v>
      </c>
      <c r="D112" t="s">
        <v>1018</v>
      </c>
      <c r="E112" t="s">
        <v>3521</v>
      </c>
      <c r="H112" t="s">
        <v>318</v>
      </c>
      <c r="I112" t="s">
        <v>386</v>
      </c>
      <c r="J112">
        <v>56378</v>
      </c>
      <c r="K112">
        <v>1010</v>
      </c>
      <c r="L112">
        <v>3203522221</v>
      </c>
      <c r="M112">
        <v>3203525150</v>
      </c>
      <c r="N112" t="s">
        <v>1019</v>
      </c>
      <c r="O112" t="s">
        <v>1020</v>
      </c>
      <c r="P112" t="s">
        <v>320</v>
      </c>
      <c r="Q112" t="s">
        <v>2155</v>
      </c>
      <c r="R112" t="s">
        <v>3522</v>
      </c>
      <c r="S112" t="s">
        <v>1106</v>
      </c>
      <c r="T112" t="s">
        <v>1310</v>
      </c>
      <c r="U112" t="s">
        <v>1092</v>
      </c>
      <c r="V112">
        <v>3202561760</v>
      </c>
      <c r="W112" t="s">
        <v>3178</v>
      </c>
      <c r="X112">
        <v>3203525150</v>
      </c>
      <c r="Y112" t="s">
        <v>1311</v>
      </c>
      <c r="Z112" t="s">
        <v>3523</v>
      </c>
      <c r="AB112" t="s">
        <v>1021</v>
      </c>
      <c r="AC112" t="s">
        <v>386</v>
      </c>
      <c r="AD112">
        <v>56378</v>
      </c>
      <c r="AE112" t="s">
        <v>1953</v>
      </c>
      <c r="AG112" t="s">
        <v>571</v>
      </c>
      <c r="AH112" t="s">
        <v>1548</v>
      </c>
      <c r="AI112" t="s">
        <v>1077</v>
      </c>
      <c r="AJ112">
        <v>1</v>
      </c>
      <c r="AK112" t="s">
        <v>1453</v>
      </c>
      <c r="AL112" t="s">
        <v>3432</v>
      </c>
      <c r="AM112" t="s">
        <v>3433</v>
      </c>
      <c r="AN112" t="s">
        <v>3434</v>
      </c>
      <c r="AO112">
        <v>3202512700</v>
      </c>
      <c r="AP112">
        <v>54553</v>
      </c>
      <c r="AQ112">
        <v>3202555756</v>
      </c>
      <c r="AR112" t="s">
        <v>3435</v>
      </c>
      <c r="AS112" t="s">
        <v>3436</v>
      </c>
      <c r="AU112" t="s">
        <v>756</v>
      </c>
      <c r="AV112" t="s">
        <v>386</v>
      </c>
      <c r="AW112">
        <v>56303</v>
      </c>
      <c r="AX112">
        <v>1901</v>
      </c>
      <c r="AY112" t="s">
        <v>1019</v>
      </c>
      <c r="AZ112" t="s">
        <v>1020</v>
      </c>
      <c r="BA112" t="s">
        <v>320</v>
      </c>
      <c r="BB112">
        <v>3203511701</v>
      </c>
      <c r="BC112" t="s">
        <v>3178</v>
      </c>
      <c r="BD112">
        <v>3203525150</v>
      </c>
      <c r="BE112" t="s">
        <v>2155</v>
      </c>
      <c r="BF112" t="s">
        <v>3524</v>
      </c>
      <c r="BH112" t="s">
        <v>1021</v>
      </c>
      <c r="BI112" t="s">
        <v>386</v>
      </c>
      <c r="BJ112">
        <v>56378</v>
      </c>
      <c r="BK112" t="s">
        <v>1963</v>
      </c>
      <c r="BL112" t="s">
        <v>1106</v>
      </c>
      <c r="BM112" t="s">
        <v>1310</v>
      </c>
      <c r="BN112" t="s">
        <v>1092</v>
      </c>
      <c r="BO112">
        <v>3202561760</v>
      </c>
      <c r="BP112" t="s">
        <v>3178</v>
      </c>
      <c r="BQ112">
        <v>3203525150</v>
      </c>
      <c r="BR112" t="s">
        <v>1311</v>
      </c>
      <c r="BS112" t="s">
        <v>3523</v>
      </c>
      <c r="BU112" t="s">
        <v>1021</v>
      </c>
      <c r="BV112" t="s">
        <v>386</v>
      </c>
      <c r="BW112">
        <v>56378</v>
      </c>
      <c r="BX112" t="s">
        <v>1953</v>
      </c>
    </row>
    <row r="113" spans="1:76" customFormat="1" x14ac:dyDescent="0.25">
      <c r="A113" s="496">
        <v>135</v>
      </c>
      <c r="B113">
        <v>1578520045</v>
      </c>
      <c r="C113" t="s">
        <v>1022</v>
      </c>
      <c r="D113" t="s">
        <v>1023</v>
      </c>
      <c r="E113" t="s">
        <v>3525</v>
      </c>
      <c r="H113" t="s">
        <v>234</v>
      </c>
      <c r="I113" t="s">
        <v>386</v>
      </c>
      <c r="J113">
        <v>55379</v>
      </c>
      <c r="K113">
        <v>3380</v>
      </c>
      <c r="L113">
        <v>9524283000</v>
      </c>
      <c r="M113">
        <v>9524283820</v>
      </c>
      <c r="N113" t="s">
        <v>557</v>
      </c>
      <c r="O113" t="s">
        <v>2493</v>
      </c>
      <c r="P113" t="s">
        <v>128</v>
      </c>
      <c r="Q113" t="s">
        <v>2930</v>
      </c>
      <c r="R113" t="s">
        <v>1024</v>
      </c>
      <c r="S113" t="s">
        <v>2374</v>
      </c>
      <c r="T113" t="s">
        <v>2375</v>
      </c>
      <c r="U113" t="s">
        <v>130</v>
      </c>
      <c r="V113">
        <v>6122624724</v>
      </c>
      <c r="W113" t="s">
        <v>3178</v>
      </c>
      <c r="X113">
        <v>6122624724</v>
      </c>
      <c r="Y113" t="s">
        <v>2376</v>
      </c>
      <c r="Z113" t="s">
        <v>3263</v>
      </c>
      <c r="AB113" t="s">
        <v>131</v>
      </c>
      <c r="AC113" t="s">
        <v>386</v>
      </c>
      <c r="AD113">
        <v>55440</v>
      </c>
      <c r="AE113">
        <v>43</v>
      </c>
      <c r="AF113" t="s">
        <v>132</v>
      </c>
      <c r="AG113" t="s">
        <v>2931</v>
      </c>
      <c r="AH113" t="s">
        <v>133</v>
      </c>
      <c r="AI113" t="s">
        <v>1077</v>
      </c>
      <c r="AJ113">
        <v>0</v>
      </c>
      <c r="AK113" t="s">
        <v>2138</v>
      </c>
      <c r="AL113" t="s">
        <v>2162</v>
      </c>
      <c r="AM113" t="s">
        <v>2163</v>
      </c>
      <c r="AN113" t="s">
        <v>1510</v>
      </c>
      <c r="AO113">
        <v>6122624720</v>
      </c>
      <c r="AP113" t="s">
        <v>3178</v>
      </c>
      <c r="AQ113">
        <v>6122624720</v>
      </c>
      <c r="AR113" t="s">
        <v>2164</v>
      </c>
      <c r="AS113" t="s">
        <v>3258</v>
      </c>
      <c r="AU113" t="s">
        <v>131</v>
      </c>
      <c r="AV113" t="s">
        <v>386</v>
      </c>
      <c r="AW113">
        <v>55440</v>
      </c>
      <c r="AX113">
        <v>43</v>
      </c>
      <c r="AY113" t="s">
        <v>134</v>
      </c>
      <c r="AZ113" t="s">
        <v>135</v>
      </c>
      <c r="BA113" t="s">
        <v>2156</v>
      </c>
      <c r="BB113">
        <v>6122624719</v>
      </c>
      <c r="BC113" t="s">
        <v>3178</v>
      </c>
      <c r="BD113">
        <v>6122624719</v>
      </c>
      <c r="BE113" t="s">
        <v>136</v>
      </c>
      <c r="BF113" t="s">
        <v>3258</v>
      </c>
      <c r="BG113" t="s">
        <v>137</v>
      </c>
      <c r="BH113" t="s">
        <v>131</v>
      </c>
      <c r="BI113" t="s">
        <v>386</v>
      </c>
      <c r="BJ113">
        <v>55440</v>
      </c>
      <c r="BK113">
        <v>43</v>
      </c>
      <c r="BL113" t="s">
        <v>2374</v>
      </c>
      <c r="BM113" t="s">
        <v>2375</v>
      </c>
      <c r="BN113" t="s">
        <v>130</v>
      </c>
      <c r="BO113">
        <v>6122624724</v>
      </c>
      <c r="BP113" t="s">
        <v>3178</v>
      </c>
      <c r="BQ113">
        <v>6122624724</v>
      </c>
      <c r="BR113" t="s">
        <v>2376</v>
      </c>
      <c r="BS113" t="s">
        <v>3263</v>
      </c>
      <c r="BU113" t="s">
        <v>131</v>
      </c>
      <c r="BV113" t="s">
        <v>386</v>
      </c>
      <c r="BW113">
        <v>55440</v>
      </c>
      <c r="BX113">
        <v>43</v>
      </c>
    </row>
    <row r="114" spans="1:76" customFormat="1" x14ac:dyDescent="0.25">
      <c r="A114" s="496">
        <v>99</v>
      </c>
      <c r="B114">
        <v>1053497214</v>
      </c>
      <c r="C114" t="s">
        <v>736</v>
      </c>
      <c r="D114" t="s">
        <v>737</v>
      </c>
      <c r="E114" t="s">
        <v>3526</v>
      </c>
      <c r="H114" t="s">
        <v>738</v>
      </c>
      <c r="I114" t="s">
        <v>386</v>
      </c>
      <c r="J114">
        <v>56172</v>
      </c>
      <c r="K114">
        <v>1017</v>
      </c>
      <c r="L114">
        <v>5078366111</v>
      </c>
      <c r="M114">
        <v>5078366700</v>
      </c>
      <c r="N114" t="s">
        <v>2477</v>
      </c>
      <c r="O114" t="s">
        <v>2932</v>
      </c>
      <c r="P114" t="s">
        <v>397</v>
      </c>
      <c r="Q114" t="s">
        <v>2933</v>
      </c>
      <c r="R114" t="s">
        <v>739</v>
      </c>
      <c r="S114" t="s">
        <v>740</v>
      </c>
      <c r="T114" t="s">
        <v>741</v>
      </c>
      <c r="U114" t="s">
        <v>392</v>
      </c>
      <c r="V114">
        <v>5078361274</v>
      </c>
      <c r="W114" t="s">
        <v>3178</v>
      </c>
      <c r="X114">
        <v>5078361274</v>
      </c>
      <c r="Y114" t="s">
        <v>1573</v>
      </c>
      <c r="Z114" t="s">
        <v>3527</v>
      </c>
      <c r="AB114" t="s">
        <v>742</v>
      </c>
      <c r="AC114" t="s">
        <v>386</v>
      </c>
      <c r="AD114">
        <v>56172</v>
      </c>
      <c r="AE114">
        <v>1017</v>
      </c>
      <c r="AF114" t="s">
        <v>2494</v>
      </c>
      <c r="AG114" t="s">
        <v>743</v>
      </c>
      <c r="AH114" t="s">
        <v>1505</v>
      </c>
      <c r="AI114" t="s">
        <v>1206</v>
      </c>
      <c r="AJ114">
        <v>1</v>
      </c>
      <c r="AK114" t="s">
        <v>3528</v>
      </c>
      <c r="AL114" t="s">
        <v>2495</v>
      </c>
      <c r="AM114" t="s">
        <v>2496</v>
      </c>
      <c r="AN114" t="s">
        <v>1099</v>
      </c>
      <c r="AO114">
        <v>5078361273</v>
      </c>
      <c r="AP114" t="s">
        <v>3178</v>
      </c>
      <c r="AQ114">
        <v>5078361273</v>
      </c>
      <c r="AR114" t="s">
        <v>2497</v>
      </c>
      <c r="AS114" t="s">
        <v>3529</v>
      </c>
      <c r="AU114" t="s">
        <v>742</v>
      </c>
      <c r="AV114" t="s">
        <v>386</v>
      </c>
      <c r="AW114">
        <v>56172</v>
      </c>
      <c r="AX114">
        <v>1017</v>
      </c>
      <c r="BL114" t="s">
        <v>740</v>
      </c>
      <c r="BM114" t="s">
        <v>741</v>
      </c>
      <c r="BN114" t="s">
        <v>392</v>
      </c>
      <c r="BO114">
        <v>5078361274</v>
      </c>
      <c r="BP114" t="s">
        <v>3178</v>
      </c>
      <c r="BQ114">
        <v>5078361274</v>
      </c>
      <c r="BR114" t="s">
        <v>1573</v>
      </c>
      <c r="BS114" t="s">
        <v>3527</v>
      </c>
      <c r="BU114" t="s">
        <v>742</v>
      </c>
      <c r="BV114" t="s">
        <v>386</v>
      </c>
      <c r="BW114">
        <v>56172</v>
      </c>
      <c r="BX114">
        <v>1017</v>
      </c>
    </row>
    <row r="115" spans="1:76" customFormat="1" x14ac:dyDescent="0.25">
      <c r="A115" s="496">
        <v>129</v>
      </c>
      <c r="B115">
        <v>1952370348</v>
      </c>
      <c r="C115" t="s">
        <v>744</v>
      </c>
      <c r="D115" t="s">
        <v>745</v>
      </c>
      <c r="E115" t="s">
        <v>3530</v>
      </c>
      <c r="H115" t="s">
        <v>239</v>
      </c>
      <c r="I115" t="s">
        <v>386</v>
      </c>
      <c r="J115">
        <v>56085</v>
      </c>
      <c r="K115">
        <v>1109</v>
      </c>
      <c r="L115">
        <v>5077943571</v>
      </c>
      <c r="M115">
        <v>5077945460</v>
      </c>
      <c r="N115" t="s">
        <v>307</v>
      </c>
      <c r="O115" t="s">
        <v>746</v>
      </c>
      <c r="P115" t="s">
        <v>320</v>
      </c>
      <c r="Q115" t="s">
        <v>1574</v>
      </c>
      <c r="S115" t="s">
        <v>307</v>
      </c>
      <c r="T115" t="s">
        <v>746</v>
      </c>
      <c r="U115" t="s">
        <v>320</v>
      </c>
      <c r="V115">
        <v>5077948440</v>
      </c>
      <c r="W115" t="s">
        <v>3178</v>
      </c>
      <c r="X115">
        <v>5077945460</v>
      </c>
      <c r="Y115" t="s">
        <v>1574</v>
      </c>
      <c r="Z115" t="s">
        <v>3531</v>
      </c>
      <c r="AA115" t="s">
        <v>747</v>
      </c>
      <c r="AB115" t="s">
        <v>748</v>
      </c>
      <c r="AC115" t="s">
        <v>386</v>
      </c>
      <c r="AD115">
        <v>56085</v>
      </c>
      <c r="AE115" t="s">
        <v>2353</v>
      </c>
      <c r="AG115" t="s">
        <v>749</v>
      </c>
      <c r="AH115" t="s">
        <v>402</v>
      </c>
      <c r="AJ115">
        <v>1</v>
      </c>
      <c r="AK115" t="s">
        <v>3532</v>
      </c>
      <c r="BL115" t="s">
        <v>1370</v>
      </c>
      <c r="BM115" t="s">
        <v>547</v>
      </c>
      <c r="BN115" t="s">
        <v>1183</v>
      </c>
      <c r="BO115">
        <v>5077948474</v>
      </c>
      <c r="BP115" t="s">
        <v>3178</v>
      </c>
      <c r="BQ115">
        <v>5077945462</v>
      </c>
      <c r="BR115" t="s">
        <v>1704</v>
      </c>
      <c r="BV115" t="s">
        <v>386</v>
      </c>
    </row>
    <row r="116" spans="1:76" customFormat="1" x14ac:dyDescent="0.25">
      <c r="A116" s="496">
        <v>130</v>
      </c>
      <c r="B116">
        <v>1619945052</v>
      </c>
      <c r="C116" t="s">
        <v>2136</v>
      </c>
      <c r="D116" t="s">
        <v>1575</v>
      </c>
      <c r="E116" t="s">
        <v>3533</v>
      </c>
      <c r="H116" t="s">
        <v>239</v>
      </c>
      <c r="I116" t="s">
        <v>386</v>
      </c>
      <c r="J116">
        <v>56087</v>
      </c>
      <c r="K116">
        <v>1714</v>
      </c>
      <c r="L116">
        <v>5077236201</v>
      </c>
      <c r="M116">
        <v>5077236447</v>
      </c>
      <c r="N116" t="s">
        <v>584</v>
      </c>
      <c r="O116" t="s">
        <v>1576</v>
      </c>
      <c r="P116" t="s">
        <v>320</v>
      </c>
      <c r="Q116" t="s">
        <v>1577</v>
      </c>
      <c r="R116" t="s">
        <v>1835</v>
      </c>
      <c r="S116" t="s">
        <v>2044</v>
      </c>
      <c r="T116" t="s">
        <v>2045</v>
      </c>
      <c r="U116" t="s">
        <v>2876</v>
      </c>
      <c r="V116">
        <v>5073047197</v>
      </c>
      <c r="W116" t="s">
        <v>3178</v>
      </c>
      <c r="X116">
        <v>5073854874</v>
      </c>
      <c r="Y116" t="s">
        <v>2046</v>
      </c>
      <c r="Z116" t="s">
        <v>3048</v>
      </c>
      <c r="AA116" t="s">
        <v>410</v>
      </c>
      <c r="AB116" t="s">
        <v>2008</v>
      </c>
      <c r="AC116" t="s">
        <v>386</v>
      </c>
      <c r="AD116">
        <v>56001</v>
      </c>
      <c r="AF116" t="s">
        <v>1220</v>
      </c>
      <c r="AG116" t="s">
        <v>2006</v>
      </c>
      <c r="AH116" t="s">
        <v>1087</v>
      </c>
      <c r="AI116" t="s">
        <v>1077</v>
      </c>
      <c r="AJ116">
        <v>1</v>
      </c>
      <c r="AK116" t="s">
        <v>2844</v>
      </c>
      <c r="AL116" t="s">
        <v>390</v>
      </c>
      <c r="AM116" t="s">
        <v>411</v>
      </c>
      <c r="AN116" t="s">
        <v>2846</v>
      </c>
      <c r="AO116">
        <v>5073852680</v>
      </c>
      <c r="AP116" t="s">
        <v>3178</v>
      </c>
      <c r="AQ116">
        <v>5073854874</v>
      </c>
      <c r="AR116" t="s">
        <v>1362</v>
      </c>
      <c r="AS116" t="s">
        <v>3048</v>
      </c>
      <c r="AT116" t="s">
        <v>410</v>
      </c>
      <c r="AU116" t="s">
        <v>2008</v>
      </c>
      <c r="AV116" t="s">
        <v>386</v>
      </c>
      <c r="AW116">
        <v>56002</v>
      </c>
      <c r="AX116">
        <v>8673</v>
      </c>
      <c r="BL116" t="s">
        <v>390</v>
      </c>
      <c r="BM116" t="s">
        <v>411</v>
      </c>
      <c r="BN116" t="s">
        <v>2846</v>
      </c>
      <c r="BO116">
        <v>5073852680</v>
      </c>
      <c r="BP116" t="s">
        <v>3178</v>
      </c>
      <c r="BQ116">
        <v>5073854874</v>
      </c>
      <c r="BR116" t="s">
        <v>1362</v>
      </c>
      <c r="BS116" t="s">
        <v>3048</v>
      </c>
      <c r="BT116" t="s">
        <v>410</v>
      </c>
      <c r="BU116" t="s">
        <v>2008</v>
      </c>
      <c r="BV116" t="s">
        <v>386</v>
      </c>
      <c r="BW116">
        <v>56002</v>
      </c>
      <c r="BX116">
        <v>8673</v>
      </c>
    </row>
    <row r="117" spans="1:76" customFormat="1" x14ac:dyDescent="0.25">
      <c r="A117" s="496">
        <v>132</v>
      </c>
      <c r="B117">
        <v>1043269798</v>
      </c>
      <c r="C117" t="s">
        <v>750</v>
      </c>
      <c r="D117" t="s">
        <v>751</v>
      </c>
      <c r="E117" t="s">
        <v>3534</v>
      </c>
      <c r="H117" t="s">
        <v>318</v>
      </c>
      <c r="I117" t="s">
        <v>386</v>
      </c>
      <c r="J117">
        <v>56303</v>
      </c>
      <c r="K117">
        <v>1900</v>
      </c>
      <c r="L117">
        <v>3202512700</v>
      </c>
      <c r="M117">
        <v>3022555756</v>
      </c>
      <c r="N117" t="s">
        <v>752</v>
      </c>
      <c r="O117" t="s">
        <v>753</v>
      </c>
      <c r="P117" t="s">
        <v>128</v>
      </c>
      <c r="Q117" t="s">
        <v>754</v>
      </c>
      <c r="R117" t="s">
        <v>1454</v>
      </c>
      <c r="S117" t="s">
        <v>3432</v>
      </c>
      <c r="T117" t="s">
        <v>3433</v>
      </c>
      <c r="U117" t="s">
        <v>3434</v>
      </c>
      <c r="V117">
        <v>3202512700</v>
      </c>
      <c r="W117">
        <v>54553</v>
      </c>
      <c r="X117">
        <v>3202555756</v>
      </c>
      <c r="Y117" t="s">
        <v>3435</v>
      </c>
      <c r="Z117" t="s">
        <v>3436</v>
      </c>
      <c r="AB117" t="s">
        <v>756</v>
      </c>
      <c r="AC117" t="s">
        <v>386</v>
      </c>
      <c r="AD117">
        <v>56303</v>
      </c>
      <c r="AE117">
        <v>1901</v>
      </c>
      <c r="AF117" t="s">
        <v>1849</v>
      </c>
      <c r="AG117" t="s">
        <v>571</v>
      </c>
      <c r="AH117" t="s">
        <v>1548</v>
      </c>
      <c r="AI117" t="s">
        <v>1077</v>
      </c>
      <c r="AJ117">
        <v>0</v>
      </c>
      <c r="AK117" t="s">
        <v>2934</v>
      </c>
      <c r="AL117" t="s">
        <v>2085</v>
      </c>
      <c r="AM117" t="s">
        <v>2086</v>
      </c>
      <c r="AN117" t="s">
        <v>3437</v>
      </c>
      <c r="AO117">
        <v>3202512700</v>
      </c>
      <c r="AP117">
        <v>54697</v>
      </c>
      <c r="AQ117">
        <v>3202555756</v>
      </c>
      <c r="AR117" t="s">
        <v>2087</v>
      </c>
      <c r="AS117" t="s">
        <v>3438</v>
      </c>
      <c r="AU117" t="s">
        <v>756</v>
      </c>
      <c r="AV117" t="s">
        <v>386</v>
      </c>
      <c r="BL117" t="s">
        <v>1779</v>
      </c>
      <c r="BM117" t="s">
        <v>1432</v>
      </c>
      <c r="BN117" t="s">
        <v>2137</v>
      </c>
      <c r="BO117">
        <v>3202512700</v>
      </c>
      <c r="BP117">
        <v>52063</v>
      </c>
      <c r="BQ117">
        <v>3202555756</v>
      </c>
      <c r="BR117" t="s">
        <v>3535</v>
      </c>
      <c r="BV117" t="s">
        <v>386</v>
      </c>
      <c r="BW117">
        <v>55352</v>
      </c>
      <c r="BX117">
        <v>1098</v>
      </c>
    </row>
    <row r="118" spans="1:76" customFormat="1" x14ac:dyDescent="0.25">
      <c r="A118" s="496">
        <v>212</v>
      </c>
      <c r="B118">
        <v>1588614325</v>
      </c>
      <c r="C118" t="s">
        <v>2193</v>
      </c>
      <c r="D118" t="s">
        <v>751</v>
      </c>
      <c r="E118" t="s">
        <v>3536</v>
      </c>
      <c r="H118" t="s">
        <v>318</v>
      </c>
      <c r="I118" t="s">
        <v>386</v>
      </c>
      <c r="J118">
        <v>56303</v>
      </c>
      <c r="K118">
        <v>2099</v>
      </c>
      <c r="L118">
        <v>3202521670</v>
      </c>
      <c r="M118">
        <v>3202556494</v>
      </c>
      <c r="N118" t="s">
        <v>757</v>
      </c>
      <c r="O118" t="s">
        <v>758</v>
      </c>
      <c r="P118" t="s">
        <v>208</v>
      </c>
      <c r="Q118" t="s">
        <v>2935</v>
      </c>
      <c r="R118" t="s">
        <v>2936</v>
      </c>
      <c r="S118" t="s">
        <v>2194</v>
      </c>
      <c r="T118" t="s">
        <v>2195</v>
      </c>
      <c r="U118" t="s">
        <v>2196</v>
      </c>
      <c r="V118">
        <v>3202521670</v>
      </c>
      <c r="W118" t="s">
        <v>3178</v>
      </c>
      <c r="X118" t="s">
        <v>3178</v>
      </c>
      <c r="Y118" t="s">
        <v>2197</v>
      </c>
      <c r="AB118" t="s">
        <v>756</v>
      </c>
      <c r="AC118" t="s">
        <v>386</v>
      </c>
      <c r="AF118" t="s">
        <v>1849</v>
      </c>
      <c r="AG118" t="s">
        <v>2198</v>
      </c>
      <c r="AH118" t="s">
        <v>209</v>
      </c>
      <c r="AI118" t="s">
        <v>1077</v>
      </c>
      <c r="AJ118">
        <v>0</v>
      </c>
      <c r="AK118" t="s">
        <v>115</v>
      </c>
      <c r="AL118" t="s">
        <v>2937</v>
      </c>
      <c r="AM118" t="s">
        <v>2938</v>
      </c>
      <c r="AN118" t="s">
        <v>2196</v>
      </c>
      <c r="AO118">
        <v>3202521670</v>
      </c>
      <c r="AP118" t="s">
        <v>3178</v>
      </c>
      <c r="AQ118" t="s">
        <v>3178</v>
      </c>
      <c r="AR118" t="s">
        <v>2939</v>
      </c>
      <c r="AV118" t="s">
        <v>2789</v>
      </c>
      <c r="BL118" t="s">
        <v>1455</v>
      </c>
      <c r="BM118" t="s">
        <v>1456</v>
      </c>
      <c r="BN118" t="s">
        <v>1457</v>
      </c>
      <c r="BO118">
        <v>3202556364</v>
      </c>
      <c r="BP118" t="s">
        <v>3178</v>
      </c>
      <c r="BQ118" t="s">
        <v>3178</v>
      </c>
      <c r="BR118" t="s">
        <v>1458</v>
      </c>
      <c r="BU118" t="s">
        <v>756</v>
      </c>
      <c r="BV118" t="s">
        <v>386</v>
      </c>
    </row>
    <row r="119" spans="1:76" customFormat="1" x14ac:dyDescent="0.25">
      <c r="A119" s="496">
        <v>171</v>
      </c>
      <c r="B119">
        <v>1639198732</v>
      </c>
      <c r="C119" t="s">
        <v>2168</v>
      </c>
      <c r="D119" t="s">
        <v>830</v>
      </c>
      <c r="E119" t="s">
        <v>3537</v>
      </c>
      <c r="H119" t="s">
        <v>576</v>
      </c>
      <c r="I119" t="s">
        <v>386</v>
      </c>
      <c r="J119">
        <v>56081</v>
      </c>
      <c r="K119">
        <v>2408</v>
      </c>
      <c r="L119">
        <v>5073753261</v>
      </c>
      <c r="M119">
        <v>5073758605</v>
      </c>
      <c r="N119" t="s">
        <v>1634</v>
      </c>
      <c r="O119" t="s">
        <v>235</v>
      </c>
      <c r="P119" t="s">
        <v>2004</v>
      </c>
      <c r="Q119" t="s">
        <v>2465</v>
      </c>
      <c r="R119" t="s">
        <v>1835</v>
      </c>
      <c r="S119" t="s">
        <v>2044</v>
      </c>
      <c r="T119" t="s">
        <v>2045</v>
      </c>
      <c r="U119" t="s">
        <v>2876</v>
      </c>
      <c r="V119">
        <v>5073047197</v>
      </c>
      <c r="W119" t="s">
        <v>3178</v>
      </c>
      <c r="X119">
        <v>5073854874</v>
      </c>
      <c r="Y119" t="s">
        <v>2046</v>
      </c>
      <c r="Z119" t="s">
        <v>3048</v>
      </c>
      <c r="AA119" t="s">
        <v>410</v>
      </c>
      <c r="AB119" t="s">
        <v>2008</v>
      </c>
      <c r="AC119" t="s">
        <v>386</v>
      </c>
      <c r="AD119">
        <v>56001</v>
      </c>
      <c r="AF119" t="s">
        <v>1220</v>
      </c>
      <c r="AG119" t="s">
        <v>1118</v>
      </c>
      <c r="AH119" t="s">
        <v>1087</v>
      </c>
      <c r="AI119" t="s">
        <v>1077</v>
      </c>
      <c r="AJ119">
        <v>1</v>
      </c>
      <c r="AK119" t="s">
        <v>2844</v>
      </c>
      <c r="AL119" t="s">
        <v>390</v>
      </c>
      <c r="AM119" t="s">
        <v>411</v>
      </c>
      <c r="AN119" t="s">
        <v>2846</v>
      </c>
      <c r="AO119">
        <v>5073852680</v>
      </c>
      <c r="AP119" t="s">
        <v>3178</v>
      </c>
      <c r="AQ119">
        <v>5073854874</v>
      </c>
      <c r="AR119" t="s">
        <v>1362</v>
      </c>
      <c r="AS119" t="s">
        <v>3048</v>
      </c>
      <c r="AT119" t="s">
        <v>410</v>
      </c>
      <c r="AU119" t="s">
        <v>2008</v>
      </c>
      <c r="AV119" t="s">
        <v>386</v>
      </c>
      <c r="AW119">
        <v>56002</v>
      </c>
      <c r="AX119">
        <v>8673</v>
      </c>
      <c r="BL119" t="s">
        <v>2044</v>
      </c>
      <c r="BM119" t="s">
        <v>2045</v>
      </c>
      <c r="BN119" t="s">
        <v>2876</v>
      </c>
      <c r="BO119">
        <v>5073047197</v>
      </c>
      <c r="BP119" t="s">
        <v>3178</v>
      </c>
      <c r="BQ119">
        <v>5073854874</v>
      </c>
      <c r="BR119" t="s">
        <v>2046</v>
      </c>
      <c r="BS119" t="s">
        <v>3048</v>
      </c>
      <c r="BT119" t="s">
        <v>410</v>
      </c>
      <c r="BU119" t="s">
        <v>2008</v>
      </c>
      <c r="BV119" t="s">
        <v>386</v>
      </c>
      <c r="BW119">
        <v>56001</v>
      </c>
    </row>
    <row r="120" spans="1:76" customFormat="1" x14ac:dyDescent="0.25">
      <c r="A120" s="496">
        <v>86</v>
      </c>
      <c r="B120">
        <v>1649220724</v>
      </c>
      <c r="C120" t="s">
        <v>1578</v>
      </c>
      <c r="D120" t="s">
        <v>831</v>
      </c>
      <c r="E120" t="s">
        <v>3538</v>
      </c>
      <c r="H120" t="s">
        <v>143</v>
      </c>
      <c r="I120" t="s">
        <v>386</v>
      </c>
      <c r="J120">
        <v>55426</v>
      </c>
      <c r="K120">
        <v>4702</v>
      </c>
      <c r="L120">
        <v>9529935000</v>
      </c>
      <c r="M120">
        <v>9529935936</v>
      </c>
      <c r="N120" t="s">
        <v>1328</v>
      </c>
      <c r="O120" t="s">
        <v>2940</v>
      </c>
      <c r="P120" t="s">
        <v>2941</v>
      </c>
      <c r="Q120" t="s">
        <v>2942</v>
      </c>
      <c r="R120" t="s">
        <v>2498</v>
      </c>
      <c r="S120" t="s">
        <v>2499</v>
      </c>
      <c r="T120" t="s">
        <v>2500</v>
      </c>
      <c r="U120" t="s">
        <v>2501</v>
      </c>
      <c r="V120">
        <v>9529931690</v>
      </c>
      <c r="W120" t="s">
        <v>3178</v>
      </c>
      <c r="X120">
        <v>9529931808</v>
      </c>
      <c r="Y120" t="s">
        <v>2502</v>
      </c>
      <c r="Z120" t="s">
        <v>2503</v>
      </c>
      <c r="AA120" t="s">
        <v>800</v>
      </c>
      <c r="AB120" t="s">
        <v>801</v>
      </c>
      <c r="AC120" t="s">
        <v>386</v>
      </c>
      <c r="AD120">
        <v>55426</v>
      </c>
      <c r="AE120">
        <v>4702</v>
      </c>
      <c r="AF120" t="s">
        <v>132</v>
      </c>
      <c r="AG120" t="s">
        <v>802</v>
      </c>
      <c r="AH120" t="s">
        <v>504</v>
      </c>
      <c r="AI120" t="s">
        <v>1077</v>
      </c>
      <c r="AJ120">
        <v>0</v>
      </c>
      <c r="AK120" t="s">
        <v>2082</v>
      </c>
      <c r="AL120" t="s">
        <v>752</v>
      </c>
      <c r="AM120" t="s">
        <v>1622</v>
      </c>
      <c r="AN120" t="s">
        <v>2504</v>
      </c>
      <c r="AO120">
        <v>9529931845</v>
      </c>
      <c r="AP120" t="s">
        <v>3178</v>
      </c>
      <c r="AQ120">
        <v>9529931808</v>
      </c>
      <c r="AR120" t="s">
        <v>2505</v>
      </c>
      <c r="AS120" t="s">
        <v>2503</v>
      </c>
      <c r="AT120" t="s">
        <v>2943</v>
      </c>
      <c r="AU120" t="s">
        <v>801</v>
      </c>
      <c r="AV120" t="s">
        <v>386</v>
      </c>
      <c r="AW120">
        <v>55426</v>
      </c>
      <c r="AX120">
        <v>4702</v>
      </c>
      <c r="AY120" t="s">
        <v>1535</v>
      </c>
      <c r="AZ120" t="s">
        <v>832</v>
      </c>
      <c r="BA120" t="s">
        <v>2081</v>
      </c>
      <c r="BB120">
        <v>9529931835</v>
      </c>
      <c r="BC120" t="s">
        <v>3178</v>
      </c>
      <c r="BD120">
        <v>9529931808</v>
      </c>
      <c r="BE120" t="s">
        <v>799</v>
      </c>
      <c r="BF120" t="s">
        <v>2503</v>
      </c>
      <c r="BG120" t="s">
        <v>800</v>
      </c>
      <c r="BH120" t="s">
        <v>801</v>
      </c>
      <c r="BI120" t="s">
        <v>386</v>
      </c>
      <c r="BJ120">
        <v>55426</v>
      </c>
      <c r="BK120">
        <v>4702</v>
      </c>
      <c r="BL120" t="s">
        <v>488</v>
      </c>
      <c r="BM120" t="s">
        <v>1579</v>
      </c>
      <c r="BN120" t="s">
        <v>1580</v>
      </c>
      <c r="BO120">
        <v>9529939255</v>
      </c>
      <c r="BP120" t="s">
        <v>3178</v>
      </c>
      <c r="BQ120">
        <v>9529931808</v>
      </c>
      <c r="BR120" t="s">
        <v>1581</v>
      </c>
      <c r="BS120" t="s">
        <v>2503</v>
      </c>
      <c r="BU120" t="s">
        <v>801</v>
      </c>
      <c r="BV120" t="s">
        <v>386</v>
      </c>
      <c r="BW120">
        <v>55426</v>
      </c>
      <c r="BX120">
        <v>4702</v>
      </c>
    </row>
    <row r="121" spans="1:76" customFormat="1" x14ac:dyDescent="0.25">
      <c r="A121" s="496">
        <v>10</v>
      </c>
      <c r="B121">
        <v>1194787465</v>
      </c>
      <c r="C121" t="s">
        <v>1850</v>
      </c>
      <c r="D121" t="s">
        <v>414</v>
      </c>
      <c r="E121" t="s">
        <v>3539</v>
      </c>
      <c r="H121" t="s">
        <v>1187</v>
      </c>
      <c r="I121" t="s">
        <v>386</v>
      </c>
      <c r="J121">
        <v>55103</v>
      </c>
      <c r="K121">
        <v>2101</v>
      </c>
      <c r="L121">
        <v>6512322000</v>
      </c>
      <c r="M121">
        <v>6512322118</v>
      </c>
      <c r="N121" t="s">
        <v>1014</v>
      </c>
      <c r="O121" t="s">
        <v>1582</v>
      </c>
      <c r="P121" t="s">
        <v>3418</v>
      </c>
      <c r="Q121" t="s">
        <v>1583</v>
      </c>
      <c r="R121" t="s">
        <v>2439</v>
      </c>
      <c r="S121" t="s">
        <v>1497</v>
      </c>
      <c r="T121" t="s">
        <v>1554</v>
      </c>
      <c r="U121" t="s">
        <v>154</v>
      </c>
      <c r="V121">
        <v>6512322913</v>
      </c>
      <c r="W121" t="s">
        <v>3178</v>
      </c>
      <c r="X121">
        <v>6512326444</v>
      </c>
      <c r="Y121" t="s">
        <v>1555</v>
      </c>
      <c r="Z121" t="s">
        <v>3419</v>
      </c>
      <c r="AB121" t="s">
        <v>1100</v>
      </c>
      <c r="AC121" t="s">
        <v>386</v>
      </c>
      <c r="AD121">
        <v>55104</v>
      </c>
      <c r="AE121" t="s">
        <v>2353</v>
      </c>
      <c r="AF121" t="s">
        <v>1187</v>
      </c>
      <c r="AG121" t="s">
        <v>806</v>
      </c>
      <c r="AH121" t="s">
        <v>416</v>
      </c>
      <c r="AI121" t="s">
        <v>1077</v>
      </c>
      <c r="AJ121">
        <v>0</v>
      </c>
      <c r="AK121">
        <v>0</v>
      </c>
      <c r="BL121" t="s">
        <v>2884</v>
      </c>
      <c r="BM121" t="s">
        <v>2885</v>
      </c>
      <c r="BN121" t="s">
        <v>2886</v>
      </c>
      <c r="BO121">
        <v>6512320138</v>
      </c>
      <c r="BP121" t="s">
        <v>3178</v>
      </c>
      <c r="BQ121" t="s">
        <v>3178</v>
      </c>
      <c r="BR121" t="s">
        <v>2887</v>
      </c>
      <c r="BS121" t="s">
        <v>3420</v>
      </c>
      <c r="BU121" t="s">
        <v>1100</v>
      </c>
      <c r="BV121" t="s">
        <v>386</v>
      </c>
      <c r="BW121">
        <v>55104</v>
      </c>
      <c r="BX121" t="s">
        <v>2353</v>
      </c>
    </row>
    <row r="122" spans="1:76" customFormat="1" x14ac:dyDescent="0.25">
      <c r="A122" s="496">
        <v>49</v>
      </c>
      <c r="B122">
        <v>1447352836</v>
      </c>
      <c r="C122" t="s">
        <v>803</v>
      </c>
      <c r="D122" t="s">
        <v>414</v>
      </c>
      <c r="E122" t="s">
        <v>3540</v>
      </c>
      <c r="H122" t="s">
        <v>1187</v>
      </c>
      <c r="I122" t="s">
        <v>386</v>
      </c>
      <c r="J122">
        <v>55101</v>
      </c>
      <c r="K122">
        <v>2507</v>
      </c>
      <c r="L122">
        <v>6512912848</v>
      </c>
      <c r="M122">
        <v>6513252122</v>
      </c>
      <c r="N122" t="s">
        <v>311</v>
      </c>
      <c r="O122" t="s">
        <v>2506</v>
      </c>
      <c r="P122" t="s">
        <v>128</v>
      </c>
      <c r="Q122" t="s">
        <v>2507</v>
      </c>
      <c r="R122" t="s">
        <v>804</v>
      </c>
      <c r="S122" t="s">
        <v>3541</v>
      </c>
      <c r="T122" t="s">
        <v>3542</v>
      </c>
      <c r="U122" t="s">
        <v>409</v>
      </c>
      <c r="V122">
        <v>6513252205</v>
      </c>
      <c r="W122" t="s">
        <v>3178</v>
      </c>
      <c r="X122">
        <v>6513252122</v>
      </c>
      <c r="Y122" t="s">
        <v>3543</v>
      </c>
      <c r="AB122" t="s">
        <v>1100</v>
      </c>
      <c r="AC122" t="s">
        <v>386</v>
      </c>
      <c r="AG122" t="s">
        <v>805</v>
      </c>
      <c r="AH122" t="s">
        <v>402</v>
      </c>
      <c r="AJ122">
        <v>0</v>
      </c>
      <c r="AK122" t="s">
        <v>115</v>
      </c>
      <c r="AL122" t="s">
        <v>1584</v>
      </c>
      <c r="AM122" t="s">
        <v>1585</v>
      </c>
      <c r="AN122" t="s">
        <v>3544</v>
      </c>
      <c r="AO122">
        <v>6513252173</v>
      </c>
      <c r="AP122" t="s">
        <v>3178</v>
      </c>
      <c r="AQ122">
        <v>6513252122</v>
      </c>
      <c r="AR122" t="s">
        <v>1586</v>
      </c>
      <c r="AU122" t="s">
        <v>1100</v>
      </c>
      <c r="AV122" t="s">
        <v>386</v>
      </c>
      <c r="AY122" t="s">
        <v>1587</v>
      </c>
      <c r="AZ122" t="s">
        <v>2017</v>
      </c>
      <c r="BA122" t="s">
        <v>3544</v>
      </c>
      <c r="BB122">
        <v>6513252103</v>
      </c>
      <c r="BC122" t="s">
        <v>3178</v>
      </c>
      <c r="BD122">
        <v>6513252122</v>
      </c>
      <c r="BE122" t="s">
        <v>2018</v>
      </c>
      <c r="BH122" t="s">
        <v>1100</v>
      </c>
      <c r="BI122" t="s">
        <v>386</v>
      </c>
      <c r="BL122" t="s">
        <v>1584</v>
      </c>
      <c r="BM122" t="s">
        <v>2019</v>
      </c>
      <c r="BN122" t="s">
        <v>154</v>
      </c>
      <c r="BO122">
        <v>6513252114</v>
      </c>
      <c r="BP122" t="s">
        <v>3178</v>
      </c>
      <c r="BQ122">
        <v>6513252122</v>
      </c>
      <c r="BR122" t="s">
        <v>2020</v>
      </c>
      <c r="BU122" t="s">
        <v>1100</v>
      </c>
      <c r="BV122" t="s">
        <v>386</v>
      </c>
    </row>
    <row r="123" spans="1:76" customFormat="1" x14ac:dyDescent="0.25">
      <c r="A123" s="496">
        <v>141</v>
      </c>
      <c r="B123">
        <v>1134186273</v>
      </c>
      <c r="C123" t="s">
        <v>808</v>
      </c>
      <c r="D123" t="s">
        <v>414</v>
      </c>
      <c r="E123" t="s">
        <v>3545</v>
      </c>
      <c r="H123" t="s">
        <v>1187</v>
      </c>
      <c r="I123" t="s">
        <v>386</v>
      </c>
      <c r="J123">
        <v>55102</v>
      </c>
      <c r="L123">
        <v>6512323000</v>
      </c>
      <c r="M123">
        <v>6512323518</v>
      </c>
      <c r="N123" t="s">
        <v>1014</v>
      </c>
      <c r="O123" t="s">
        <v>1582</v>
      </c>
      <c r="P123" t="s">
        <v>2927</v>
      </c>
      <c r="Q123" t="s">
        <v>1583</v>
      </c>
      <c r="R123" t="s">
        <v>2439</v>
      </c>
      <c r="S123" t="s">
        <v>1497</v>
      </c>
      <c r="T123" t="s">
        <v>1554</v>
      </c>
      <c r="U123" t="s">
        <v>154</v>
      </c>
      <c r="V123">
        <v>6512322913</v>
      </c>
      <c r="W123" t="s">
        <v>3178</v>
      </c>
      <c r="X123">
        <v>6512326444</v>
      </c>
      <c r="Y123" t="s">
        <v>1555</v>
      </c>
      <c r="Z123" t="s">
        <v>3419</v>
      </c>
      <c r="AB123" t="s">
        <v>1100</v>
      </c>
      <c r="AC123" t="s">
        <v>386</v>
      </c>
      <c r="AD123">
        <v>55104</v>
      </c>
      <c r="AE123" t="s">
        <v>2353</v>
      </c>
      <c r="AF123" t="s">
        <v>1187</v>
      </c>
      <c r="AG123" t="s">
        <v>809</v>
      </c>
      <c r="AH123" t="s">
        <v>416</v>
      </c>
      <c r="AI123" t="s">
        <v>1077</v>
      </c>
      <c r="AJ123">
        <v>0</v>
      </c>
      <c r="AK123" t="s">
        <v>1459</v>
      </c>
      <c r="BL123" t="s">
        <v>2884</v>
      </c>
      <c r="BM123" t="s">
        <v>2885</v>
      </c>
      <c r="BN123" t="s">
        <v>2886</v>
      </c>
      <c r="BO123">
        <v>6512320138</v>
      </c>
      <c r="BP123" t="s">
        <v>3178</v>
      </c>
      <c r="BQ123" t="s">
        <v>3178</v>
      </c>
      <c r="BR123" t="s">
        <v>2887</v>
      </c>
      <c r="BS123" t="s">
        <v>3420</v>
      </c>
      <c r="BU123" t="s">
        <v>1100</v>
      </c>
      <c r="BV123" t="s">
        <v>386</v>
      </c>
      <c r="BW123">
        <v>55104</v>
      </c>
      <c r="BX123" t="s">
        <v>2353</v>
      </c>
    </row>
    <row r="124" spans="1:76" customFormat="1" x14ac:dyDescent="0.25">
      <c r="A124" s="496">
        <v>151</v>
      </c>
      <c r="B124">
        <v>1629006457</v>
      </c>
      <c r="C124" t="s">
        <v>810</v>
      </c>
      <c r="D124" t="s">
        <v>414</v>
      </c>
      <c r="E124" t="s">
        <v>3546</v>
      </c>
      <c r="H124" t="s">
        <v>1187</v>
      </c>
      <c r="I124" t="s">
        <v>386</v>
      </c>
      <c r="J124">
        <v>55101</v>
      </c>
      <c r="K124">
        <v>2502</v>
      </c>
      <c r="L124">
        <v>6512542191</v>
      </c>
      <c r="M124">
        <v>6512542194</v>
      </c>
      <c r="N124" t="s">
        <v>2944</v>
      </c>
      <c r="O124" t="s">
        <v>2945</v>
      </c>
      <c r="P124" t="s">
        <v>1194</v>
      </c>
      <c r="Q124" t="s">
        <v>2946</v>
      </c>
      <c r="R124" t="s">
        <v>1589</v>
      </c>
      <c r="S124" t="s">
        <v>755</v>
      </c>
      <c r="T124" t="s">
        <v>811</v>
      </c>
      <c r="U124" t="s">
        <v>130</v>
      </c>
      <c r="V124">
        <v>6512541614</v>
      </c>
      <c r="W124" t="s">
        <v>3178</v>
      </c>
      <c r="X124">
        <v>6512540806</v>
      </c>
      <c r="Y124" t="s">
        <v>812</v>
      </c>
      <c r="Z124" t="s">
        <v>3547</v>
      </c>
      <c r="AB124" t="s">
        <v>1100</v>
      </c>
      <c r="AC124" t="s">
        <v>386</v>
      </c>
      <c r="AD124">
        <v>55101</v>
      </c>
      <c r="AE124">
        <v>2595</v>
      </c>
      <c r="AG124" t="s">
        <v>813</v>
      </c>
      <c r="AH124" t="s">
        <v>814</v>
      </c>
      <c r="AI124" t="s">
        <v>1077</v>
      </c>
      <c r="AJ124" s="494">
        <v>0</v>
      </c>
      <c r="AK124" t="s">
        <v>2947</v>
      </c>
      <c r="AL124" t="s">
        <v>164</v>
      </c>
      <c r="AM124" t="s">
        <v>1590</v>
      </c>
      <c r="AN124" t="s">
        <v>2156</v>
      </c>
      <c r="AO124">
        <v>6512540811</v>
      </c>
      <c r="AP124" t="s">
        <v>3178</v>
      </c>
      <c r="AQ124">
        <v>6512540806</v>
      </c>
      <c r="AR124" t="s">
        <v>1591</v>
      </c>
      <c r="AS124" t="s">
        <v>3548</v>
      </c>
      <c r="AU124" t="s">
        <v>1100</v>
      </c>
      <c r="AV124" t="s">
        <v>386</v>
      </c>
      <c r="AW124">
        <v>55101</v>
      </c>
      <c r="AX124">
        <v>2595</v>
      </c>
      <c r="AY124" t="s">
        <v>2128</v>
      </c>
      <c r="AZ124" t="s">
        <v>3549</v>
      </c>
      <c r="BA124" t="s">
        <v>130</v>
      </c>
      <c r="BB124">
        <v>6512541827</v>
      </c>
      <c r="BC124" t="s">
        <v>3178</v>
      </c>
      <c r="BD124">
        <v>6512540806</v>
      </c>
      <c r="BE124" t="s">
        <v>3550</v>
      </c>
      <c r="BF124" t="s">
        <v>3548</v>
      </c>
      <c r="BH124" t="s">
        <v>1100</v>
      </c>
      <c r="BI124" t="s">
        <v>386</v>
      </c>
      <c r="BJ124">
        <v>55101</v>
      </c>
      <c r="BK124">
        <v>2595</v>
      </c>
      <c r="BL124" t="s">
        <v>164</v>
      </c>
      <c r="BM124" t="s">
        <v>1590</v>
      </c>
      <c r="BN124" t="s">
        <v>2156</v>
      </c>
      <c r="BO124">
        <v>6512540811</v>
      </c>
      <c r="BP124" t="s">
        <v>3178</v>
      </c>
      <c r="BQ124">
        <v>6512540806</v>
      </c>
      <c r="BR124" t="s">
        <v>1591</v>
      </c>
      <c r="BS124" t="s">
        <v>3548</v>
      </c>
      <c r="BU124" t="s">
        <v>1100</v>
      </c>
      <c r="BV124" t="s">
        <v>386</v>
      </c>
      <c r="BW124">
        <v>55101</v>
      </c>
      <c r="BX124">
        <v>2595</v>
      </c>
    </row>
    <row r="125" spans="1:76" customFormat="1" x14ac:dyDescent="0.25">
      <c r="A125" s="496">
        <v>163</v>
      </c>
      <c r="B125">
        <v>1457319485</v>
      </c>
      <c r="C125" t="s">
        <v>807</v>
      </c>
      <c r="D125" t="s">
        <v>414</v>
      </c>
      <c r="E125" t="s">
        <v>3551</v>
      </c>
      <c r="H125" t="s">
        <v>1187</v>
      </c>
      <c r="I125" t="s">
        <v>386</v>
      </c>
      <c r="J125">
        <v>55102</v>
      </c>
      <c r="K125">
        <v>2344</v>
      </c>
      <c r="L125">
        <v>6122208000</v>
      </c>
      <c r="M125">
        <v>6512417368</v>
      </c>
      <c r="N125" t="s">
        <v>178</v>
      </c>
      <c r="O125" t="s">
        <v>2508</v>
      </c>
      <c r="P125" t="s">
        <v>128</v>
      </c>
      <c r="Q125" t="s">
        <v>2509</v>
      </c>
      <c r="R125" t="s">
        <v>3552</v>
      </c>
      <c r="S125" t="s">
        <v>2371</v>
      </c>
      <c r="T125" t="s">
        <v>2372</v>
      </c>
      <c r="U125" t="s">
        <v>3553</v>
      </c>
      <c r="V125">
        <v>6122624731</v>
      </c>
      <c r="W125" t="s">
        <v>3178</v>
      </c>
      <c r="X125">
        <v>6122624731</v>
      </c>
      <c r="Y125" t="s">
        <v>2373</v>
      </c>
      <c r="Z125" t="s">
        <v>3263</v>
      </c>
      <c r="AB125" t="s">
        <v>131</v>
      </c>
      <c r="AC125" t="s">
        <v>386</v>
      </c>
      <c r="AD125">
        <v>55440</v>
      </c>
      <c r="AE125">
        <v>43</v>
      </c>
      <c r="AF125" t="s">
        <v>132</v>
      </c>
      <c r="AG125" t="s">
        <v>2948</v>
      </c>
      <c r="AH125" t="s">
        <v>133</v>
      </c>
      <c r="AI125" t="s">
        <v>1077</v>
      </c>
      <c r="AJ125">
        <v>0</v>
      </c>
      <c r="AK125" t="s">
        <v>3554</v>
      </c>
      <c r="AL125" t="s">
        <v>134</v>
      </c>
      <c r="AM125" t="s">
        <v>135</v>
      </c>
      <c r="AN125" t="s">
        <v>2156</v>
      </c>
      <c r="AO125">
        <v>6122624719</v>
      </c>
      <c r="AP125" t="s">
        <v>3178</v>
      </c>
      <c r="AQ125">
        <v>6122624719</v>
      </c>
      <c r="AR125" t="s">
        <v>136</v>
      </c>
      <c r="AS125" t="s">
        <v>3258</v>
      </c>
      <c r="AT125" t="s">
        <v>137</v>
      </c>
      <c r="AU125" t="s">
        <v>131</v>
      </c>
      <c r="AV125" t="s">
        <v>386</v>
      </c>
      <c r="AW125">
        <v>55440</v>
      </c>
      <c r="AX125">
        <v>43</v>
      </c>
      <c r="AY125" t="s">
        <v>2387</v>
      </c>
      <c r="AZ125" t="s">
        <v>2388</v>
      </c>
      <c r="BA125" t="s">
        <v>2389</v>
      </c>
      <c r="BB125">
        <v>6122624721</v>
      </c>
      <c r="BC125" t="s">
        <v>3178</v>
      </c>
      <c r="BD125">
        <v>6122624721</v>
      </c>
      <c r="BE125" t="s">
        <v>2390</v>
      </c>
      <c r="BF125" t="s">
        <v>3263</v>
      </c>
      <c r="BH125" t="s">
        <v>131</v>
      </c>
      <c r="BI125" t="s">
        <v>386</v>
      </c>
      <c r="BJ125">
        <v>55440</v>
      </c>
      <c r="BK125">
        <v>43</v>
      </c>
      <c r="BL125" t="s">
        <v>2371</v>
      </c>
      <c r="BM125" t="s">
        <v>2372</v>
      </c>
      <c r="BN125" t="s">
        <v>3553</v>
      </c>
      <c r="BO125">
        <v>6122624731</v>
      </c>
      <c r="BP125" t="s">
        <v>3178</v>
      </c>
      <c r="BQ125">
        <v>6122624731</v>
      </c>
      <c r="BR125" t="s">
        <v>2373</v>
      </c>
      <c r="BS125" t="s">
        <v>3263</v>
      </c>
      <c r="BU125" t="s">
        <v>131</v>
      </c>
      <c r="BV125" t="s">
        <v>386</v>
      </c>
      <c r="BW125">
        <v>55440</v>
      </c>
      <c r="BX125">
        <v>43</v>
      </c>
    </row>
    <row r="126" spans="1:76" customFormat="1" x14ac:dyDescent="0.25">
      <c r="A126" s="496">
        <v>22</v>
      </c>
      <c r="B126">
        <v>1407849367</v>
      </c>
      <c r="C126" t="s">
        <v>1460</v>
      </c>
      <c r="D126" t="s">
        <v>2616</v>
      </c>
      <c r="E126" t="s">
        <v>3555</v>
      </c>
      <c r="H126" t="s">
        <v>815</v>
      </c>
      <c r="I126" t="s">
        <v>386</v>
      </c>
      <c r="J126">
        <v>56082</v>
      </c>
      <c r="K126">
        <v>1327</v>
      </c>
      <c r="L126">
        <v>5079312200</v>
      </c>
      <c r="M126">
        <v>5079317651</v>
      </c>
      <c r="N126" t="s">
        <v>524</v>
      </c>
      <c r="O126" t="s">
        <v>2510</v>
      </c>
      <c r="P126" t="s">
        <v>1217</v>
      </c>
      <c r="Q126" t="s">
        <v>2511</v>
      </c>
      <c r="R126" t="s">
        <v>3556</v>
      </c>
      <c r="S126" t="s">
        <v>1097</v>
      </c>
      <c r="T126" t="s">
        <v>1098</v>
      </c>
      <c r="U126" t="s">
        <v>392</v>
      </c>
      <c r="V126">
        <v>5079347689</v>
      </c>
      <c r="W126" t="s">
        <v>3178</v>
      </c>
      <c r="X126">
        <v>5079347651</v>
      </c>
      <c r="Y126" t="s">
        <v>3195</v>
      </c>
      <c r="Z126" t="s">
        <v>3196</v>
      </c>
      <c r="AB126" t="s">
        <v>817</v>
      </c>
      <c r="AC126" t="s">
        <v>386</v>
      </c>
      <c r="AD126">
        <v>56082</v>
      </c>
      <c r="AE126">
        <v>1327</v>
      </c>
      <c r="AG126" t="s">
        <v>1982</v>
      </c>
      <c r="AH126" t="s">
        <v>402</v>
      </c>
      <c r="AJ126">
        <v>1</v>
      </c>
      <c r="AK126" t="s">
        <v>2949</v>
      </c>
      <c r="AL126" t="s">
        <v>524</v>
      </c>
      <c r="AM126" t="s">
        <v>2510</v>
      </c>
      <c r="AN126" t="s">
        <v>397</v>
      </c>
      <c r="AO126">
        <v>5079347602</v>
      </c>
      <c r="AP126" t="s">
        <v>3178</v>
      </c>
      <c r="AQ126">
        <v>5079347651</v>
      </c>
      <c r="AR126" t="s">
        <v>2511</v>
      </c>
      <c r="AS126" t="s">
        <v>3557</v>
      </c>
      <c r="AU126" t="s">
        <v>817</v>
      </c>
      <c r="AV126" t="s">
        <v>386</v>
      </c>
      <c r="AW126">
        <v>56082</v>
      </c>
      <c r="AX126">
        <v>1327</v>
      </c>
      <c r="BL126" t="s">
        <v>1097</v>
      </c>
      <c r="BM126" t="s">
        <v>1098</v>
      </c>
      <c r="BN126" t="s">
        <v>392</v>
      </c>
      <c r="BO126">
        <v>5079347689</v>
      </c>
      <c r="BP126" t="s">
        <v>3178</v>
      </c>
      <c r="BQ126">
        <v>5079347651</v>
      </c>
      <c r="BR126" t="s">
        <v>3195</v>
      </c>
      <c r="BS126" t="s">
        <v>3196</v>
      </c>
      <c r="BU126" t="s">
        <v>817</v>
      </c>
      <c r="BV126" t="s">
        <v>386</v>
      </c>
      <c r="BW126">
        <v>56082</v>
      </c>
      <c r="BX126">
        <v>1327</v>
      </c>
    </row>
    <row r="127" spans="1:76" customFormat="1" x14ac:dyDescent="0.25">
      <c r="A127" s="496">
        <v>252</v>
      </c>
      <c r="B127">
        <v>1962583039</v>
      </c>
      <c r="C127" t="s">
        <v>1592</v>
      </c>
      <c r="D127" t="s">
        <v>2616</v>
      </c>
      <c r="E127" t="s">
        <v>3558</v>
      </c>
      <c r="H127" t="s">
        <v>815</v>
      </c>
      <c r="I127" t="s">
        <v>386</v>
      </c>
      <c r="J127">
        <v>56082</v>
      </c>
      <c r="K127">
        <v>5800</v>
      </c>
      <c r="L127">
        <v>5079335001</v>
      </c>
      <c r="M127">
        <v>5079347043</v>
      </c>
      <c r="N127" t="s">
        <v>1624</v>
      </c>
      <c r="O127" t="s">
        <v>3193</v>
      </c>
      <c r="P127" t="s">
        <v>2354</v>
      </c>
      <c r="Q127" t="s">
        <v>3194</v>
      </c>
      <c r="R127" t="s">
        <v>1593</v>
      </c>
      <c r="S127" t="s">
        <v>1097</v>
      </c>
      <c r="T127" t="s">
        <v>1098</v>
      </c>
      <c r="U127" t="s">
        <v>392</v>
      </c>
      <c r="V127">
        <v>5079347689</v>
      </c>
      <c r="W127" t="s">
        <v>3178</v>
      </c>
      <c r="X127">
        <v>5079347651</v>
      </c>
      <c r="Y127" t="s">
        <v>3195</v>
      </c>
      <c r="Z127" t="s">
        <v>3196</v>
      </c>
      <c r="AB127" t="s">
        <v>817</v>
      </c>
      <c r="AC127" t="s">
        <v>386</v>
      </c>
      <c r="AD127">
        <v>56082</v>
      </c>
      <c r="AE127">
        <v>1327</v>
      </c>
      <c r="AG127" t="s">
        <v>3197</v>
      </c>
      <c r="AH127" t="s">
        <v>1101</v>
      </c>
      <c r="AI127" t="s">
        <v>1077</v>
      </c>
      <c r="AJ127">
        <v>0</v>
      </c>
      <c r="AK127">
        <v>0</v>
      </c>
    </row>
    <row r="128" spans="1:76" customFormat="1" x14ac:dyDescent="0.25">
      <c r="A128" s="496">
        <v>161</v>
      </c>
      <c r="B128">
        <v>1295726362</v>
      </c>
      <c r="C128" t="s">
        <v>818</v>
      </c>
      <c r="D128" t="s">
        <v>819</v>
      </c>
      <c r="E128" t="s">
        <v>3559</v>
      </c>
      <c r="H128" t="s">
        <v>566</v>
      </c>
      <c r="I128" t="s">
        <v>386</v>
      </c>
      <c r="J128">
        <v>56479</v>
      </c>
      <c r="K128">
        <v>3201</v>
      </c>
      <c r="L128">
        <v>2188941515</v>
      </c>
      <c r="M128">
        <v>2188940355</v>
      </c>
      <c r="N128" t="s">
        <v>247</v>
      </c>
      <c r="O128" t="s">
        <v>821</v>
      </c>
      <c r="P128" t="s">
        <v>128</v>
      </c>
      <c r="Q128" t="s">
        <v>822</v>
      </c>
      <c r="R128" t="s">
        <v>3560</v>
      </c>
      <c r="S128" t="s">
        <v>1533</v>
      </c>
      <c r="T128" t="s">
        <v>3561</v>
      </c>
      <c r="U128" t="s">
        <v>3562</v>
      </c>
      <c r="V128">
        <v>2188948352</v>
      </c>
      <c r="W128" t="s">
        <v>3178</v>
      </c>
      <c r="X128">
        <v>2188948984</v>
      </c>
      <c r="Y128" t="s">
        <v>3563</v>
      </c>
      <c r="AC128" t="s">
        <v>2789</v>
      </c>
      <c r="AG128" t="s">
        <v>823</v>
      </c>
      <c r="AH128" t="s">
        <v>402</v>
      </c>
      <c r="AJ128">
        <v>1</v>
      </c>
      <c r="AK128" t="s">
        <v>824</v>
      </c>
      <c r="BL128" t="s">
        <v>1533</v>
      </c>
      <c r="BM128" t="s">
        <v>3561</v>
      </c>
      <c r="BN128" t="s">
        <v>3562</v>
      </c>
      <c r="BO128">
        <v>2188948352</v>
      </c>
      <c r="BP128" t="s">
        <v>3178</v>
      </c>
      <c r="BQ128">
        <v>2188948984</v>
      </c>
      <c r="BR128" t="s">
        <v>3563</v>
      </c>
      <c r="BV128" t="s">
        <v>2789</v>
      </c>
    </row>
    <row r="129" spans="1:76" customFormat="1" x14ac:dyDescent="0.25">
      <c r="A129" s="496">
        <v>74</v>
      </c>
      <c r="B129">
        <v>1538138003</v>
      </c>
      <c r="C129" t="s">
        <v>825</v>
      </c>
      <c r="D129" t="s">
        <v>826</v>
      </c>
      <c r="E129" t="s">
        <v>3564</v>
      </c>
      <c r="H129" t="s">
        <v>827</v>
      </c>
      <c r="I129" t="s">
        <v>386</v>
      </c>
      <c r="J129">
        <v>55082</v>
      </c>
      <c r="K129">
        <v>5930</v>
      </c>
      <c r="L129">
        <v>6514395330</v>
      </c>
      <c r="M129">
        <v>6514304528</v>
      </c>
      <c r="N129" t="s">
        <v>2950</v>
      </c>
      <c r="O129" t="s">
        <v>2951</v>
      </c>
      <c r="P129" t="s">
        <v>128</v>
      </c>
      <c r="Q129" t="s">
        <v>3565</v>
      </c>
      <c r="R129" t="s">
        <v>828</v>
      </c>
      <c r="S129" t="s">
        <v>2472</v>
      </c>
      <c r="T129" t="s">
        <v>2952</v>
      </c>
      <c r="U129" t="s">
        <v>2953</v>
      </c>
      <c r="V129">
        <v>6514304539</v>
      </c>
      <c r="W129" t="s">
        <v>3178</v>
      </c>
      <c r="X129">
        <v>6514308538</v>
      </c>
      <c r="Y129" t="s">
        <v>2954</v>
      </c>
      <c r="Z129" t="s">
        <v>3566</v>
      </c>
      <c r="AB129" t="s">
        <v>829</v>
      </c>
      <c r="AC129" t="s">
        <v>386</v>
      </c>
      <c r="AD129">
        <v>55082</v>
      </c>
      <c r="AE129">
        <v>6605</v>
      </c>
      <c r="AF129" t="s">
        <v>2070</v>
      </c>
      <c r="AG129" t="s">
        <v>2955</v>
      </c>
      <c r="AH129" t="s">
        <v>814</v>
      </c>
      <c r="AI129" t="s">
        <v>1077</v>
      </c>
      <c r="AJ129">
        <v>0</v>
      </c>
      <c r="AK129" t="s">
        <v>3567</v>
      </c>
      <c r="AL129" t="s">
        <v>2956</v>
      </c>
      <c r="AM129" t="s">
        <v>2957</v>
      </c>
      <c r="AN129" t="s">
        <v>1092</v>
      </c>
      <c r="AO129">
        <v>6514304547</v>
      </c>
      <c r="AP129" t="s">
        <v>3178</v>
      </c>
      <c r="AQ129">
        <v>6514308538</v>
      </c>
      <c r="AR129" t="s">
        <v>2958</v>
      </c>
      <c r="AS129" t="s">
        <v>3566</v>
      </c>
      <c r="AU129" t="s">
        <v>829</v>
      </c>
      <c r="AV129" t="s">
        <v>386</v>
      </c>
      <c r="BL129" t="s">
        <v>2956</v>
      </c>
      <c r="BM129" t="s">
        <v>2957</v>
      </c>
      <c r="BN129" t="s">
        <v>1092</v>
      </c>
      <c r="BO129">
        <v>6514304547</v>
      </c>
      <c r="BP129" t="s">
        <v>3178</v>
      </c>
      <c r="BQ129">
        <v>6514308538</v>
      </c>
      <c r="BR129" t="s">
        <v>2958</v>
      </c>
      <c r="BS129" t="s">
        <v>3566</v>
      </c>
      <c r="BU129" t="s">
        <v>829</v>
      </c>
      <c r="BV129" t="s">
        <v>386</v>
      </c>
    </row>
    <row r="130" spans="1:76" customFormat="1" x14ac:dyDescent="0.25">
      <c r="A130" s="496">
        <v>106</v>
      </c>
      <c r="B130">
        <v>1043218753</v>
      </c>
      <c r="C130" t="s">
        <v>2107</v>
      </c>
      <c r="D130" t="s">
        <v>1767</v>
      </c>
      <c r="E130" t="s">
        <v>2619</v>
      </c>
      <c r="H130" t="s">
        <v>1768</v>
      </c>
      <c r="I130" t="s">
        <v>386</v>
      </c>
      <c r="J130">
        <v>56701</v>
      </c>
      <c r="K130">
        <v>-5</v>
      </c>
      <c r="L130">
        <v>2186814240</v>
      </c>
      <c r="M130">
        <v>2186834511</v>
      </c>
      <c r="N130" t="s">
        <v>1025</v>
      </c>
      <c r="O130" t="s">
        <v>533</v>
      </c>
      <c r="P130" t="s">
        <v>397</v>
      </c>
      <c r="Q130" t="s">
        <v>2959</v>
      </c>
      <c r="R130" t="s">
        <v>2056</v>
      </c>
      <c r="S130" t="s">
        <v>178</v>
      </c>
      <c r="T130" t="s">
        <v>1461</v>
      </c>
      <c r="U130" t="s">
        <v>1115</v>
      </c>
      <c r="V130">
        <v>2186834470</v>
      </c>
      <c r="W130" t="s">
        <v>3178</v>
      </c>
      <c r="X130" t="s">
        <v>3178</v>
      </c>
      <c r="Y130" t="s">
        <v>2110</v>
      </c>
      <c r="AC130" t="s">
        <v>2789</v>
      </c>
      <c r="AG130" t="s">
        <v>2108</v>
      </c>
      <c r="AH130" t="s">
        <v>1505</v>
      </c>
      <c r="AI130" t="s">
        <v>1077</v>
      </c>
      <c r="AJ130">
        <v>1</v>
      </c>
      <c r="AK130" t="s">
        <v>2109</v>
      </c>
      <c r="BL130" t="s">
        <v>178</v>
      </c>
      <c r="BM130" t="s">
        <v>1461</v>
      </c>
      <c r="BN130" t="s">
        <v>1115</v>
      </c>
      <c r="BO130">
        <v>2186834470</v>
      </c>
      <c r="BP130" t="s">
        <v>3178</v>
      </c>
      <c r="BQ130" t="s">
        <v>3178</v>
      </c>
      <c r="BR130" t="s">
        <v>2110</v>
      </c>
      <c r="BV130" t="s">
        <v>2789</v>
      </c>
    </row>
    <row r="131" spans="1:76" customFormat="1" x14ac:dyDescent="0.25">
      <c r="A131" s="496">
        <v>156</v>
      </c>
      <c r="B131">
        <v>1003851171</v>
      </c>
      <c r="C131" t="s">
        <v>2158</v>
      </c>
      <c r="D131" t="s">
        <v>1770</v>
      </c>
      <c r="E131" t="s">
        <v>3568</v>
      </c>
      <c r="H131" t="s">
        <v>1303</v>
      </c>
      <c r="I131" t="s">
        <v>386</v>
      </c>
      <c r="J131">
        <v>56175</v>
      </c>
      <c r="K131">
        <v>1536</v>
      </c>
      <c r="L131">
        <v>5076293200</v>
      </c>
      <c r="M131">
        <v>5076293202</v>
      </c>
      <c r="N131" t="s">
        <v>196</v>
      </c>
      <c r="O131" t="s">
        <v>1463</v>
      </c>
      <c r="P131" t="s">
        <v>397</v>
      </c>
      <c r="Q131" t="s">
        <v>2960</v>
      </c>
      <c r="R131">
        <v>0</v>
      </c>
      <c r="S131" t="s">
        <v>1557</v>
      </c>
      <c r="T131" t="s">
        <v>2799</v>
      </c>
      <c r="U131" t="s">
        <v>2156</v>
      </c>
      <c r="V131">
        <v>6123764528</v>
      </c>
      <c r="W131" t="s">
        <v>3178</v>
      </c>
      <c r="X131">
        <v>6123764850</v>
      </c>
      <c r="Y131" t="s">
        <v>2800</v>
      </c>
      <c r="Z131" t="s">
        <v>3214</v>
      </c>
      <c r="AB131" t="s">
        <v>131</v>
      </c>
      <c r="AC131" t="s">
        <v>386</v>
      </c>
      <c r="AD131">
        <v>55402</v>
      </c>
      <c r="AF131" t="s">
        <v>132</v>
      </c>
      <c r="AG131" t="s">
        <v>1851</v>
      </c>
      <c r="AH131" t="s">
        <v>1505</v>
      </c>
      <c r="AI131" t="s">
        <v>393</v>
      </c>
      <c r="AJ131">
        <v>1</v>
      </c>
      <c r="AK131" t="s">
        <v>2159</v>
      </c>
      <c r="AL131" t="s">
        <v>196</v>
      </c>
      <c r="AM131" t="s">
        <v>1463</v>
      </c>
      <c r="AN131" t="s">
        <v>397</v>
      </c>
      <c r="AO131">
        <v>5072124136</v>
      </c>
      <c r="AP131" t="s">
        <v>3178</v>
      </c>
      <c r="AQ131">
        <v>5076293202</v>
      </c>
      <c r="AR131" t="s">
        <v>2960</v>
      </c>
      <c r="AS131" t="s">
        <v>3569</v>
      </c>
      <c r="AU131" t="s">
        <v>1852</v>
      </c>
      <c r="AV131" t="s">
        <v>386</v>
      </c>
      <c r="AW131">
        <v>56175</v>
      </c>
      <c r="AX131" t="s">
        <v>2353</v>
      </c>
      <c r="BL131" t="s">
        <v>196</v>
      </c>
      <c r="BM131" t="s">
        <v>1463</v>
      </c>
      <c r="BN131" t="s">
        <v>397</v>
      </c>
      <c r="BO131">
        <v>5072124136</v>
      </c>
      <c r="BP131" t="s">
        <v>3178</v>
      </c>
      <c r="BQ131">
        <v>5076293202</v>
      </c>
      <c r="BR131" t="s">
        <v>2960</v>
      </c>
      <c r="BS131" t="s">
        <v>3569</v>
      </c>
      <c r="BU131" t="s">
        <v>1852</v>
      </c>
      <c r="BV131" t="s">
        <v>386</v>
      </c>
      <c r="BW131">
        <v>56175</v>
      </c>
      <c r="BX131" t="s">
        <v>2353</v>
      </c>
    </row>
    <row r="132" spans="1:76" customFormat="1" x14ac:dyDescent="0.25">
      <c r="A132" s="496">
        <v>72</v>
      </c>
      <c r="B132">
        <v>1023067642</v>
      </c>
      <c r="C132" t="s">
        <v>2069</v>
      </c>
      <c r="D132" t="s">
        <v>1771</v>
      </c>
      <c r="E132" t="s">
        <v>3570</v>
      </c>
      <c r="H132" t="s">
        <v>1772</v>
      </c>
      <c r="I132" t="s">
        <v>386</v>
      </c>
      <c r="J132">
        <v>55616</v>
      </c>
      <c r="K132">
        <v>1300</v>
      </c>
      <c r="L132">
        <v>2188347300</v>
      </c>
      <c r="M132">
        <v>2188347388</v>
      </c>
      <c r="N132" t="s">
        <v>2961</v>
      </c>
      <c r="O132" t="s">
        <v>2962</v>
      </c>
      <c r="P132" t="s">
        <v>320</v>
      </c>
      <c r="Q132" t="s">
        <v>2963</v>
      </c>
      <c r="R132" t="s">
        <v>2148</v>
      </c>
      <c r="S132" t="s">
        <v>1853</v>
      </c>
      <c r="T132" t="s">
        <v>1773</v>
      </c>
      <c r="U132" t="s">
        <v>1099</v>
      </c>
      <c r="V132">
        <v>2188347383</v>
      </c>
      <c r="W132" t="s">
        <v>3178</v>
      </c>
      <c r="X132">
        <v>2188347388</v>
      </c>
      <c r="Y132" t="s">
        <v>2964</v>
      </c>
      <c r="Z132" t="s">
        <v>3571</v>
      </c>
      <c r="AB132" t="s">
        <v>1774</v>
      </c>
      <c r="AC132" t="s">
        <v>386</v>
      </c>
      <c r="AD132">
        <v>55616</v>
      </c>
      <c r="AE132">
        <v>1300</v>
      </c>
      <c r="AG132" t="s">
        <v>1775</v>
      </c>
      <c r="AH132" t="s">
        <v>1776</v>
      </c>
      <c r="AI132" t="s">
        <v>1077</v>
      </c>
      <c r="AJ132">
        <v>1</v>
      </c>
      <c r="AK132" t="s">
        <v>3572</v>
      </c>
      <c r="BL132" t="s">
        <v>1853</v>
      </c>
      <c r="BM132" t="s">
        <v>1773</v>
      </c>
      <c r="BN132" t="s">
        <v>1099</v>
      </c>
      <c r="BO132">
        <v>2188347383</v>
      </c>
      <c r="BP132" t="s">
        <v>3178</v>
      </c>
      <c r="BQ132">
        <v>2188347388</v>
      </c>
      <c r="BR132" t="s">
        <v>2964</v>
      </c>
      <c r="BS132" t="s">
        <v>3571</v>
      </c>
      <c r="BU132" t="s">
        <v>1774</v>
      </c>
      <c r="BV132" t="s">
        <v>386</v>
      </c>
      <c r="BW132">
        <v>55616</v>
      </c>
      <c r="BX132">
        <v>1300</v>
      </c>
    </row>
    <row r="133" spans="1:76" customFormat="1" x14ac:dyDescent="0.25">
      <c r="A133" s="496">
        <v>1</v>
      </c>
      <c r="B133">
        <v>1801840517</v>
      </c>
      <c r="C133" t="s">
        <v>1777</v>
      </c>
      <c r="D133" t="s">
        <v>1778</v>
      </c>
      <c r="E133" t="s">
        <v>3573</v>
      </c>
      <c r="H133" t="s">
        <v>537</v>
      </c>
      <c r="I133" t="s">
        <v>386</v>
      </c>
      <c r="J133">
        <v>56178</v>
      </c>
      <c r="K133">
        <v>1166</v>
      </c>
      <c r="L133">
        <v>5072475521</v>
      </c>
      <c r="M133">
        <v>5072475972</v>
      </c>
      <c r="N133" t="s">
        <v>3574</v>
      </c>
      <c r="O133" t="s">
        <v>3575</v>
      </c>
      <c r="P133" t="s">
        <v>320</v>
      </c>
      <c r="Q133" t="s">
        <v>3576</v>
      </c>
      <c r="R133" t="s">
        <v>1305</v>
      </c>
      <c r="S133" t="s">
        <v>2512</v>
      </c>
      <c r="T133" t="s">
        <v>1946</v>
      </c>
      <c r="U133" t="s">
        <v>2361</v>
      </c>
      <c r="V133">
        <v>6123764592</v>
      </c>
      <c r="W133" t="s">
        <v>3178</v>
      </c>
      <c r="X133">
        <v>6123764850</v>
      </c>
      <c r="Y133" t="s">
        <v>3577</v>
      </c>
      <c r="Z133" t="s">
        <v>3578</v>
      </c>
      <c r="AA133" t="s">
        <v>2513</v>
      </c>
      <c r="AB133" t="s">
        <v>131</v>
      </c>
      <c r="AC133" t="s">
        <v>386</v>
      </c>
      <c r="AD133">
        <v>55402</v>
      </c>
      <c r="AF133" t="s">
        <v>132</v>
      </c>
      <c r="AG133" t="s">
        <v>1781</v>
      </c>
      <c r="AH133" t="s">
        <v>1632</v>
      </c>
      <c r="AI133" t="s">
        <v>1206</v>
      </c>
      <c r="AJ133">
        <v>1</v>
      </c>
      <c r="AK133" t="s">
        <v>2514</v>
      </c>
      <c r="AL133" t="s">
        <v>3424</v>
      </c>
      <c r="AM133" t="s">
        <v>1306</v>
      </c>
      <c r="AN133" t="s">
        <v>3425</v>
      </c>
      <c r="AO133">
        <v>5075379150</v>
      </c>
      <c r="AP133" t="s">
        <v>3178</v>
      </c>
      <c r="AQ133" t="s">
        <v>3178</v>
      </c>
      <c r="AR133" t="s">
        <v>3426</v>
      </c>
      <c r="AS133" t="s">
        <v>3422</v>
      </c>
      <c r="AU133" t="s">
        <v>1307</v>
      </c>
      <c r="AV133" t="s">
        <v>386</v>
      </c>
      <c r="AW133">
        <v>56258</v>
      </c>
      <c r="BL133" t="s">
        <v>3424</v>
      </c>
      <c r="BM133" t="s">
        <v>1306</v>
      </c>
      <c r="BN133" t="s">
        <v>3425</v>
      </c>
      <c r="BO133">
        <v>5075379150</v>
      </c>
      <c r="BP133" t="s">
        <v>3178</v>
      </c>
      <c r="BQ133" t="s">
        <v>3178</v>
      </c>
      <c r="BR133" t="s">
        <v>3426</v>
      </c>
      <c r="BS133" t="s">
        <v>3422</v>
      </c>
      <c r="BU133" t="s">
        <v>1307</v>
      </c>
      <c r="BV133" t="s">
        <v>386</v>
      </c>
      <c r="BW133">
        <v>56258</v>
      </c>
    </row>
    <row r="134" spans="1:76" customFormat="1" x14ac:dyDescent="0.25">
      <c r="A134" s="496">
        <v>167</v>
      </c>
      <c r="B134">
        <v>1083617120</v>
      </c>
      <c r="C134" t="s">
        <v>2515</v>
      </c>
      <c r="D134" t="s">
        <v>1782</v>
      </c>
      <c r="E134" t="s">
        <v>2965</v>
      </c>
      <c r="H134" t="s">
        <v>1112</v>
      </c>
      <c r="I134" t="s">
        <v>386</v>
      </c>
      <c r="J134">
        <v>55792</v>
      </c>
      <c r="K134">
        <v>2348</v>
      </c>
      <c r="L134">
        <v>2187413340</v>
      </c>
      <c r="M134">
        <v>2187499427</v>
      </c>
      <c r="N134" t="s">
        <v>1717</v>
      </c>
      <c r="O134" t="s">
        <v>2966</v>
      </c>
      <c r="P134" t="s">
        <v>541</v>
      </c>
      <c r="Q134" t="s">
        <v>3579</v>
      </c>
      <c r="R134" t="s">
        <v>2357</v>
      </c>
      <c r="S134" t="s">
        <v>1511</v>
      </c>
      <c r="T134" t="s">
        <v>1854</v>
      </c>
      <c r="U134" t="s">
        <v>3580</v>
      </c>
      <c r="V134">
        <v>2187428646</v>
      </c>
      <c r="W134" t="s">
        <v>3178</v>
      </c>
      <c r="X134">
        <v>2187487723</v>
      </c>
      <c r="Y134" t="s">
        <v>3581</v>
      </c>
      <c r="Z134" t="s">
        <v>3582</v>
      </c>
      <c r="AB134" t="s">
        <v>1855</v>
      </c>
      <c r="AC134" t="s">
        <v>386</v>
      </c>
      <c r="AD134">
        <v>55792</v>
      </c>
      <c r="AE134">
        <v>2348</v>
      </c>
      <c r="AG134" t="s">
        <v>1951</v>
      </c>
      <c r="AH134" t="s">
        <v>3180</v>
      </c>
      <c r="AI134" t="s">
        <v>1077</v>
      </c>
      <c r="AJ134">
        <v>0</v>
      </c>
      <c r="AK134" t="s">
        <v>2402</v>
      </c>
      <c r="AL134" t="s">
        <v>1334</v>
      </c>
      <c r="AM134" t="s">
        <v>1344</v>
      </c>
      <c r="AN134" t="s">
        <v>1345</v>
      </c>
      <c r="AO134">
        <v>2187861432</v>
      </c>
      <c r="AP134" t="s">
        <v>3178</v>
      </c>
      <c r="AQ134">
        <v>2187868406</v>
      </c>
      <c r="AR134" t="s">
        <v>3210</v>
      </c>
      <c r="AS134" t="s">
        <v>3208</v>
      </c>
      <c r="AU134" t="s">
        <v>1532</v>
      </c>
      <c r="AV134" t="s">
        <v>386</v>
      </c>
      <c r="AW134">
        <v>55805</v>
      </c>
      <c r="BL134" t="s">
        <v>149</v>
      </c>
      <c r="BM134" t="s">
        <v>533</v>
      </c>
      <c r="BN134" t="s">
        <v>3211</v>
      </c>
      <c r="BO134">
        <v>2187861703</v>
      </c>
      <c r="BP134" t="s">
        <v>3178</v>
      </c>
      <c r="BQ134">
        <v>2187868406</v>
      </c>
      <c r="BR134" t="s">
        <v>3212</v>
      </c>
      <c r="BS134" t="s">
        <v>3208</v>
      </c>
      <c r="BU134" t="s">
        <v>1532</v>
      </c>
      <c r="BV134" t="s">
        <v>386</v>
      </c>
      <c r="BW134">
        <v>55805</v>
      </c>
    </row>
    <row r="135" spans="1:76" customFormat="1" x14ac:dyDescent="0.25">
      <c r="A135" s="496">
        <v>133</v>
      </c>
      <c r="B135">
        <v>1659355600</v>
      </c>
      <c r="C135" t="s">
        <v>1784</v>
      </c>
      <c r="D135" t="s">
        <v>1785</v>
      </c>
      <c r="E135" t="s">
        <v>3583</v>
      </c>
      <c r="H135" t="s">
        <v>1785</v>
      </c>
      <c r="I135" t="s">
        <v>386</v>
      </c>
      <c r="J135">
        <v>55981</v>
      </c>
      <c r="K135">
        <v>1042</v>
      </c>
      <c r="L135">
        <v>6125654531</v>
      </c>
      <c r="M135">
        <v>6125652482</v>
      </c>
      <c r="N135" t="s">
        <v>178</v>
      </c>
      <c r="O135" t="s">
        <v>1786</v>
      </c>
      <c r="P135" t="s">
        <v>128</v>
      </c>
      <c r="Q135" t="s">
        <v>1856</v>
      </c>
      <c r="R135" t="s">
        <v>1787</v>
      </c>
      <c r="S135" t="s">
        <v>1535</v>
      </c>
      <c r="T135" t="s">
        <v>1788</v>
      </c>
      <c r="U135" t="s">
        <v>392</v>
      </c>
      <c r="V135">
        <v>6515655553</v>
      </c>
      <c r="W135" t="s">
        <v>3178</v>
      </c>
      <c r="X135">
        <v>6515652482</v>
      </c>
      <c r="Y135" t="s">
        <v>1857</v>
      </c>
      <c r="Z135" t="s">
        <v>3584</v>
      </c>
      <c r="AB135" t="s">
        <v>1789</v>
      </c>
      <c r="AC135" t="s">
        <v>386</v>
      </c>
      <c r="AD135">
        <v>55981</v>
      </c>
      <c r="AE135">
        <v>1042</v>
      </c>
      <c r="AF135" t="s">
        <v>1789</v>
      </c>
      <c r="AG135" t="s">
        <v>1858</v>
      </c>
      <c r="AH135" t="s">
        <v>1790</v>
      </c>
      <c r="AI135" t="s">
        <v>1077</v>
      </c>
      <c r="AJ135">
        <v>1</v>
      </c>
      <c r="AK135" t="s">
        <v>1791</v>
      </c>
      <c r="BL135" t="s">
        <v>1535</v>
      </c>
      <c r="BM135" t="s">
        <v>1788</v>
      </c>
      <c r="BN135" t="s">
        <v>392</v>
      </c>
      <c r="BO135">
        <v>6515655553</v>
      </c>
      <c r="BP135" t="s">
        <v>3178</v>
      </c>
      <c r="BQ135">
        <v>6515652482</v>
      </c>
      <c r="BR135" t="s">
        <v>1857</v>
      </c>
      <c r="BS135" t="s">
        <v>3584</v>
      </c>
      <c r="BU135" t="s">
        <v>1789</v>
      </c>
      <c r="BV135" t="s">
        <v>386</v>
      </c>
      <c r="BW135">
        <v>55981</v>
      </c>
      <c r="BX135">
        <v>1042</v>
      </c>
    </row>
    <row r="136" spans="1:76" customFormat="1" x14ac:dyDescent="0.25">
      <c r="A136" s="496">
        <v>168</v>
      </c>
      <c r="B136">
        <v>1275608457</v>
      </c>
      <c r="C136" t="s">
        <v>1792</v>
      </c>
      <c r="D136" t="s">
        <v>1793</v>
      </c>
      <c r="E136" t="s">
        <v>3585</v>
      </c>
      <c r="H136" t="s">
        <v>1794</v>
      </c>
      <c r="I136" t="s">
        <v>386</v>
      </c>
      <c r="J136">
        <v>55387</v>
      </c>
      <c r="K136">
        <v>1752</v>
      </c>
      <c r="L136">
        <v>9524422191</v>
      </c>
      <c r="M136">
        <v>9524426543</v>
      </c>
      <c r="N136" t="s">
        <v>1795</v>
      </c>
      <c r="O136" t="s">
        <v>232</v>
      </c>
      <c r="P136" t="s">
        <v>1194</v>
      </c>
      <c r="Q136" t="s">
        <v>1859</v>
      </c>
      <c r="R136" t="s">
        <v>1594</v>
      </c>
      <c r="S136" t="s">
        <v>2967</v>
      </c>
      <c r="T136" t="s">
        <v>2968</v>
      </c>
      <c r="U136" t="s">
        <v>1860</v>
      </c>
      <c r="V136">
        <v>9524422191</v>
      </c>
      <c r="W136">
        <v>5590</v>
      </c>
      <c r="X136">
        <v>9524426540</v>
      </c>
      <c r="Y136" t="s">
        <v>2969</v>
      </c>
      <c r="Z136" t="s">
        <v>3586</v>
      </c>
      <c r="AB136" t="s">
        <v>1797</v>
      </c>
      <c r="AC136" t="s">
        <v>386</v>
      </c>
      <c r="AD136">
        <v>55387</v>
      </c>
      <c r="AE136">
        <v>1752</v>
      </c>
      <c r="AF136" t="s">
        <v>1798</v>
      </c>
      <c r="AG136" t="s">
        <v>1799</v>
      </c>
      <c r="AH136" t="s">
        <v>402</v>
      </c>
      <c r="AJ136">
        <v>0</v>
      </c>
      <c r="AK136" t="s">
        <v>2970</v>
      </c>
      <c r="BL136" t="s">
        <v>1113</v>
      </c>
      <c r="BM136" t="s">
        <v>1464</v>
      </c>
      <c r="BN136" t="s">
        <v>392</v>
      </c>
      <c r="BO136">
        <v>9524422191</v>
      </c>
      <c r="BP136" t="s">
        <v>3178</v>
      </c>
      <c r="BQ136">
        <v>9524426543</v>
      </c>
      <c r="BR136" t="s">
        <v>1465</v>
      </c>
      <c r="BS136" t="s">
        <v>3587</v>
      </c>
      <c r="BU136" t="s">
        <v>1797</v>
      </c>
      <c r="BV136" t="s">
        <v>386</v>
      </c>
      <c r="BW136">
        <v>55387</v>
      </c>
      <c r="BX136" t="s">
        <v>2353</v>
      </c>
    </row>
    <row r="137" spans="1:76" customFormat="1" x14ac:dyDescent="0.25">
      <c r="A137" s="496">
        <v>157</v>
      </c>
      <c r="B137">
        <v>1477545333</v>
      </c>
      <c r="C137" t="s">
        <v>1800</v>
      </c>
      <c r="D137" t="s">
        <v>820</v>
      </c>
      <c r="E137" t="s">
        <v>3588</v>
      </c>
      <c r="H137" t="s">
        <v>820</v>
      </c>
      <c r="I137" t="s">
        <v>386</v>
      </c>
      <c r="J137">
        <v>56482</v>
      </c>
      <c r="K137">
        <v>1264</v>
      </c>
      <c r="L137">
        <v>2186313510</v>
      </c>
      <c r="M137">
        <v>2186317511</v>
      </c>
      <c r="N137" t="s">
        <v>1587</v>
      </c>
      <c r="O137" t="s">
        <v>1466</v>
      </c>
      <c r="P137" t="s">
        <v>397</v>
      </c>
      <c r="Q137" t="s">
        <v>2516</v>
      </c>
      <c r="R137" t="s">
        <v>2517</v>
      </c>
      <c r="S137" t="s">
        <v>1467</v>
      </c>
      <c r="T137" t="s">
        <v>1468</v>
      </c>
      <c r="U137" t="s">
        <v>1099</v>
      </c>
      <c r="V137">
        <v>2186328714</v>
      </c>
      <c r="W137" t="s">
        <v>3178</v>
      </c>
      <c r="X137">
        <v>2186317503</v>
      </c>
      <c r="Y137" t="s">
        <v>2518</v>
      </c>
      <c r="AC137" t="s">
        <v>386</v>
      </c>
      <c r="AG137" t="s">
        <v>2519</v>
      </c>
      <c r="AH137" t="s">
        <v>402</v>
      </c>
      <c r="AJ137">
        <v>1</v>
      </c>
      <c r="AK137" t="s">
        <v>2160</v>
      </c>
      <c r="AL137" t="s">
        <v>1467</v>
      </c>
      <c r="AM137" t="s">
        <v>1468</v>
      </c>
      <c r="AN137" t="s">
        <v>1099</v>
      </c>
      <c r="AO137">
        <v>2186328714</v>
      </c>
      <c r="AP137" t="s">
        <v>3178</v>
      </c>
      <c r="AQ137">
        <v>2186317503</v>
      </c>
      <c r="AR137" t="s">
        <v>2518</v>
      </c>
      <c r="AV137" t="s">
        <v>386</v>
      </c>
      <c r="AY137" t="s">
        <v>1227</v>
      </c>
      <c r="AZ137" t="s">
        <v>1801</v>
      </c>
      <c r="BA137" t="s">
        <v>392</v>
      </c>
      <c r="BB137">
        <v>2186315211</v>
      </c>
      <c r="BC137" t="s">
        <v>3178</v>
      </c>
      <c r="BD137">
        <v>2186317503</v>
      </c>
      <c r="BE137" t="s">
        <v>2520</v>
      </c>
      <c r="BI137" t="s">
        <v>2789</v>
      </c>
      <c r="BL137" t="s">
        <v>1467</v>
      </c>
      <c r="BM137" t="s">
        <v>1468</v>
      </c>
      <c r="BN137" t="s">
        <v>1099</v>
      </c>
      <c r="BO137">
        <v>2186328714</v>
      </c>
      <c r="BP137" t="s">
        <v>3178</v>
      </c>
      <c r="BQ137">
        <v>2186317503</v>
      </c>
      <c r="BR137" t="s">
        <v>2518</v>
      </c>
      <c r="BV137" t="s">
        <v>386</v>
      </c>
    </row>
    <row r="138" spans="1:76" customFormat="1" x14ac:dyDescent="0.25">
      <c r="A138" s="496">
        <v>169</v>
      </c>
      <c r="B138">
        <v>1073516357</v>
      </c>
      <c r="C138" t="s">
        <v>1705</v>
      </c>
      <c r="D138" t="s">
        <v>1706</v>
      </c>
      <c r="E138" t="s">
        <v>3589</v>
      </c>
      <c r="H138" t="s">
        <v>1302</v>
      </c>
      <c r="I138" t="s">
        <v>386</v>
      </c>
      <c r="J138">
        <v>56762</v>
      </c>
      <c r="K138">
        <v>1461</v>
      </c>
      <c r="L138">
        <v>2187454211</v>
      </c>
      <c r="M138">
        <v>2187454215</v>
      </c>
      <c r="N138" t="s">
        <v>1025</v>
      </c>
      <c r="O138" t="s">
        <v>2971</v>
      </c>
      <c r="P138" t="s">
        <v>358</v>
      </c>
      <c r="Q138" t="s">
        <v>2972</v>
      </c>
      <c r="R138" t="s">
        <v>1707</v>
      </c>
      <c r="S138" t="s">
        <v>2521</v>
      </c>
      <c r="T138" t="s">
        <v>2522</v>
      </c>
      <c r="U138" t="s">
        <v>2027</v>
      </c>
      <c r="V138">
        <v>7012398526</v>
      </c>
      <c r="W138" t="s">
        <v>3178</v>
      </c>
      <c r="X138">
        <v>7012398600</v>
      </c>
      <c r="Y138" t="s">
        <v>2523</v>
      </c>
      <c r="Z138" t="s">
        <v>3590</v>
      </c>
      <c r="AB138" t="s">
        <v>1709</v>
      </c>
      <c r="AC138" t="s">
        <v>517</v>
      </c>
      <c r="AD138">
        <v>58104</v>
      </c>
      <c r="AE138" t="s">
        <v>1963</v>
      </c>
      <c r="AF138" t="s">
        <v>1710</v>
      </c>
      <c r="AG138" t="s">
        <v>1711</v>
      </c>
      <c r="AH138" t="s">
        <v>402</v>
      </c>
      <c r="AJ138">
        <v>1</v>
      </c>
      <c r="AK138" t="s">
        <v>1712</v>
      </c>
      <c r="AL138" t="s">
        <v>1713</v>
      </c>
      <c r="AM138" t="s">
        <v>1714</v>
      </c>
      <c r="AN138" t="s">
        <v>392</v>
      </c>
      <c r="AO138">
        <v>2187453261</v>
      </c>
      <c r="AP138" t="s">
        <v>3178</v>
      </c>
      <c r="AQ138">
        <v>2187454215</v>
      </c>
      <c r="AR138" t="s">
        <v>2524</v>
      </c>
      <c r="AS138" t="s">
        <v>3591</v>
      </c>
      <c r="AU138" t="s">
        <v>1715</v>
      </c>
      <c r="AV138" t="s">
        <v>386</v>
      </c>
      <c r="AW138">
        <v>56762</v>
      </c>
      <c r="AX138">
        <v>1499</v>
      </c>
      <c r="BL138" t="s">
        <v>1713</v>
      </c>
      <c r="BM138" t="s">
        <v>1714</v>
      </c>
      <c r="BN138" t="s">
        <v>392</v>
      </c>
      <c r="BO138">
        <v>2187453261</v>
      </c>
      <c r="BP138" t="s">
        <v>3178</v>
      </c>
      <c r="BQ138">
        <v>2187454215</v>
      </c>
      <c r="BR138" t="s">
        <v>2524</v>
      </c>
      <c r="BS138" t="s">
        <v>3591</v>
      </c>
      <c r="BU138" t="s">
        <v>1715</v>
      </c>
      <c r="BV138" t="s">
        <v>386</v>
      </c>
      <c r="BW138">
        <v>56762</v>
      </c>
      <c r="BX138">
        <v>1499</v>
      </c>
    </row>
    <row r="139" spans="1:76" customFormat="1" x14ac:dyDescent="0.25">
      <c r="A139" s="496">
        <v>170</v>
      </c>
      <c r="B139">
        <v>1740256668</v>
      </c>
      <c r="C139" t="s">
        <v>2166</v>
      </c>
      <c r="D139" t="s">
        <v>1803</v>
      </c>
      <c r="E139" t="s">
        <v>3592</v>
      </c>
      <c r="H139" t="s">
        <v>1803</v>
      </c>
      <c r="I139" t="s">
        <v>386</v>
      </c>
      <c r="J139">
        <v>56093</v>
      </c>
      <c r="K139">
        <v>2811</v>
      </c>
      <c r="L139">
        <v>5078351210</v>
      </c>
      <c r="M139">
        <v>5077818280</v>
      </c>
      <c r="N139" t="s">
        <v>204</v>
      </c>
      <c r="O139" t="s">
        <v>2973</v>
      </c>
      <c r="P139" t="s">
        <v>320</v>
      </c>
      <c r="Q139" t="s">
        <v>2974</v>
      </c>
      <c r="R139" t="s">
        <v>1835</v>
      </c>
      <c r="S139" t="s">
        <v>2044</v>
      </c>
      <c r="T139" t="s">
        <v>2045</v>
      </c>
      <c r="U139" t="s">
        <v>2876</v>
      </c>
      <c r="V139">
        <v>5073047197</v>
      </c>
      <c r="W139" t="s">
        <v>3178</v>
      </c>
      <c r="X139">
        <v>5073854874</v>
      </c>
      <c r="Y139" t="s">
        <v>2046</v>
      </c>
      <c r="Z139" t="s">
        <v>3048</v>
      </c>
      <c r="AA139" t="s">
        <v>410</v>
      </c>
      <c r="AB139" t="s">
        <v>2008</v>
      </c>
      <c r="AC139" t="s">
        <v>386</v>
      </c>
      <c r="AD139">
        <v>56001</v>
      </c>
      <c r="AF139" t="s">
        <v>1220</v>
      </c>
      <c r="AG139" t="s">
        <v>2167</v>
      </c>
      <c r="AH139" t="s">
        <v>1087</v>
      </c>
      <c r="AI139" t="s">
        <v>1077</v>
      </c>
      <c r="AJ139">
        <v>1</v>
      </c>
      <c r="AK139" t="s">
        <v>2877</v>
      </c>
      <c r="AL139" t="s">
        <v>390</v>
      </c>
      <c r="AM139" t="s">
        <v>411</v>
      </c>
      <c r="AN139" t="s">
        <v>2846</v>
      </c>
      <c r="AO139">
        <v>5073852680</v>
      </c>
      <c r="AP139" t="s">
        <v>3178</v>
      </c>
      <c r="AQ139">
        <v>5073854874</v>
      </c>
      <c r="AR139" t="s">
        <v>1362</v>
      </c>
      <c r="AS139" t="s">
        <v>3048</v>
      </c>
      <c r="AT139" t="s">
        <v>410</v>
      </c>
      <c r="AU139" t="s">
        <v>2008</v>
      </c>
      <c r="AV139" t="s">
        <v>386</v>
      </c>
      <c r="AW139">
        <v>56002</v>
      </c>
      <c r="AX139">
        <v>8673</v>
      </c>
      <c r="BL139" t="s">
        <v>2044</v>
      </c>
      <c r="BM139" t="s">
        <v>2045</v>
      </c>
      <c r="BN139" t="s">
        <v>2876</v>
      </c>
      <c r="BO139">
        <v>5073047197</v>
      </c>
      <c r="BP139" t="s">
        <v>3178</v>
      </c>
      <c r="BQ139">
        <v>5073854874</v>
      </c>
      <c r="BR139" t="s">
        <v>2046</v>
      </c>
      <c r="BS139" t="s">
        <v>3048</v>
      </c>
      <c r="BT139" t="s">
        <v>410</v>
      </c>
      <c r="BU139" t="s">
        <v>2008</v>
      </c>
      <c r="BV139" t="s">
        <v>386</v>
      </c>
      <c r="BW139">
        <v>56001</v>
      </c>
    </row>
    <row r="140" spans="1:76" customFormat="1" x14ac:dyDescent="0.25">
      <c r="A140" s="496">
        <v>35</v>
      </c>
      <c r="B140">
        <v>1942253547</v>
      </c>
      <c r="C140" t="s">
        <v>1998</v>
      </c>
      <c r="D140" t="s">
        <v>952</v>
      </c>
      <c r="E140" t="s">
        <v>3593</v>
      </c>
      <c r="H140" t="s">
        <v>953</v>
      </c>
      <c r="I140" t="s">
        <v>386</v>
      </c>
      <c r="J140">
        <v>56183</v>
      </c>
      <c r="K140">
        <v>9669</v>
      </c>
      <c r="L140">
        <v>5072746121</v>
      </c>
      <c r="M140">
        <v>5072745671</v>
      </c>
      <c r="N140" t="s">
        <v>196</v>
      </c>
      <c r="O140" t="s">
        <v>1463</v>
      </c>
      <c r="P140" t="s">
        <v>397</v>
      </c>
      <c r="Q140" t="s">
        <v>2960</v>
      </c>
      <c r="S140" t="s">
        <v>1557</v>
      </c>
      <c r="T140" t="s">
        <v>2799</v>
      </c>
      <c r="U140" t="s">
        <v>2156</v>
      </c>
      <c r="V140">
        <v>6123764528</v>
      </c>
      <c r="W140" t="s">
        <v>3178</v>
      </c>
      <c r="X140">
        <v>6123764850</v>
      </c>
      <c r="Y140" t="s">
        <v>2800</v>
      </c>
      <c r="Z140" t="s">
        <v>3214</v>
      </c>
      <c r="AB140" t="s">
        <v>131</v>
      </c>
      <c r="AC140" t="s">
        <v>386</v>
      </c>
      <c r="AD140">
        <v>55402</v>
      </c>
      <c r="AF140" t="s">
        <v>132</v>
      </c>
      <c r="AG140" t="s">
        <v>954</v>
      </c>
      <c r="AH140" t="s">
        <v>1505</v>
      </c>
      <c r="AI140" t="s">
        <v>393</v>
      </c>
      <c r="AJ140">
        <v>1</v>
      </c>
      <c r="AK140" t="s">
        <v>1999</v>
      </c>
      <c r="BL140" t="s">
        <v>196</v>
      </c>
      <c r="BM140" t="s">
        <v>1463</v>
      </c>
      <c r="BN140" t="s">
        <v>397</v>
      </c>
      <c r="BO140">
        <v>5072124136</v>
      </c>
      <c r="BP140" t="s">
        <v>3178</v>
      </c>
      <c r="BQ140">
        <v>5076293202</v>
      </c>
      <c r="BR140" t="s">
        <v>2960</v>
      </c>
      <c r="BS140" t="s">
        <v>3569</v>
      </c>
      <c r="BU140" t="s">
        <v>1852</v>
      </c>
      <c r="BV140" t="s">
        <v>386</v>
      </c>
      <c r="BW140">
        <v>56175</v>
      </c>
      <c r="BX140" t="s">
        <v>2353</v>
      </c>
    </row>
    <row r="141" spans="1:76" customFormat="1" x14ac:dyDescent="0.25">
      <c r="A141" s="496">
        <v>174</v>
      </c>
      <c r="B141">
        <v>1326045253</v>
      </c>
      <c r="C141" t="s">
        <v>2169</v>
      </c>
      <c r="D141" t="s">
        <v>955</v>
      </c>
      <c r="E141" t="s">
        <v>3594</v>
      </c>
      <c r="H141" t="s">
        <v>956</v>
      </c>
      <c r="I141" t="s">
        <v>386</v>
      </c>
      <c r="J141">
        <v>56296</v>
      </c>
      <c r="K141">
        <v>1070</v>
      </c>
      <c r="L141">
        <v>3205638226</v>
      </c>
      <c r="M141">
        <v>3205638012</v>
      </c>
      <c r="N141" t="s">
        <v>2525</v>
      </c>
      <c r="O141" t="s">
        <v>2526</v>
      </c>
      <c r="P141" t="s">
        <v>1217</v>
      </c>
      <c r="Q141" t="s">
        <v>2527</v>
      </c>
      <c r="R141" t="s">
        <v>957</v>
      </c>
      <c r="S141" t="s">
        <v>1557</v>
      </c>
      <c r="T141" t="s">
        <v>2799</v>
      </c>
      <c r="U141" t="s">
        <v>2156</v>
      </c>
      <c r="V141">
        <v>6123764528</v>
      </c>
      <c r="W141" t="s">
        <v>3178</v>
      </c>
      <c r="X141">
        <v>6123764850</v>
      </c>
      <c r="Y141" t="s">
        <v>2800</v>
      </c>
      <c r="Z141" t="s">
        <v>3214</v>
      </c>
      <c r="AB141" t="s">
        <v>131</v>
      </c>
      <c r="AC141" t="s">
        <v>386</v>
      </c>
      <c r="AD141">
        <v>55402</v>
      </c>
      <c r="AF141" t="s">
        <v>132</v>
      </c>
      <c r="AG141" t="s">
        <v>2170</v>
      </c>
      <c r="AH141" t="s">
        <v>1505</v>
      </c>
      <c r="AI141" t="s">
        <v>1077</v>
      </c>
      <c r="AJ141">
        <v>1</v>
      </c>
      <c r="AK141" t="s">
        <v>2975</v>
      </c>
      <c r="AL141" t="s">
        <v>958</v>
      </c>
      <c r="AM141" t="s">
        <v>959</v>
      </c>
      <c r="AN141" t="s">
        <v>392</v>
      </c>
      <c r="AO141">
        <v>3205638226</v>
      </c>
      <c r="AP141" t="s">
        <v>3178</v>
      </c>
      <c r="AQ141">
        <v>3208087225</v>
      </c>
      <c r="AR141" t="s">
        <v>2171</v>
      </c>
      <c r="AV141" t="s">
        <v>2789</v>
      </c>
      <c r="BL141" t="s">
        <v>958</v>
      </c>
      <c r="BM141" t="s">
        <v>959</v>
      </c>
      <c r="BN141" t="s">
        <v>392</v>
      </c>
      <c r="BO141">
        <v>3205638226</v>
      </c>
      <c r="BP141" t="s">
        <v>3178</v>
      </c>
      <c r="BQ141">
        <v>3208087225</v>
      </c>
      <c r="BR141" t="s">
        <v>2171</v>
      </c>
      <c r="BV141" t="s">
        <v>2789</v>
      </c>
    </row>
    <row r="142" spans="1:76" customFormat="1" x14ac:dyDescent="0.25">
      <c r="A142" s="496">
        <v>118</v>
      </c>
      <c r="B142">
        <v>1619064193</v>
      </c>
      <c r="C142" t="s">
        <v>1205</v>
      </c>
      <c r="D142" t="s">
        <v>960</v>
      </c>
      <c r="E142" t="s">
        <v>3595</v>
      </c>
      <c r="H142" t="s">
        <v>961</v>
      </c>
      <c r="I142" t="s">
        <v>386</v>
      </c>
      <c r="J142">
        <v>56201</v>
      </c>
      <c r="K142">
        <v>3302</v>
      </c>
      <c r="L142">
        <v>3202354543</v>
      </c>
      <c r="M142">
        <v>3202314869</v>
      </c>
      <c r="N142" t="s">
        <v>557</v>
      </c>
      <c r="O142" t="s">
        <v>558</v>
      </c>
      <c r="P142" t="s">
        <v>397</v>
      </c>
      <c r="Q142" t="s">
        <v>1469</v>
      </c>
      <c r="R142" t="s">
        <v>962</v>
      </c>
      <c r="S142" t="s">
        <v>1439</v>
      </c>
      <c r="T142" t="s">
        <v>578</v>
      </c>
      <c r="U142" t="s">
        <v>392</v>
      </c>
      <c r="V142">
        <v>3202314009</v>
      </c>
      <c r="W142" t="s">
        <v>3178</v>
      </c>
      <c r="X142">
        <v>3202314879</v>
      </c>
      <c r="Y142" t="s">
        <v>3596</v>
      </c>
      <c r="Z142" t="s">
        <v>3597</v>
      </c>
      <c r="AB142" t="s">
        <v>963</v>
      </c>
      <c r="AC142" t="s">
        <v>386</v>
      </c>
      <c r="AD142">
        <v>56201</v>
      </c>
      <c r="AE142" t="s">
        <v>2353</v>
      </c>
      <c r="AG142" t="s">
        <v>964</v>
      </c>
      <c r="AH142" t="s">
        <v>402</v>
      </c>
      <c r="AJ142">
        <v>0</v>
      </c>
      <c r="AK142" t="s">
        <v>2976</v>
      </c>
      <c r="AL142" t="s">
        <v>1346</v>
      </c>
      <c r="AM142" t="s">
        <v>1470</v>
      </c>
      <c r="AN142" t="s">
        <v>2125</v>
      </c>
      <c r="AO142">
        <v>3202314425</v>
      </c>
      <c r="AP142" t="s">
        <v>3178</v>
      </c>
      <c r="AQ142">
        <v>3202314833</v>
      </c>
      <c r="AR142" t="s">
        <v>1471</v>
      </c>
      <c r="AS142" t="s">
        <v>3598</v>
      </c>
      <c r="AU142" t="s">
        <v>963</v>
      </c>
      <c r="AV142" t="s">
        <v>386</v>
      </c>
      <c r="AW142">
        <v>56201</v>
      </c>
      <c r="AX142">
        <v>3302</v>
      </c>
      <c r="BL142" t="s">
        <v>1439</v>
      </c>
      <c r="BM142" t="s">
        <v>578</v>
      </c>
      <c r="BN142" t="s">
        <v>392</v>
      </c>
      <c r="BO142">
        <v>3202314009</v>
      </c>
      <c r="BP142" t="s">
        <v>3178</v>
      </c>
      <c r="BQ142">
        <v>3202314879</v>
      </c>
      <c r="BR142" t="s">
        <v>3596</v>
      </c>
      <c r="BS142" t="s">
        <v>3597</v>
      </c>
      <c r="BU142" t="s">
        <v>963</v>
      </c>
      <c r="BV142" t="s">
        <v>386</v>
      </c>
      <c r="BW142">
        <v>56201</v>
      </c>
      <c r="BX142" t="s">
        <v>2353</v>
      </c>
    </row>
    <row r="143" spans="1:76" customFormat="1" x14ac:dyDescent="0.25">
      <c r="A143" s="496">
        <v>209</v>
      </c>
      <c r="B143">
        <v>1285760363</v>
      </c>
      <c r="C143" t="s">
        <v>2977</v>
      </c>
      <c r="D143" t="s">
        <v>960</v>
      </c>
      <c r="E143" t="s">
        <v>3599</v>
      </c>
      <c r="H143" t="s">
        <v>961</v>
      </c>
      <c r="I143" t="s">
        <v>386</v>
      </c>
      <c r="J143">
        <v>56201</v>
      </c>
      <c r="L143">
        <v>3203215421</v>
      </c>
      <c r="M143">
        <v>3202315901</v>
      </c>
      <c r="N143" t="s">
        <v>1624</v>
      </c>
      <c r="O143" t="s">
        <v>3193</v>
      </c>
      <c r="P143" t="s">
        <v>2354</v>
      </c>
      <c r="Q143" t="s">
        <v>3194</v>
      </c>
      <c r="R143" t="s">
        <v>1096</v>
      </c>
      <c r="S143" t="s">
        <v>1097</v>
      </c>
      <c r="T143" t="s">
        <v>1098</v>
      </c>
      <c r="U143" t="s">
        <v>392</v>
      </c>
      <c r="V143">
        <v>5079347689</v>
      </c>
      <c r="W143" t="s">
        <v>3178</v>
      </c>
      <c r="X143">
        <v>5079347651</v>
      </c>
      <c r="Y143" t="s">
        <v>3195</v>
      </c>
      <c r="Z143" t="s">
        <v>3196</v>
      </c>
      <c r="AB143" t="s">
        <v>817</v>
      </c>
      <c r="AC143" t="s">
        <v>386</v>
      </c>
      <c r="AD143">
        <v>56082</v>
      </c>
      <c r="AE143">
        <v>1327</v>
      </c>
      <c r="AG143" t="s">
        <v>3197</v>
      </c>
      <c r="AH143" t="s">
        <v>1101</v>
      </c>
      <c r="AI143" t="s">
        <v>1077</v>
      </c>
      <c r="AJ143">
        <v>0</v>
      </c>
      <c r="AK143" t="s">
        <v>115</v>
      </c>
    </row>
    <row r="144" spans="1:76" customFormat="1" x14ac:dyDescent="0.25">
      <c r="A144" s="496">
        <v>176</v>
      </c>
      <c r="B144">
        <v>1841288644</v>
      </c>
      <c r="C144" t="s">
        <v>965</v>
      </c>
      <c r="D144" t="s">
        <v>966</v>
      </c>
      <c r="E144" t="s">
        <v>3600</v>
      </c>
      <c r="H144" t="s">
        <v>953</v>
      </c>
      <c r="I144" t="s">
        <v>386</v>
      </c>
      <c r="J144">
        <v>56101</v>
      </c>
      <c r="K144">
        <v>1287</v>
      </c>
      <c r="L144">
        <v>5078312400</v>
      </c>
      <c r="M144">
        <v>5078315749</v>
      </c>
      <c r="N144" t="s">
        <v>3601</v>
      </c>
      <c r="O144" t="s">
        <v>3602</v>
      </c>
      <c r="P144" t="s">
        <v>397</v>
      </c>
      <c r="Q144" t="s">
        <v>3603</v>
      </c>
      <c r="R144" t="s">
        <v>967</v>
      </c>
      <c r="S144" t="s">
        <v>2978</v>
      </c>
      <c r="T144" t="s">
        <v>2979</v>
      </c>
      <c r="U144" t="s">
        <v>2361</v>
      </c>
      <c r="V144">
        <v>6123764549</v>
      </c>
      <c r="W144" t="s">
        <v>3178</v>
      </c>
      <c r="X144">
        <v>6123764850</v>
      </c>
      <c r="Y144" t="s">
        <v>2980</v>
      </c>
      <c r="Z144" t="s">
        <v>3406</v>
      </c>
      <c r="AB144" t="s">
        <v>131</v>
      </c>
      <c r="AC144" t="s">
        <v>386</v>
      </c>
      <c r="AD144">
        <v>55402</v>
      </c>
      <c r="AF144" t="s">
        <v>132</v>
      </c>
      <c r="AG144" t="s">
        <v>968</v>
      </c>
      <c r="AH144" t="s">
        <v>1505</v>
      </c>
      <c r="AI144" t="s">
        <v>1206</v>
      </c>
      <c r="AJ144" s="494">
        <v>1</v>
      </c>
      <c r="AK144" t="s">
        <v>1472</v>
      </c>
      <c r="BL144" t="s">
        <v>1227</v>
      </c>
      <c r="BM144" t="s">
        <v>1716</v>
      </c>
      <c r="BN144" t="s">
        <v>392</v>
      </c>
      <c r="BO144">
        <v>5078310615</v>
      </c>
      <c r="BP144" t="s">
        <v>3178</v>
      </c>
      <c r="BQ144">
        <v>5078315749</v>
      </c>
      <c r="BR144" t="s">
        <v>3604</v>
      </c>
      <c r="BV144" t="s">
        <v>386</v>
      </c>
    </row>
    <row r="145" spans="1:76" customFormat="1" x14ac:dyDescent="0.25">
      <c r="A145" s="496">
        <v>27</v>
      </c>
      <c r="B145">
        <v>1295789352</v>
      </c>
      <c r="C145" t="s">
        <v>1861</v>
      </c>
      <c r="D145" t="s">
        <v>969</v>
      </c>
      <c r="E145" t="s">
        <v>3605</v>
      </c>
      <c r="H145" t="s">
        <v>969</v>
      </c>
      <c r="I145" t="s">
        <v>386</v>
      </c>
      <c r="J145">
        <v>55987</v>
      </c>
      <c r="K145">
        <v>-60</v>
      </c>
      <c r="L145">
        <v>5074543650</v>
      </c>
      <c r="M145">
        <v>5074574159</v>
      </c>
      <c r="N145" t="s">
        <v>970</v>
      </c>
      <c r="O145" t="s">
        <v>971</v>
      </c>
      <c r="P145" t="s">
        <v>1191</v>
      </c>
      <c r="Q145" t="s">
        <v>972</v>
      </c>
      <c r="R145" t="s">
        <v>2528</v>
      </c>
      <c r="S145" t="s">
        <v>973</v>
      </c>
      <c r="T145" t="s">
        <v>974</v>
      </c>
      <c r="U145" t="s">
        <v>3606</v>
      </c>
      <c r="V145">
        <v>5074574398</v>
      </c>
      <c r="W145" t="s">
        <v>3178</v>
      </c>
      <c r="X145">
        <v>5074743224</v>
      </c>
      <c r="Y145" t="s">
        <v>975</v>
      </c>
      <c r="Z145" t="s">
        <v>3607</v>
      </c>
      <c r="AB145" t="s">
        <v>976</v>
      </c>
      <c r="AC145" t="s">
        <v>386</v>
      </c>
      <c r="AD145">
        <v>55987</v>
      </c>
      <c r="AE145">
        <v>-600</v>
      </c>
      <c r="AF145" t="s">
        <v>976</v>
      </c>
      <c r="AG145" t="s">
        <v>977</v>
      </c>
      <c r="AH145" t="s">
        <v>402</v>
      </c>
      <c r="AJ145">
        <v>0</v>
      </c>
      <c r="AK145" t="s">
        <v>1986</v>
      </c>
      <c r="AL145" t="s">
        <v>224</v>
      </c>
      <c r="AM145" t="s">
        <v>1204</v>
      </c>
      <c r="AN145" t="s">
        <v>3608</v>
      </c>
      <c r="AO145">
        <v>5074574321</v>
      </c>
      <c r="AP145" t="s">
        <v>3178</v>
      </c>
      <c r="AQ145">
        <v>5074743224</v>
      </c>
      <c r="AR145" t="s">
        <v>1595</v>
      </c>
      <c r="AS145" t="s">
        <v>3607</v>
      </c>
      <c r="AU145" t="s">
        <v>976</v>
      </c>
      <c r="AV145" t="s">
        <v>386</v>
      </c>
      <c r="AW145">
        <v>55987</v>
      </c>
      <c r="AX145">
        <v>-600</v>
      </c>
      <c r="BL145" t="s">
        <v>1862</v>
      </c>
      <c r="BM145" t="s">
        <v>1863</v>
      </c>
      <c r="BN145" t="s">
        <v>1569</v>
      </c>
      <c r="BO145">
        <v>5074743277</v>
      </c>
      <c r="BP145" t="s">
        <v>3178</v>
      </c>
      <c r="BQ145">
        <v>5074743224</v>
      </c>
      <c r="BR145" t="s">
        <v>1864</v>
      </c>
      <c r="BS145" t="s">
        <v>3607</v>
      </c>
      <c r="BU145" t="s">
        <v>976</v>
      </c>
      <c r="BV145" t="s">
        <v>386</v>
      </c>
      <c r="BW145">
        <v>55987</v>
      </c>
      <c r="BX145">
        <v>-600</v>
      </c>
    </row>
    <row r="146" spans="1:76" customFormat="1" x14ac:dyDescent="0.25">
      <c r="A146" s="496">
        <v>187</v>
      </c>
      <c r="B146">
        <v>1356309322</v>
      </c>
      <c r="C146" t="s">
        <v>978</v>
      </c>
      <c r="D146" t="s">
        <v>979</v>
      </c>
      <c r="E146" t="s">
        <v>3609</v>
      </c>
      <c r="H146" t="s">
        <v>827</v>
      </c>
      <c r="I146" t="s">
        <v>386</v>
      </c>
      <c r="J146">
        <v>55125</v>
      </c>
      <c r="K146">
        <v>2270</v>
      </c>
      <c r="L146">
        <v>6512326880</v>
      </c>
      <c r="M146">
        <v>6512326888</v>
      </c>
      <c r="N146" t="s">
        <v>1014</v>
      </c>
      <c r="O146" t="s">
        <v>1582</v>
      </c>
      <c r="P146" t="s">
        <v>2927</v>
      </c>
      <c r="Q146" t="s">
        <v>1583</v>
      </c>
      <c r="R146" t="s">
        <v>2439</v>
      </c>
      <c r="S146" t="s">
        <v>1497</v>
      </c>
      <c r="T146" t="s">
        <v>1554</v>
      </c>
      <c r="U146" t="s">
        <v>154</v>
      </c>
      <c r="V146">
        <v>6512322913</v>
      </c>
      <c r="W146" t="s">
        <v>3178</v>
      </c>
      <c r="X146">
        <v>6512326444</v>
      </c>
      <c r="Y146" t="s">
        <v>1555</v>
      </c>
      <c r="Z146" t="s">
        <v>3419</v>
      </c>
      <c r="AB146" t="s">
        <v>1100</v>
      </c>
      <c r="AC146" t="s">
        <v>386</v>
      </c>
      <c r="AD146">
        <v>55104</v>
      </c>
      <c r="AE146" t="s">
        <v>2353</v>
      </c>
      <c r="AF146" t="s">
        <v>1187</v>
      </c>
      <c r="AG146" t="s">
        <v>415</v>
      </c>
      <c r="AH146" t="s">
        <v>416</v>
      </c>
      <c r="AI146" t="s">
        <v>1077</v>
      </c>
      <c r="AJ146">
        <v>0</v>
      </c>
      <c r="AK146" t="s">
        <v>1865</v>
      </c>
      <c r="BL146" t="s">
        <v>2884</v>
      </c>
      <c r="BM146" t="s">
        <v>2885</v>
      </c>
      <c r="BN146" t="s">
        <v>2886</v>
      </c>
      <c r="BO146">
        <v>6512320138</v>
      </c>
      <c r="BP146" t="s">
        <v>3178</v>
      </c>
      <c r="BQ146" t="s">
        <v>3178</v>
      </c>
      <c r="BR146" t="s">
        <v>2887</v>
      </c>
      <c r="BS146" t="s">
        <v>3420</v>
      </c>
      <c r="BU146" t="s">
        <v>1100</v>
      </c>
      <c r="BV146" t="s">
        <v>386</v>
      </c>
      <c r="BW146">
        <v>55104</v>
      </c>
      <c r="BX146" t="s">
        <v>2353</v>
      </c>
    </row>
    <row r="147" spans="1:76" x14ac:dyDescent="0.25">
      <c r="A147" s="496">
        <v>177</v>
      </c>
      <c r="B147">
        <v>1396712618</v>
      </c>
      <c r="C147" t="s">
        <v>2174</v>
      </c>
      <c r="D147" t="s">
        <v>980</v>
      </c>
      <c r="E147" t="s">
        <v>3610</v>
      </c>
      <c r="F147"/>
      <c r="G147"/>
      <c r="H147" t="s">
        <v>981</v>
      </c>
      <c r="I147" t="s">
        <v>386</v>
      </c>
      <c r="J147">
        <v>56187</v>
      </c>
      <c r="K147">
        <v>2202</v>
      </c>
      <c r="L147">
        <v>5073722941</v>
      </c>
      <c r="M147">
        <v>5073723240</v>
      </c>
      <c r="N147" t="s">
        <v>557</v>
      </c>
      <c r="O147" t="s">
        <v>2088</v>
      </c>
      <c r="P147" t="s">
        <v>1217</v>
      </c>
      <c r="Q147" t="s">
        <v>2529</v>
      </c>
      <c r="R147" t="s">
        <v>1596</v>
      </c>
      <c r="S147" t="s">
        <v>1557</v>
      </c>
      <c r="T147" t="s">
        <v>2799</v>
      </c>
      <c r="U147" t="s">
        <v>2156</v>
      </c>
      <c r="V147">
        <v>6123764528</v>
      </c>
      <c r="W147" t="s">
        <v>3178</v>
      </c>
      <c r="X147">
        <v>6123764850</v>
      </c>
      <c r="Y147" t="s">
        <v>2800</v>
      </c>
      <c r="Z147" t="s">
        <v>3214</v>
      </c>
      <c r="AA147"/>
      <c r="AB147" t="s">
        <v>131</v>
      </c>
      <c r="AC147" t="s">
        <v>386</v>
      </c>
      <c r="AD147">
        <v>55402</v>
      </c>
      <c r="AE147"/>
      <c r="AF147" t="s">
        <v>132</v>
      </c>
      <c r="AG147" t="s">
        <v>1597</v>
      </c>
      <c r="AH147" t="s">
        <v>1505</v>
      </c>
      <c r="AI147" t="s">
        <v>1077</v>
      </c>
      <c r="AJ147">
        <v>0</v>
      </c>
      <c r="AK147" t="s">
        <v>982</v>
      </c>
      <c r="AL147" t="s">
        <v>1498</v>
      </c>
      <c r="AM147" t="s">
        <v>1473</v>
      </c>
      <c r="AN147" t="s">
        <v>392</v>
      </c>
      <c r="AO147">
        <v>5073723112</v>
      </c>
      <c r="AP147" t="s">
        <v>3178</v>
      </c>
      <c r="AQ147">
        <v>5073723240</v>
      </c>
      <c r="AR147" t="s">
        <v>2175</v>
      </c>
      <c r="AS147"/>
      <c r="AT147"/>
      <c r="AU147"/>
      <c r="AV147" t="s">
        <v>2789</v>
      </c>
      <c r="AW147"/>
      <c r="AX147"/>
      <c r="AY147"/>
      <c r="AZ147"/>
      <c r="BA147"/>
      <c r="BB147"/>
      <c r="BC147"/>
      <c r="BD147"/>
      <c r="BE147"/>
      <c r="BF147"/>
      <c r="BG147"/>
      <c r="BH147"/>
      <c r="BI147"/>
      <c r="BJ147"/>
      <c r="BK147"/>
      <c r="BL147" t="s">
        <v>1498</v>
      </c>
      <c r="BM147" t="s">
        <v>1473</v>
      </c>
      <c r="BN147" t="s">
        <v>392</v>
      </c>
      <c r="BO147">
        <v>5073723112</v>
      </c>
      <c r="BP147" t="s">
        <v>3178</v>
      </c>
      <c r="BQ147">
        <v>5073723240</v>
      </c>
      <c r="BR147" t="s">
        <v>2175</v>
      </c>
      <c r="BS147"/>
      <c r="BT147"/>
      <c r="BU147"/>
      <c r="BV147" t="s">
        <v>2789</v>
      </c>
      <c r="BW147"/>
      <c r="BX147"/>
    </row>
    <row r="148" spans="1:76" x14ac:dyDescent="0.25">
      <c r="A148" s="496">
        <v>186</v>
      </c>
      <c r="B148">
        <v>1083692941</v>
      </c>
      <c r="C148" s="504" t="s">
        <v>983</v>
      </c>
      <c r="D148" t="s">
        <v>984</v>
      </c>
      <c r="E148" s="504" t="s">
        <v>3611</v>
      </c>
      <c r="F148" s="504"/>
      <c r="G148"/>
      <c r="H148" s="504" t="s">
        <v>985</v>
      </c>
      <c r="I148" s="504" t="s">
        <v>386</v>
      </c>
      <c r="J148" s="504">
        <v>55092</v>
      </c>
      <c r="K148" s="504">
        <v>8013</v>
      </c>
      <c r="L148" s="504">
        <v>6519827000</v>
      </c>
      <c r="M148" s="504">
        <v>6519827110</v>
      </c>
      <c r="N148" s="504" t="s">
        <v>1535</v>
      </c>
      <c r="O148" s="504" t="s">
        <v>1842</v>
      </c>
      <c r="P148" s="504" t="s">
        <v>128</v>
      </c>
      <c r="Q148" s="504" t="s">
        <v>2530</v>
      </c>
      <c r="R148" s="504" t="s">
        <v>2484</v>
      </c>
      <c r="S148" s="504" t="s">
        <v>142</v>
      </c>
      <c r="T148" s="504" t="s">
        <v>1341</v>
      </c>
      <c r="U148" s="504" t="s">
        <v>2014</v>
      </c>
      <c r="V148" s="504">
        <v>6126726053</v>
      </c>
      <c r="W148" s="504" t="s">
        <v>3178</v>
      </c>
      <c r="X148" s="504">
        <v>6126726986</v>
      </c>
      <c r="Y148" s="504" t="s">
        <v>1342</v>
      </c>
      <c r="Z148" s="504" t="s">
        <v>3260</v>
      </c>
      <c r="AA148" s="504"/>
      <c r="AB148" s="504" t="s">
        <v>131</v>
      </c>
      <c r="AC148" s="504" t="s">
        <v>386</v>
      </c>
      <c r="AD148" s="504">
        <v>58541</v>
      </c>
      <c r="AE148" s="504">
        <v>-261</v>
      </c>
      <c r="AF148" s="504" t="s">
        <v>132</v>
      </c>
      <c r="AG148" s="504" t="s">
        <v>144</v>
      </c>
      <c r="AH148" s="504" t="s">
        <v>145</v>
      </c>
      <c r="AI148" s="504" t="s">
        <v>1077</v>
      </c>
      <c r="AJ148" s="504">
        <v>0</v>
      </c>
      <c r="AK148" s="504" t="s">
        <v>1474</v>
      </c>
      <c r="AL148" s="504" t="s">
        <v>2011</v>
      </c>
      <c r="AM148" s="504" t="s">
        <v>2012</v>
      </c>
      <c r="AN148" s="504" t="s">
        <v>2822</v>
      </c>
      <c r="AO148" s="504">
        <v>6126727067</v>
      </c>
      <c r="AP148" s="504" t="s">
        <v>3178</v>
      </c>
      <c r="AQ148" s="504">
        <v>6126726986</v>
      </c>
      <c r="AR148" s="504" t="s">
        <v>1562</v>
      </c>
      <c r="AS148" s="504" t="s">
        <v>2010</v>
      </c>
      <c r="AT148" s="504"/>
      <c r="AU148" s="504" t="s">
        <v>131</v>
      </c>
      <c r="AV148" s="504" t="s">
        <v>386</v>
      </c>
      <c r="AW148" s="504">
        <v>55413</v>
      </c>
      <c r="AX148" s="504">
        <v>2613</v>
      </c>
      <c r="AY148" s="504" t="s">
        <v>247</v>
      </c>
      <c r="AZ148" s="504" t="s">
        <v>1495</v>
      </c>
      <c r="BA148" s="504" t="s">
        <v>2009</v>
      </c>
      <c r="BB148" s="504">
        <v>6126726736</v>
      </c>
      <c r="BC148" t="s">
        <v>3178</v>
      </c>
      <c r="BD148" s="504">
        <v>6126726986</v>
      </c>
      <c r="BE148" s="504" t="s">
        <v>1496</v>
      </c>
      <c r="BF148" s="504" t="s">
        <v>2010</v>
      </c>
      <c r="BG148" s="504"/>
      <c r="BH148" s="504" t="s">
        <v>131</v>
      </c>
      <c r="BI148" s="504" t="s">
        <v>386</v>
      </c>
      <c r="BJ148" s="504">
        <v>55413</v>
      </c>
      <c r="BK148" s="504">
        <v>2613</v>
      </c>
      <c r="BL148" s="504" t="s">
        <v>1492</v>
      </c>
      <c r="BM148" s="504" t="s">
        <v>1807</v>
      </c>
      <c r="BN148" s="504" t="s">
        <v>3261</v>
      </c>
      <c r="BO148" s="504">
        <v>6126724668</v>
      </c>
      <c r="BP148" s="504" t="s">
        <v>3178</v>
      </c>
      <c r="BQ148" s="504">
        <v>6126721240</v>
      </c>
      <c r="BR148" s="504" t="s">
        <v>1808</v>
      </c>
      <c r="BS148" s="504" t="s">
        <v>2010</v>
      </c>
      <c r="BT148" s="504"/>
      <c r="BU148" s="504" t="s">
        <v>131</v>
      </c>
      <c r="BV148" s="504" t="s">
        <v>386</v>
      </c>
      <c r="BW148" s="504">
        <v>55413</v>
      </c>
      <c r="BX148" s="504">
        <v>2613</v>
      </c>
    </row>
    <row r="149" spans="1:76" x14ac:dyDescent="0.25">
      <c r="A149" s="336"/>
      <c r="C149" s="327"/>
      <c r="E149" s="327"/>
      <c r="F149" s="327"/>
      <c r="H149" s="328"/>
      <c r="I149" s="328"/>
      <c r="J149" s="328"/>
      <c r="K149" s="328"/>
      <c r="L149" s="328"/>
      <c r="M149" s="328"/>
      <c r="N149" s="328"/>
      <c r="O149" s="328"/>
      <c r="P149" s="328"/>
      <c r="Q149" s="328"/>
      <c r="R149" s="328"/>
      <c r="S149" s="327"/>
      <c r="T149" s="327"/>
      <c r="U149" s="327"/>
      <c r="V149" s="329"/>
      <c r="W149" s="327"/>
      <c r="X149" s="470"/>
      <c r="Y149" s="327"/>
      <c r="Z149" s="327"/>
      <c r="AA149" s="327"/>
      <c r="AB149" s="327"/>
      <c r="AC149" s="327"/>
      <c r="AD149" s="327"/>
      <c r="AE149" s="327"/>
      <c r="AF149" s="327"/>
      <c r="AG149" s="327"/>
      <c r="AH149" s="327"/>
      <c r="AI149" s="327"/>
      <c r="AJ149" s="327"/>
      <c r="AK149" s="327"/>
      <c r="AL149" s="329"/>
      <c r="AM149" s="329"/>
      <c r="AN149" s="329"/>
      <c r="AO149" s="329"/>
      <c r="AP149" s="329"/>
      <c r="AQ149" s="329"/>
      <c r="AR149" s="329"/>
      <c r="AS149" s="329"/>
      <c r="AT149" s="329"/>
      <c r="AU149" s="329"/>
      <c r="AV149" s="329"/>
      <c r="AW149" s="329"/>
      <c r="AX149" s="329"/>
      <c r="AY149" s="327"/>
      <c r="AZ149" s="327"/>
      <c r="BA149" s="327"/>
      <c r="BB149" s="327"/>
      <c r="BC149" s="335"/>
      <c r="BD149" s="327"/>
      <c r="BE149" s="327"/>
      <c r="BF149" s="327"/>
      <c r="BG149" s="327"/>
      <c r="BH149" s="327"/>
      <c r="BI149" s="327"/>
      <c r="BJ149" s="327"/>
      <c r="BK149" s="327"/>
      <c r="BL149" s="327"/>
      <c r="BM149" s="327"/>
      <c r="BN149" s="327"/>
      <c r="BO149" s="327"/>
      <c r="BP149" s="327"/>
      <c r="BQ149" s="327"/>
      <c r="BR149" s="327"/>
      <c r="BS149" s="327"/>
      <c r="BT149" s="327"/>
      <c r="BU149" s="327"/>
      <c r="BV149" s="327"/>
      <c r="BW149" s="327"/>
      <c r="BX149" s="327"/>
    </row>
    <row r="150" spans="1:76" x14ac:dyDescent="0.25">
      <c r="A150" s="336"/>
      <c r="C150" s="327"/>
      <c r="E150" s="327"/>
      <c r="F150" s="327"/>
      <c r="H150" s="328"/>
      <c r="I150" s="328"/>
      <c r="J150" s="328"/>
      <c r="K150" s="328"/>
      <c r="L150" s="328"/>
      <c r="M150" s="328"/>
      <c r="N150" s="328"/>
      <c r="O150" s="328"/>
      <c r="P150" s="328"/>
      <c r="Q150" s="328"/>
      <c r="R150" s="328"/>
      <c r="S150" s="327"/>
      <c r="T150" s="327"/>
      <c r="U150" s="327"/>
      <c r="V150" s="329"/>
      <c r="W150" s="327"/>
      <c r="X150" s="470"/>
      <c r="Y150" s="327"/>
      <c r="Z150" s="327"/>
      <c r="AA150" s="327"/>
      <c r="AB150" s="327"/>
      <c r="AC150" s="327"/>
      <c r="AD150" s="327"/>
      <c r="AE150" s="327"/>
      <c r="AF150" s="327"/>
      <c r="AG150" s="327"/>
      <c r="AH150" s="327"/>
      <c r="AI150" s="327"/>
      <c r="AJ150" s="327"/>
      <c r="AK150" s="327"/>
      <c r="AL150" s="329"/>
      <c r="AM150" s="329"/>
      <c r="AN150" s="329"/>
      <c r="AO150" s="329"/>
      <c r="AP150" s="329"/>
      <c r="AQ150" s="329"/>
      <c r="AR150" s="329"/>
      <c r="AS150" s="329"/>
      <c r="AT150" s="329"/>
      <c r="AU150" s="329"/>
      <c r="AV150" s="329"/>
      <c r="AW150" s="329"/>
      <c r="AX150" s="329"/>
      <c r="AY150" s="327"/>
      <c r="AZ150" s="327"/>
      <c r="BA150" s="327"/>
      <c r="BB150" s="327"/>
      <c r="BC150" s="335"/>
      <c r="BD150" s="327"/>
      <c r="BE150" s="327"/>
      <c r="BF150" s="327"/>
      <c r="BG150" s="327"/>
      <c r="BH150" s="327"/>
      <c r="BI150" s="327"/>
      <c r="BJ150" s="327"/>
      <c r="BK150" s="327"/>
      <c r="BL150" s="327"/>
      <c r="BM150" s="327"/>
      <c r="BN150" s="327"/>
      <c r="BO150" s="327"/>
      <c r="BP150" s="327"/>
      <c r="BQ150" s="327"/>
      <c r="BR150" s="327"/>
      <c r="BS150" s="327"/>
      <c r="BT150" s="327"/>
      <c r="BU150" s="327"/>
      <c r="BV150" s="327"/>
      <c r="BW150" s="327"/>
      <c r="BX150" s="327"/>
    </row>
  </sheetData>
  <sheetProtection algorithmName="SHA-512" hashValue="rH/vJQTc8jgsBZkkvdAnEKLK1KjxaiGLP22BEQVVPU7kbqSm8JNmUpHiQZIElru16H81GerziJTAL0GRpbURuQ==" saltValue="QOxrR7H+plGpllKWVE30lQ==" spinCount="100000" sheet="1" objects="1" scenarios="1"/>
  <phoneticPr fontId="0" type="noConversion"/>
  <hyperlinks>
    <hyperlink ref="A29" location="'2016 HAR'!A1" display="'2016 HAR'!A1" xr:uid="{00000000-0004-0000-0A00-000000000000}"/>
    <hyperlink ref="A103" location="'2016 HAR'!A1" display="'2016 HAR'!A1" xr:uid="{00000000-0004-0000-0A00-000001000000}"/>
    <hyperlink ref="A3" location="'2016 HAR'!A1" display="'2016 HAR'!A1" xr:uid="{00000000-0004-0000-0A00-000002000000}"/>
    <hyperlink ref="A4:A5" location="'2016 HAR'!A1" display="'2016 HAR'!A1" xr:uid="{00000000-0004-0000-0A00-000003000000}"/>
    <hyperlink ref="A6:A148" location="'2016 HAR'!A1" display="'2016 HAR'!A1" xr:uid="{00000000-0004-0000-0A00-000004000000}"/>
  </hyperlinks>
  <pageMargins left="0.75" right="0.75" top="1" bottom="1.1499999999999999" header="0.5" footer="0.5"/>
  <pageSetup fitToHeight="0" orientation="portrait" r:id="rId1"/>
  <headerFooter alignWithMargins="0">
    <oddFooter>&amp;LMDH
http://health.state.mn.us/divs/hpsc/dap/hccis
Phone: 651-201-3572 
Fax: 651-201-5179&amp;CPage &amp;P
2016 Hospital Annual Report
Health Care Cost  Information System (HCCIS)&amp;RMHA
Jsanislo@mnhospitals.org
Phone: 651-641-1121 
Fax: 651-659-1477</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276"/>
  <sheetViews>
    <sheetView zoomScaleNormal="100" workbookViewId="0">
      <selection activeCell="C271" sqref="C271"/>
    </sheetView>
  </sheetViews>
  <sheetFormatPr defaultColWidth="9.1796875" defaultRowHeight="14.5" x14ac:dyDescent="0.35"/>
  <cols>
    <col min="1" max="3" width="9.1796875" style="486"/>
    <col min="4" max="4" width="28.1796875" style="488" customWidth="1"/>
    <col min="5" max="5" width="10.81640625" style="486" customWidth="1"/>
    <col min="6" max="6" width="10.26953125" style="486" customWidth="1"/>
    <col min="7" max="7" width="9.1796875" style="486"/>
    <col min="8" max="8" width="34.7265625" style="486" customWidth="1"/>
    <col min="9" max="9" width="16.54296875" style="486" customWidth="1"/>
    <col min="10" max="10" width="24" style="487" customWidth="1"/>
    <col min="11" max="11" width="12.54296875" style="486" customWidth="1"/>
    <col min="12" max="12" width="12" style="486" customWidth="1"/>
    <col min="13" max="13" width="12.7265625" style="488" customWidth="1"/>
    <col min="14" max="14" width="41.81640625" style="486" customWidth="1"/>
    <col min="15" max="15" width="35.1796875" style="486" customWidth="1"/>
    <col min="16" max="16" width="31.26953125" style="486" customWidth="1"/>
    <col min="17" max="17" width="80.1796875" style="486" customWidth="1"/>
    <col min="18" max="16384" width="9.1796875" style="486"/>
  </cols>
  <sheetData>
    <row r="1" spans="1:17" x14ac:dyDescent="0.35">
      <c r="C1" s="486">
        <v>1</v>
      </c>
      <c r="D1" s="488">
        <v>2</v>
      </c>
      <c r="E1" s="486">
        <v>3</v>
      </c>
      <c r="F1" s="488">
        <v>4</v>
      </c>
      <c r="G1" s="486">
        <v>5</v>
      </c>
      <c r="H1" s="488">
        <v>6</v>
      </c>
      <c r="I1" s="486">
        <v>7</v>
      </c>
      <c r="J1" s="488">
        <v>8</v>
      </c>
      <c r="K1" s="486">
        <v>9</v>
      </c>
      <c r="L1" s="488">
        <v>10</v>
      </c>
      <c r="M1" s="486">
        <v>11</v>
      </c>
      <c r="N1" s="488">
        <v>12</v>
      </c>
      <c r="O1" s="486">
        <v>13</v>
      </c>
      <c r="P1" s="488">
        <v>14</v>
      </c>
      <c r="Q1" s="486">
        <v>15</v>
      </c>
    </row>
    <row r="2" spans="1:17" s="484" customFormat="1" ht="43.15" customHeight="1" x14ac:dyDescent="0.35">
      <c r="A2" s="484" t="s">
        <v>87</v>
      </c>
      <c r="B2" s="484" t="s">
        <v>2621</v>
      </c>
      <c r="C2" s="484" t="s">
        <v>2622</v>
      </c>
      <c r="D2" s="483" t="s">
        <v>2565</v>
      </c>
      <c r="E2" s="484" t="s">
        <v>2566</v>
      </c>
      <c r="F2" s="484" t="s">
        <v>2567</v>
      </c>
      <c r="G2" s="484" t="s">
        <v>2559</v>
      </c>
      <c r="H2" s="484" t="s">
        <v>2568</v>
      </c>
      <c r="I2" s="484" t="s">
        <v>2569</v>
      </c>
      <c r="J2" s="485" t="s">
        <v>2570</v>
      </c>
      <c r="K2" s="484" t="s">
        <v>2571</v>
      </c>
      <c r="L2" s="484" t="s">
        <v>2572</v>
      </c>
      <c r="M2" s="483" t="s">
        <v>2573</v>
      </c>
      <c r="N2" s="484" t="s">
        <v>2574</v>
      </c>
      <c r="O2" s="484" t="s">
        <v>2575</v>
      </c>
      <c r="P2" s="484" t="s">
        <v>2576</v>
      </c>
      <c r="Q2" s="484" t="s">
        <v>2577</v>
      </c>
    </row>
    <row r="3" spans="1:17" x14ac:dyDescent="0.35">
      <c r="A3">
        <v>2</v>
      </c>
      <c r="B3">
        <v>1</v>
      </c>
      <c r="C3" t="str">
        <f>CONCATENATE(A3,B3)</f>
        <v>21</v>
      </c>
      <c r="D3" t="s">
        <v>2578</v>
      </c>
      <c r="E3">
        <v>74</v>
      </c>
      <c r="F3">
        <v>328</v>
      </c>
      <c r="G3">
        <v>2016</v>
      </c>
      <c r="H3" t="s">
        <v>1317</v>
      </c>
      <c r="I3" t="s">
        <v>138</v>
      </c>
      <c r="J3" t="s">
        <v>1746</v>
      </c>
      <c r="K3">
        <v>1</v>
      </c>
      <c r="L3" s="506">
        <v>42640</v>
      </c>
      <c r="M3" s="507">
        <v>2433000</v>
      </c>
      <c r="N3" t="s">
        <v>1317</v>
      </c>
      <c r="O3" t="s">
        <v>2580</v>
      </c>
      <c r="P3" t="s">
        <v>138</v>
      </c>
      <c r="Q3" t="s">
        <v>3638</v>
      </c>
    </row>
    <row r="4" spans="1:17" x14ac:dyDescent="0.35">
      <c r="A4">
        <v>2</v>
      </c>
      <c r="B4">
        <f>IF(A4=A3,B3+1,1)</f>
        <v>2</v>
      </c>
      <c r="C4" t="str">
        <f t="shared" ref="C4:C67" si="0">CONCATENATE(A4,B4)</f>
        <v>22</v>
      </c>
      <c r="D4" t="s">
        <v>2578</v>
      </c>
      <c r="E4">
        <v>74</v>
      </c>
      <c r="F4">
        <v>329</v>
      </c>
      <c r="G4">
        <v>2016</v>
      </c>
      <c r="H4" t="s">
        <v>1317</v>
      </c>
      <c r="I4" t="s">
        <v>138</v>
      </c>
      <c r="J4" t="s">
        <v>1746</v>
      </c>
      <c r="K4">
        <v>2</v>
      </c>
      <c r="L4" s="506">
        <v>42626</v>
      </c>
      <c r="M4" s="507">
        <v>5588000</v>
      </c>
      <c r="N4" t="s">
        <v>1317</v>
      </c>
      <c r="O4" t="s">
        <v>2580</v>
      </c>
      <c r="P4" t="s">
        <v>138</v>
      </c>
      <c r="Q4" t="s">
        <v>3639</v>
      </c>
    </row>
    <row r="5" spans="1:17" x14ac:dyDescent="0.35">
      <c r="A5">
        <v>2</v>
      </c>
      <c r="B5">
        <f t="shared" ref="B5:B68" si="1">IF(A5=A4,B4+1,1)</f>
        <v>3</v>
      </c>
      <c r="C5" t="str">
        <f t="shared" si="0"/>
        <v>23</v>
      </c>
      <c r="D5" t="s">
        <v>2578</v>
      </c>
      <c r="E5">
        <v>74</v>
      </c>
      <c r="F5">
        <v>330</v>
      </c>
      <c r="G5">
        <v>2016</v>
      </c>
      <c r="H5" t="s">
        <v>1317</v>
      </c>
      <c r="I5" t="s">
        <v>138</v>
      </c>
      <c r="J5" t="s">
        <v>1746</v>
      </c>
      <c r="K5">
        <v>3</v>
      </c>
      <c r="L5" s="506">
        <v>42494</v>
      </c>
      <c r="M5" s="507">
        <v>1800000</v>
      </c>
      <c r="N5" t="s">
        <v>1317</v>
      </c>
      <c r="O5" t="s">
        <v>2580</v>
      </c>
      <c r="P5" t="s">
        <v>138</v>
      </c>
      <c r="Q5" t="s">
        <v>3640</v>
      </c>
    </row>
    <row r="6" spans="1:17" x14ac:dyDescent="0.35">
      <c r="A6">
        <v>2</v>
      </c>
      <c r="B6">
        <f t="shared" si="1"/>
        <v>4</v>
      </c>
      <c r="C6" t="str">
        <f t="shared" si="0"/>
        <v>24</v>
      </c>
      <c r="D6" t="s">
        <v>2578</v>
      </c>
      <c r="E6">
        <v>74</v>
      </c>
      <c r="F6">
        <v>331</v>
      </c>
      <c r="G6">
        <v>2016</v>
      </c>
      <c r="H6" t="s">
        <v>1317</v>
      </c>
      <c r="I6" t="s">
        <v>138</v>
      </c>
      <c r="J6" t="s">
        <v>1746</v>
      </c>
      <c r="K6">
        <v>4</v>
      </c>
      <c r="L6" s="506">
        <v>42269</v>
      </c>
      <c r="M6" s="507">
        <v>1600000</v>
      </c>
      <c r="N6" t="s">
        <v>2632</v>
      </c>
      <c r="O6" t="s">
        <v>2633</v>
      </c>
      <c r="P6" t="s">
        <v>2634</v>
      </c>
      <c r="Q6" t="s">
        <v>3641</v>
      </c>
    </row>
    <row r="7" spans="1:17" x14ac:dyDescent="0.35">
      <c r="A7">
        <v>2</v>
      </c>
      <c r="B7">
        <f t="shared" si="1"/>
        <v>5</v>
      </c>
      <c r="C7" t="str">
        <f t="shared" si="0"/>
        <v>25</v>
      </c>
      <c r="D7" t="s">
        <v>2578</v>
      </c>
      <c r="E7">
        <v>74</v>
      </c>
      <c r="F7">
        <v>332</v>
      </c>
      <c r="G7">
        <v>2016</v>
      </c>
      <c r="H7" t="s">
        <v>1317</v>
      </c>
      <c r="I7" t="s">
        <v>138</v>
      </c>
      <c r="J7" t="s">
        <v>1746</v>
      </c>
      <c r="K7">
        <v>5</v>
      </c>
      <c r="L7" s="506">
        <v>42612</v>
      </c>
      <c r="M7" s="507">
        <v>4100000</v>
      </c>
      <c r="N7" t="s">
        <v>1317</v>
      </c>
      <c r="O7" t="s">
        <v>2580</v>
      </c>
      <c r="P7" t="s">
        <v>138</v>
      </c>
      <c r="Q7" t="s">
        <v>3642</v>
      </c>
    </row>
    <row r="8" spans="1:17" x14ac:dyDescent="0.35">
      <c r="A8">
        <v>2</v>
      </c>
      <c r="B8">
        <f t="shared" si="1"/>
        <v>6</v>
      </c>
      <c r="C8" t="str">
        <f t="shared" si="0"/>
        <v>26</v>
      </c>
      <c r="D8" t="s">
        <v>2578</v>
      </c>
      <c r="E8">
        <v>74</v>
      </c>
      <c r="F8">
        <v>299</v>
      </c>
      <c r="G8">
        <v>2015</v>
      </c>
      <c r="H8" t="s">
        <v>1317</v>
      </c>
      <c r="I8" t="s">
        <v>138</v>
      </c>
      <c r="J8" t="s">
        <v>1746</v>
      </c>
      <c r="K8">
        <v>1</v>
      </c>
      <c r="L8" s="506">
        <v>42165</v>
      </c>
      <c r="M8" s="507">
        <v>20700000</v>
      </c>
      <c r="N8" t="s">
        <v>1317</v>
      </c>
      <c r="O8" t="s">
        <v>2580</v>
      </c>
      <c r="P8" t="s">
        <v>138</v>
      </c>
      <c r="Q8" t="s">
        <v>3006</v>
      </c>
    </row>
    <row r="9" spans="1:17" x14ac:dyDescent="0.35">
      <c r="A9">
        <v>2</v>
      </c>
      <c r="B9">
        <f t="shared" si="1"/>
        <v>7</v>
      </c>
      <c r="C9" t="str">
        <f t="shared" si="0"/>
        <v>27</v>
      </c>
      <c r="D9" t="s">
        <v>2578</v>
      </c>
      <c r="E9">
        <v>74</v>
      </c>
      <c r="F9">
        <v>300</v>
      </c>
      <c r="G9">
        <v>2015</v>
      </c>
      <c r="H9" t="s">
        <v>1317</v>
      </c>
      <c r="I9" t="s">
        <v>138</v>
      </c>
      <c r="J9" t="s">
        <v>1746</v>
      </c>
      <c r="K9">
        <v>2</v>
      </c>
      <c r="L9" s="506">
        <v>42269</v>
      </c>
      <c r="M9" s="507">
        <v>2100000</v>
      </c>
      <c r="N9" t="s">
        <v>2629</v>
      </c>
      <c r="O9" t="s">
        <v>3004</v>
      </c>
      <c r="P9" t="s">
        <v>2564</v>
      </c>
      <c r="Q9" t="s">
        <v>3005</v>
      </c>
    </row>
    <row r="10" spans="1:17" x14ac:dyDescent="0.35">
      <c r="A10">
        <v>2</v>
      </c>
      <c r="B10">
        <f t="shared" si="1"/>
        <v>8</v>
      </c>
      <c r="C10" t="str">
        <f t="shared" si="0"/>
        <v>28</v>
      </c>
      <c r="D10" t="s">
        <v>2578</v>
      </c>
      <c r="E10">
        <v>74</v>
      </c>
      <c r="F10">
        <v>301</v>
      </c>
      <c r="G10">
        <v>2015</v>
      </c>
      <c r="H10" t="s">
        <v>1317</v>
      </c>
      <c r="I10" t="s">
        <v>138</v>
      </c>
      <c r="J10" t="s">
        <v>1746</v>
      </c>
      <c r="K10">
        <v>3</v>
      </c>
      <c r="L10" s="506">
        <v>42269</v>
      </c>
      <c r="M10" s="507">
        <v>2020000</v>
      </c>
      <c r="N10" t="s">
        <v>1317</v>
      </c>
      <c r="O10" t="s">
        <v>2580</v>
      </c>
      <c r="P10" t="s">
        <v>138</v>
      </c>
      <c r="Q10" t="s">
        <v>3003</v>
      </c>
    </row>
    <row r="11" spans="1:17" x14ac:dyDescent="0.35">
      <c r="A11">
        <v>2</v>
      </c>
      <c r="B11">
        <f t="shared" si="1"/>
        <v>9</v>
      </c>
      <c r="C11" t="str">
        <f t="shared" si="0"/>
        <v>29</v>
      </c>
      <c r="D11" t="s">
        <v>2578</v>
      </c>
      <c r="E11">
        <v>74</v>
      </c>
      <c r="F11">
        <v>302</v>
      </c>
      <c r="G11">
        <v>2015</v>
      </c>
      <c r="H11" t="s">
        <v>1317</v>
      </c>
      <c r="I11" t="s">
        <v>138</v>
      </c>
      <c r="J11" t="s">
        <v>1746</v>
      </c>
      <c r="K11">
        <v>4</v>
      </c>
      <c r="L11" s="506">
        <v>42241</v>
      </c>
      <c r="M11" s="507">
        <v>1100000</v>
      </c>
      <c r="N11" t="s">
        <v>3000</v>
      </c>
      <c r="O11" t="s">
        <v>3001</v>
      </c>
      <c r="P11" t="s">
        <v>826</v>
      </c>
      <c r="Q11" t="s">
        <v>3002</v>
      </c>
    </row>
    <row r="12" spans="1:17" x14ac:dyDescent="0.35">
      <c r="A12">
        <v>2</v>
      </c>
      <c r="B12">
        <f t="shared" si="1"/>
        <v>10</v>
      </c>
      <c r="C12" t="str">
        <f t="shared" si="0"/>
        <v>210</v>
      </c>
      <c r="D12" t="s">
        <v>2578</v>
      </c>
      <c r="E12">
        <v>74</v>
      </c>
      <c r="F12">
        <v>303</v>
      </c>
      <c r="G12">
        <v>2015</v>
      </c>
      <c r="H12" t="s">
        <v>1317</v>
      </c>
      <c r="I12" t="s">
        <v>138</v>
      </c>
      <c r="J12" t="s">
        <v>1746</v>
      </c>
      <c r="K12">
        <v>5</v>
      </c>
      <c r="L12" s="506">
        <v>42241</v>
      </c>
      <c r="M12" s="507">
        <v>2156369</v>
      </c>
      <c r="N12" t="s">
        <v>1317</v>
      </c>
      <c r="O12" t="s">
        <v>2580</v>
      </c>
      <c r="P12" t="s">
        <v>138</v>
      </c>
      <c r="Q12" t="s">
        <v>2999</v>
      </c>
    </row>
    <row r="13" spans="1:17" x14ac:dyDescent="0.35">
      <c r="A13">
        <v>2</v>
      </c>
      <c r="B13">
        <f t="shared" si="1"/>
        <v>11</v>
      </c>
      <c r="C13" t="str">
        <f t="shared" si="0"/>
        <v>211</v>
      </c>
      <c r="D13" t="s">
        <v>2578</v>
      </c>
      <c r="E13">
        <v>74</v>
      </c>
      <c r="F13">
        <v>304</v>
      </c>
      <c r="G13">
        <v>2015</v>
      </c>
      <c r="H13" t="s">
        <v>1317</v>
      </c>
      <c r="I13" t="s">
        <v>138</v>
      </c>
      <c r="J13" t="s">
        <v>1746</v>
      </c>
      <c r="K13">
        <v>6</v>
      </c>
      <c r="L13" s="506">
        <v>42289</v>
      </c>
      <c r="M13" s="507">
        <v>1100000</v>
      </c>
      <c r="N13" t="s">
        <v>2629</v>
      </c>
      <c r="O13" t="s">
        <v>2997</v>
      </c>
      <c r="P13" t="s">
        <v>2564</v>
      </c>
      <c r="Q13" t="s">
        <v>2998</v>
      </c>
    </row>
    <row r="14" spans="1:17" x14ac:dyDescent="0.35">
      <c r="A14">
        <v>2</v>
      </c>
      <c r="B14">
        <f t="shared" si="1"/>
        <v>12</v>
      </c>
      <c r="C14" t="str">
        <f t="shared" si="0"/>
        <v>212</v>
      </c>
      <c r="D14" t="s">
        <v>2578</v>
      </c>
      <c r="E14">
        <v>74</v>
      </c>
      <c r="F14">
        <v>305</v>
      </c>
      <c r="G14">
        <v>2015</v>
      </c>
      <c r="H14" t="s">
        <v>1317</v>
      </c>
      <c r="I14" t="s">
        <v>138</v>
      </c>
      <c r="J14" t="s">
        <v>1746</v>
      </c>
      <c r="K14">
        <v>7</v>
      </c>
      <c r="L14" s="506">
        <v>42352</v>
      </c>
      <c r="M14" s="507">
        <v>1105015</v>
      </c>
      <c r="N14" t="s">
        <v>1317</v>
      </c>
      <c r="O14" t="s">
        <v>2580</v>
      </c>
      <c r="P14" t="s">
        <v>138</v>
      </c>
      <c r="Q14" t="s">
        <v>2996</v>
      </c>
    </row>
    <row r="15" spans="1:17" x14ac:dyDescent="0.35">
      <c r="A15">
        <v>2</v>
      </c>
      <c r="B15">
        <f t="shared" si="1"/>
        <v>13</v>
      </c>
      <c r="C15" t="str">
        <f t="shared" si="0"/>
        <v>213</v>
      </c>
      <c r="D15" t="s">
        <v>2578</v>
      </c>
      <c r="E15">
        <v>74</v>
      </c>
      <c r="F15">
        <v>306</v>
      </c>
      <c r="G15">
        <v>2015</v>
      </c>
      <c r="H15" t="s">
        <v>1317</v>
      </c>
      <c r="I15" t="s">
        <v>138</v>
      </c>
      <c r="J15" t="s">
        <v>1746</v>
      </c>
      <c r="K15">
        <v>8</v>
      </c>
      <c r="L15" s="506">
        <v>42063</v>
      </c>
      <c r="M15" s="507">
        <v>1280000</v>
      </c>
      <c r="N15" t="s">
        <v>2993</v>
      </c>
      <c r="O15" t="s">
        <v>2994</v>
      </c>
      <c r="P15" t="s">
        <v>138</v>
      </c>
      <c r="Q15" t="s">
        <v>2995</v>
      </c>
    </row>
    <row r="16" spans="1:17" x14ac:dyDescent="0.35">
      <c r="A16">
        <v>2</v>
      </c>
      <c r="B16">
        <f t="shared" si="1"/>
        <v>14</v>
      </c>
      <c r="C16" t="str">
        <f t="shared" si="0"/>
        <v>214</v>
      </c>
      <c r="D16" t="s">
        <v>2578</v>
      </c>
      <c r="E16">
        <v>74</v>
      </c>
      <c r="F16">
        <v>307</v>
      </c>
      <c r="G16">
        <v>2015</v>
      </c>
      <c r="H16" t="s">
        <v>1317</v>
      </c>
      <c r="I16" t="s">
        <v>138</v>
      </c>
      <c r="J16" t="s">
        <v>1746</v>
      </c>
      <c r="K16">
        <v>9</v>
      </c>
      <c r="L16" s="506">
        <v>42150</v>
      </c>
      <c r="M16" s="507">
        <v>2153000</v>
      </c>
      <c r="N16" t="s">
        <v>1317</v>
      </c>
      <c r="O16" t="s">
        <v>2580</v>
      </c>
      <c r="P16" t="s">
        <v>138</v>
      </c>
      <c r="Q16" t="s">
        <v>2992</v>
      </c>
    </row>
    <row r="17" spans="1:17" x14ac:dyDescent="0.35">
      <c r="A17">
        <v>2</v>
      </c>
      <c r="B17">
        <f t="shared" si="1"/>
        <v>15</v>
      </c>
      <c r="C17" t="str">
        <f t="shared" si="0"/>
        <v>215</v>
      </c>
      <c r="D17" t="s">
        <v>2578</v>
      </c>
      <c r="E17">
        <v>74</v>
      </c>
      <c r="F17">
        <v>308</v>
      </c>
      <c r="G17">
        <v>2015</v>
      </c>
      <c r="H17" t="s">
        <v>1317</v>
      </c>
      <c r="I17" t="s">
        <v>138</v>
      </c>
      <c r="J17" t="s">
        <v>1746</v>
      </c>
      <c r="K17">
        <v>10</v>
      </c>
      <c r="L17" s="506">
        <v>42059</v>
      </c>
      <c r="M17" s="507">
        <v>1300000</v>
      </c>
      <c r="N17" t="s">
        <v>2629</v>
      </c>
      <c r="O17" t="s">
        <v>2990</v>
      </c>
      <c r="P17" t="s">
        <v>2564</v>
      </c>
      <c r="Q17" t="s">
        <v>2991</v>
      </c>
    </row>
    <row r="18" spans="1:17" x14ac:dyDescent="0.35">
      <c r="A18">
        <v>2</v>
      </c>
      <c r="B18">
        <f t="shared" si="1"/>
        <v>16</v>
      </c>
      <c r="C18" t="str">
        <f t="shared" si="0"/>
        <v>216</v>
      </c>
      <c r="D18" t="s">
        <v>2578</v>
      </c>
      <c r="E18">
        <v>74</v>
      </c>
      <c r="F18">
        <v>309</v>
      </c>
      <c r="G18">
        <v>2015</v>
      </c>
      <c r="H18" t="s">
        <v>1317</v>
      </c>
      <c r="I18" t="s">
        <v>138</v>
      </c>
      <c r="J18" t="s">
        <v>1746</v>
      </c>
      <c r="K18">
        <v>11</v>
      </c>
      <c r="L18" s="506">
        <v>42178</v>
      </c>
      <c r="M18" s="507">
        <v>1337000</v>
      </c>
      <c r="N18" t="s">
        <v>1317</v>
      </c>
      <c r="O18" t="s">
        <v>2580</v>
      </c>
      <c r="P18" t="s">
        <v>138</v>
      </c>
      <c r="Q18" t="s">
        <v>2989</v>
      </c>
    </row>
    <row r="19" spans="1:17" x14ac:dyDescent="0.35">
      <c r="A19">
        <v>2</v>
      </c>
      <c r="B19">
        <f t="shared" si="1"/>
        <v>17</v>
      </c>
      <c r="C19" t="str">
        <f t="shared" si="0"/>
        <v>217</v>
      </c>
      <c r="D19" t="s">
        <v>2578</v>
      </c>
      <c r="E19">
        <v>74</v>
      </c>
      <c r="F19">
        <v>282</v>
      </c>
      <c r="G19">
        <v>2014</v>
      </c>
      <c r="H19" t="s">
        <v>1317</v>
      </c>
      <c r="I19" t="s">
        <v>138</v>
      </c>
      <c r="J19" t="s">
        <v>1746</v>
      </c>
      <c r="K19">
        <v>1</v>
      </c>
      <c r="L19" s="506">
        <v>41667</v>
      </c>
      <c r="M19" s="507">
        <v>1200000</v>
      </c>
      <c r="N19" t="s">
        <v>2629</v>
      </c>
      <c r="O19" t="s">
        <v>2630</v>
      </c>
      <c r="P19" t="s">
        <v>2564</v>
      </c>
      <c r="Q19" t="s">
        <v>2631</v>
      </c>
    </row>
    <row r="20" spans="1:17" x14ac:dyDescent="0.35">
      <c r="A20">
        <v>2</v>
      </c>
      <c r="B20">
        <f t="shared" si="1"/>
        <v>18</v>
      </c>
      <c r="C20" t="str">
        <f t="shared" si="0"/>
        <v>218</v>
      </c>
      <c r="D20" t="s">
        <v>2578</v>
      </c>
      <c r="E20">
        <v>74</v>
      </c>
      <c r="F20">
        <v>283</v>
      </c>
      <c r="G20">
        <v>2014</v>
      </c>
      <c r="H20" t="s">
        <v>1317</v>
      </c>
      <c r="I20" t="s">
        <v>138</v>
      </c>
      <c r="J20" t="s">
        <v>1746</v>
      </c>
      <c r="K20">
        <v>2</v>
      </c>
      <c r="L20" s="506">
        <v>41883</v>
      </c>
      <c r="M20" s="507">
        <v>2300000</v>
      </c>
      <c r="N20" t="s">
        <v>2632</v>
      </c>
      <c r="O20" t="s">
        <v>2633</v>
      </c>
      <c r="P20" t="s">
        <v>2634</v>
      </c>
      <c r="Q20" t="s">
        <v>2635</v>
      </c>
    </row>
    <row r="21" spans="1:17" x14ac:dyDescent="0.35">
      <c r="A21">
        <v>2</v>
      </c>
      <c r="B21">
        <f t="shared" si="1"/>
        <v>19</v>
      </c>
      <c r="C21" t="str">
        <f t="shared" si="0"/>
        <v>219</v>
      </c>
      <c r="D21" t="s">
        <v>2578</v>
      </c>
      <c r="E21">
        <v>74</v>
      </c>
      <c r="F21">
        <v>284</v>
      </c>
      <c r="G21">
        <v>2014</v>
      </c>
      <c r="H21" t="s">
        <v>1317</v>
      </c>
      <c r="I21" t="s">
        <v>138</v>
      </c>
      <c r="J21" t="s">
        <v>1746</v>
      </c>
      <c r="K21">
        <v>3</v>
      </c>
      <c r="L21" s="506">
        <v>41991</v>
      </c>
      <c r="M21" s="507">
        <v>1570718</v>
      </c>
      <c r="N21" t="s">
        <v>1317</v>
      </c>
      <c r="O21" t="s">
        <v>2636</v>
      </c>
      <c r="P21" t="s">
        <v>2579</v>
      </c>
      <c r="Q21" t="s">
        <v>2637</v>
      </c>
    </row>
    <row r="22" spans="1:17" x14ac:dyDescent="0.35">
      <c r="A22">
        <v>4</v>
      </c>
      <c r="B22">
        <f t="shared" si="1"/>
        <v>1</v>
      </c>
      <c r="C22" t="str">
        <f t="shared" si="0"/>
        <v>41</v>
      </c>
      <c r="D22" t="s">
        <v>394</v>
      </c>
      <c r="E22">
        <v>45</v>
      </c>
      <c r="F22">
        <v>7</v>
      </c>
      <c r="G22">
        <v>2015</v>
      </c>
      <c r="H22" t="s">
        <v>394</v>
      </c>
      <c r="I22" t="s">
        <v>395</v>
      </c>
      <c r="J22" t="s">
        <v>1746</v>
      </c>
      <c r="K22">
        <v>1</v>
      </c>
      <c r="L22" s="506">
        <v>42037</v>
      </c>
      <c r="M22" s="507">
        <v>2000000</v>
      </c>
      <c r="N22" t="s">
        <v>3007</v>
      </c>
      <c r="O22" t="s">
        <v>2617</v>
      </c>
      <c r="P22" t="s">
        <v>395</v>
      </c>
      <c r="Q22" t="s">
        <v>3008</v>
      </c>
    </row>
    <row r="23" spans="1:17" x14ac:dyDescent="0.35">
      <c r="A23">
        <v>7</v>
      </c>
      <c r="B23">
        <f t="shared" si="1"/>
        <v>1</v>
      </c>
      <c r="C23" t="str">
        <f t="shared" si="0"/>
        <v>71</v>
      </c>
      <c r="D23" s="505" t="s">
        <v>3643</v>
      </c>
      <c r="E23">
        <v>205</v>
      </c>
      <c r="F23">
        <v>2</v>
      </c>
      <c r="G23">
        <v>2016</v>
      </c>
      <c r="H23" t="s">
        <v>2792</v>
      </c>
      <c r="I23" t="s">
        <v>1108</v>
      </c>
      <c r="J23" t="s">
        <v>1746</v>
      </c>
      <c r="K23">
        <v>1</v>
      </c>
      <c r="L23" s="506">
        <v>42170</v>
      </c>
      <c r="M23" s="507">
        <v>2154140</v>
      </c>
      <c r="N23" t="s">
        <v>2792</v>
      </c>
      <c r="O23" t="s">
        <v>3644</v>
      </c>
      <c r="P23" t="s">
        <v>3645</v>
      </c>
      <c r="Q23" t="s">
        <v>3646</v>
      </c>
    </row>
    <row r="24" spans="1:17" x14ac:dyDescent="0.35">
      <c r="A24">
        <v>11</v>
      </c>
      <c r="B24">
        <f t="shared" si="1"/>
        <v>1</v>
      </c>
      <c r="C24" t="str">
        <f t="shared" si="0"/>
        <v>111</v>
      </c>
      <c r="D24" t="s">
        <v>2578</v>
      </c>
      <c r="E24">
        <v>74</v>
      </c>
      <c r="F24">
        <v>310</v>
      </c>
      <c r="G24">
        <v>2015</v>
      </c>
      <c r="H24" t="s">
        <v>1238</v>
      </c>
      <c r="I24" t="s">
        <v>1239</v>
      </c>
      <c r="J24" t="s">
        <v>1746</v>
      </c>
      <c r="K24">
        <v>1</v>
      </c>
      <c r="L24" s="506">
        <v>42278</v>
      </c>
      <c r="M24" s="507">
        <v>1100000</v>
      </c>
      <c r="N24" t="s">
        <v>1238</v>
      </c>
      <c r="O24" t="s">
        <v>3009</v>
      </c>
      <c r="P24" t="s">
        <v>2582</v>
      </c>
      <c r="Q24" t="s">
        <v>3010</v>
      </c>
    </row>
    <row r="25" spans="1:17" x14ac:dyDescent="0.35">
      <c r="A25">
        <v>13</v>
      </c>
      <c r="B25">
        <f t="shared" si="1"/>
        <v>1</v>
      </c>
      <c r="C25" t="str">
        <f t="shared" si="0"/>
        <v>131</v>
      </c>
      <c r="D25" t="s">
        <v>2578</v>
      </c>
      <c r="E25">
        <v>74</v>
      </c>
      <c r="F25">
        <v>333</v>
      </c>
      <c r="G25">
        <v>2016</v>
      </c>
      <c r="H25" t="s">
        <v>146</v>
      </c>
      <c r="I25" t="s">
        <v>147</v>
      </c>
      <c r="J25" t="s">
        <v>1746</v>
      </c>
      <c r="K25">
        <v>1</v>
      </c>
      <c r="L25" s="506">
        <v>42417</v>
      </c>
      <c r="M25" s="507">
        <v>1100000</v>
      </c>
      <c r="N25" t="s">
        <v>3647</v>
      </c>
      <c r="O25" t="s">
        <v>3648</v>
      </c>
      <c r="P25" t="s">
        <v>3649</v>
      </c>
      <c r="Q25" t="s">
        <v>3650</v>
      </c>
    </row>
    <row r="26" spans="1:17" x14ac:dyDescent="0.35">
      <c r="A26">
        <v>14</v>
      </c>
      <c r="B26">
        <f t="shared" si="1"/>
        <v>1</v>
      </c>
      <c r="C26" t="str">
        <f t="shared" si="0"/>
        <v>141</v>
      </c>
      <c r="D26" t="s">
        <v>1505</v>
      </c>
      <c r="E26">
        <v>208</v>
      </c>
      <c r="F26">
        <v>8</v>
      </c>
      <c r="G26">
        <v>2015</v>
      </c>
      <c r="H26" t="s">
        <v>1500</v>
      </c>
      <c r="I26" t="s">
        <v>151</v>
      </c>
      <c r="J26" t="s">
        <v>1746</v>
      </c>
      <c r="K26">
        <v>1</v>
      </c>
      <c r="L26" s="506">
        <v>41836</v>
      </c>
      <c r="M26" s="507">
        <v>1816616</v>
      </c>
      <c r="N26" t="s">
        <v>3011</v>
      </c>
      <c r="O26" t="s">
        <v>3012</v>
      </c>
      <c r="P26" t="s">
        <v>3013</v>
      </c>
      <c r="Q26" t="s">
        <v>3014</v>
      </c>
    </row>
    <row r="27" spans="1:17" x14ac:dyDescent="0.35">
      <c r="A27">
        <v>29</v>
      </c>
      <c r="B27">
        <f t="shared" si="1"/>
        <v>1</v>
      </c>
      <c r="C27" t="str">
        <f t="shared" si="0"/>
        <v>291</v>
      </c>
      <c r="D27" t="s">
        <v>2594</v>
      </c>
      <c r="E27">
        <v>123</v>
      </c>
      <c r="F27">
        <v>5</v>
      </c>
      <c r="G27">
        <v>2016</v>
      </c>
      <c r="H27" t="s">
        <v>169</v>
      </c>
      <c r="I27" t="s">
        <v>170</v>
      </c>
      <c r="J27" t="s">
        <v>1746</v>
      </c>
      <c r="K27">
        <v>1</v>
      </c>
      <c r="L27" s="506">
        <v>42178</v>
      </c>
      <c r="M27" s="507">
        <v>9000000</v>
      </c>
      <c r="N27" t="s">
        <v>2595</v>
      </c>
      <c r="O27" t="s">
        <v>2381</v>
      </c>
      <c r="P27" t="s">
        <v>170</v>
      </c>
      <c r="Q27" t="s">
        <v>3651</v>
      </c>
    </row>
    <row r="28" spans="1:17" x14ac:dyDescent="0.35">
      <c r="A28">
        <v>30</v>
      </c>
      <c r="B28">
        <f t="shared" si="1"/>
        <v>1</v>
      </c>
      <c r="C28" t="str">
        <f t="shared" si="0"/>
        <v>301</v>
      </c>
      <c r="D28" t="s">
        <v>518</v>
      </c>
      <c r="E28">
        <v>64</v>
      </c>
      <c r="F28">
        <v>7</v>
      </c>
      <c r="G28">
        <v>2016</v>
      </c>
      <c r="H28" t="s">
        <v>518</v>
      </c>
      <c r="I28" t="s">
        <v>519</v>
      </c>
      <c r="J28" t="s">
        <v>1746</v>
      </c>
      <c r="K28">
        <v>1</v>
      </c>
      <c r="L28" s="506">
        <v>42208</v>
      </c>
      <c r="M28" s="507">
        <v>25207500</v>
      </c>
      <c r="N28" t="s">
        <v>3652</v>
      </c>
      <c r="O28" t="s">
        <v>3016</v>
      </c>
      <c r="P28" t="s">
        <v>519</v>
      </c>
      <c r="Q28" t="s">
        <v>3653</v>
      </c>
    </row>
    <row r="29" spans="1:17" x14ac:dyDescent="0.35">
      <c r="A29">
        <v>30</v>
      </c>
      <c r="B29">
        <f t="shared" si="1"/>
        <v>2</v>
      </c>
      <c r="C29" t="str">
        <f t="shared" si="0"/>
        <v>302</v>
      </c>
      <c r="D29" t="s">
        <v>518</v>
      </c>
      <c r="E29">
        <v>64</v>
      </c>
      <c r="F29">
        <v>6</v>
      </c>
      <c r="G29">
        <v>2015</v>
      </c>
      <c r="H29" t="s">
        <v>3015</v>
      </c>
      <c r="I29" t="s">
        <v>519</v>
      </c>
      <c r="J29" t="s">
        <v>1746</v>
      </c>
      <c r="K29">
        <v>1</v>
      </c>
      <c r="L29" s="506">
        <v>42574</v>
      </c>
      <c r="M29" s="507">
        <v>25207500</v>
      </c>
      <c r="N29" t="s">
        <v>3015</v>
      </c>
      <c r="O29" t="s">
        <v>3016</v>
      </c>
      <c r="P29" t="s">
        <v>519</v>
      </c>
      <c r="Q29" t="s">
        <v>3017</v>
      </c>
    </row>
    <row r="30" spans="1:17" x14ac:dyDescent="0.35">
      <c r="A30">
        <v>31</v>
      </c>
      <c r="B30">
        <f t="shared" si="1"/>
        <v>1</v>
      </c>
      <c r="C30" t="str">
        <f t="shared" si="0"/>
        <v>311</v>
      </c>
      <c r="D30" t="s">
        <v>187</v>
      </c>
      <c r="E30">
        <v>93</v>
      </c>
      <c r="F30">
        <v>5</v>
      </c>
      <c r="G30">
        <v>2014</v>
      </c>
      <c r="H30" t="s">
        <v>187</v>
      </c>
      <c r="I30" t="s">
        <v>188</v>
      </c>
      <c r="J30" t="s">
        <v>1746</v>
      </c>
      <c r="K30">
        <v>1</v>
      </c>
      <c r="L30" s="506">
        <v>41636</v>
      </c>
      <c r="M30" s="507">
        <v>15835729</v>
      </c>
      <c r="N30" t="s">
        <v>187</v>
      </c>
      <c r="O30" t="s">
        <v>2638</v>
      </c>
      <c r="P30" t="s">
        <v>188</v>
      </c>
      <c r="Q30" t="s">
        <v>2639</v>
      </c>
    </row>
    <row r="31" spans="1:17" x14ac:dyDescent="0.35">
      <c r="A31">
        <v>34</v>
      </c>
      <c r="B31">
        <f t="shared" si="1"/>
        <v>1</v>
      </c>
      <c r="C31" t="str">
        <f t="shared" si="0"/>
        <v>341</v>
      </c>
      <c r="D31" t="s">
        <v>1089</v>
      </c>
      <c r="E31">
        <v>7</v>
      </c>
      <c r="F31">
        <v>9</v>
      </c>
      <c r="G31">
        <v>2016</v>
      </c>
      <c r="H31" t="s">
        <v>1089</v>
      </c>
      <c r="I31" t="s">
        <v>1090</v>
      </c>
      <c r="J31" t="s">
        <v>1746</v>
      </c>
      <c r="K31">
        <v>1</v>
      </c>
      <c r="L31" s="506">
        <v>42643</v>
      </c>
      <c r="M31" s="507">
        <v>15000000</v>
      </c>
      <c r="N31" t="s">
        <v>3654</v>
      </c>
      <c r="O31" t="s">
        <v>3655</v>
      </c>
      <c r="P31" t="s">
        <v>1090</v>
      </c>
      <c r="Q31" t="s">
        <v>3656</v>
      </c>
    </row>
    <row r="32" spans="1:17" x14ac:dyDescent="0.35">
      <c r="A32">
        <v>37</v>
      </c>
      <c r="B32">
        <f t="shared" si="1"/>
        <v>1</v>
      </c>
      <c r="C32" t="str">
        <f t="shared" si="0"/>
        <v>371</v>
      </c>
      <c r="D32" t="s">
        <v>3657</v>
      </c>
      <c r="E32">
        <v>104</v>
      </c>
      <c r="F32">
        <v>3</v>
      </c>
      <c r="G32">
        <v>2016</v>
      </c>
      <c r="H32" t="s">
        <v>2843</v>
      </c>
      <c r="I32" t="s">
        <v>473</v>
      </c>
      <c r="J32" t="s">
        <v>1746</v>
      </c>
      <c r="K32">
        <v>1</v>
      </c>
      <c r="L32" s="506">
        <v>42620</v>
      </c>
      <c r="M32" s="507">
        <v>1459000</v>
      </c>
      <c r="N32" t="s">
        <v>2843</v>
      </c>
      <c r="O32" t="s">
        <v>3658</v>
      </c>
      <c r="P32" t="s">
        <v>473</v>
      </c>
      <c r="Q32" t="s">
        <v>3659</v>
      </c>
    </row>
    <row r="33" spans="1:17" x14ac:dyDescent="0.35">
      <c r="A33">
        <v>39</v>
      </c>
      <c r="B33">
        <f t="shared" si="1"/>
        <v>1</v>
      </c>
      <c r="C33" t="str">
        <f t="shared" si="0"/>
        <v>391</v>
      </c>
      <c r="D33" t="s">
        <v>1087</v>
      </c>
      <c r="E33">
        <v>46</v>
      </c>
      <c r="F33">
        <v>332</v>
      </c>
      <c r="G33">
        <v>2015</v>
      </c>
      <c r="H33" t="s">
        <v>2001</v>
      </c>
      <c r="I33" t="s">
        <v>483</v>
      </c>
      <c r="J33" t="s">
        <v>1746</v>
      </c>
      <c r="K33">
        <v>1</v>
      </c>
      <c r="L33" s="506">
        <v>42083</v>
      </c>
      <c r="M33" s="507">
        <v>4500000</v>
      </c>
      <c r="N33" t="s">
        <v>3018</v>
      </c>
      <c r="O33" t="s">
        <v>2407</v>
      </c>
      <c r="P33" t="s">
        <v>483</v>
      </c>
      <c r="Q33" t="s">
        <v>3019</v>
      </c>
    </row>
    <row r="34" spans="1:17" x14ac:dyDescent="0.35">
      <c r="A34">
        <v>41</v>
      </c>
      <c r="B34">
        <f t="shared" si="1"/>
        <v>1</v>
      </c>
      <c r="C34" t="str">
        <f t="shared" si="0"/>
        <v>411</v>
      </c>
      <c r="D34" t="s">
        <v>2597</v>
      </c>
      <c r="E34">
        <v>43</v>
      </c>
      <c r="F34">
        <v>277</v>
      </c>
      <c r="G34">
        <v>2014</v>
      </c>
      <c r="H34" t="s">
        <v>304</v>
      </c>
      <c r="I34" t="s">
        <v>305</v>
      </c>
      <c r="J34" t="s">
        <v>1746</v>
      </c>
      <c r="K34">
        <v>1</v>
      </c>
      <c r="L34" s="506">
        <v>41759</v>
      </c>
      <c r="M34" s="507">
        <v>8995569</v>
      </c>
      <c r="N34" t="s">
        <v>2640</v>
      </c>
      <c r="O34" t="s">
        <v>2641</v>
      </c>
      <c r="P34" t="s">
        <v>305</v>
      </c>
      <c r="Q34" t="s">
        <v>2642</v>
      </c>
    </row>
    <row r="35" spans="1:17" x14ac:dyDescent="0.35">
      <c r="A35">
        <v>42</v>
      </c>
      <c r="B35">
        <f t="shared" si="1"/>
        <v>1</v>
      </c>
      <c r="C35" t="str">
        <f t="shared" si="0"/>
        <v>421</v>
      </c>
      <c r="D35" t="s">
        <v>2597</v>
      </c>
      <c r="E35">
        <v>43</v>
      </c>
      <c r="F35">
        <v>278</v>
      </c>
      <c r="G35">
        <v>2014</v>
      </c>
      <c r="H35" t="s">
        <v>139</v>
      </c>
      <c r="I35" t="s">
        <v>140</v>
      </c>
      <c r="J35" t="s">
        <v>1746</v>
      </c>
      <c r="K35">
        <v>1</v>
      </c>
      <c r="L35" s="506">
        <v>41927</v>
      </c>
      <c r="M35" s="507">
        <v>1329727</v>
      </c>
      <c r="N35" t="s">
        <v>2643</v>
      </c>
      <c r="O35" t="s">
        <v>2644</v>
      </c>
      <c r="P35" t="s">
        <v>2645</v>
      </c>
      <c r="Q35" t="s">
        <v>2646</v>
      </c>
    </row>
    <row r="36" spans="1:17" x14ac:dyDescent="0.35">
      <c r="A36">
        <v>44</v>
      </c>
      <c r="B36">
        <f t="shared" si="1"/>
        <v>1</v>
      </c>
      <c r="C36" t="str">
        <f t="shared" si="0"/>
        <v>441</v>
      </c>
      <c r="D36" t="s">
        <v>2597</v>
      </c>
      <c r="E36">
        <v>43</v>
      </c>
      <c r="F36">
        <v>301</v>
      </c>
      <c r="G36">
        <v>2016</v>
      </c>
      <c r="H36" t="s">
        <v>464</v>
      </c>
      <c r="I36" t="s">
        <v>465</v>
      </c>
      <c r="J36" t="s">
        <v>1746</v>
      </c>
      <c r="K36">
        <v>1</v>
      </c>
      <c r="L36" s="506">
        <v>42495</v>
      </c>
      <c r="M36" s="507">
        <v>1996700</v>
      </c>
      <c r="N36" t="s">
        <v>3660</v>
      </c>
      <c r="O36" t="s">
        <v>2599</v>
      </c>
      <c r="P36" t="s">
        <v>465</v>
      </c>
      <c r="Q36" t="s">
        <v>3661</v>
      </c>
    </row>
    <row r="37" spans="1:17" x14ac:dyDescent="0.35">
      <c r="A37">
        <v>44</v>
      </c>
      <c r="B37">
        <f t="shared" si="1"/>
        <v>2</v>
      </c>
      <c r="C37" t="str">
        <f t="shared" si="0"/>
        <v>442</v>
      </c>
      <c r="D37" t="s">
        <v>2597</v>
      </c>
      <c r="E37">
        <v>43</v>
      </c>
      <c r="F37">
        <v>302</v>
      </c>
      <c r="G37">
        <v>2016</v>
      </c>
      <c r="H37" t="s">
        <v>464</v>
      </c>
      <c r="I37" t="s">
        <v>465</v>
      </c>
      <c r="J37" t="s">
        <v>1746</v>
      </c>
      <c r="K37">
        <v>2</v>
      </c>
      <c r="L37" s="506">
        <v>42485</v>
      </c>
      <c r="M37" s="507">
        <v>3550824</v>
      </c>
      <c r="N37" t="s">
        <v>2598</v>
      </c>
      <c r="O37" t="s">
        <v>2599</v>
      </c>
      <c r="P37" t="s">
        <v>465</v>
      </c>
      <c r="Q37" t="s">
        <v>3662</v>
      </c>
    </row>
    <row r="38" spans="1:17" x14ac:dyDescent="0.35">
      <c r="A38">
        <v>44</v>
      </c>
      <c r="B38">
        <f t="shared" si="1"/>
        <v>3</v>
      </c>
      <c r="C38" t="str">
        <f t="shared" si="0"/>
        <v>443</v>
      </c>
      <c r="D38" t="s">
        <v>2597</v>
      </c>
      <c r="E38">
        <v>43</v>
      </c>
      <c r="F38">
        <v>288</v>
      </c>
      <c r="G38">
        <v>2015</v>
      </c>
      <c r="H38" t="s">
        <v>464</v>
      </c>
      <c r="I38" t="s">
        <v>465</v>
      </c>
      <c r="J38" t="s">
        <v>1746</v>
      </c>
      <c r="K38">
        <v>1</v>
      </c>
      <c r="L38" s="506">
        <v>42117</v>
      </c>
      <c r="M38" s="507">
        <v>1491080</v>
      </c>
      <c r="N38" t="s">
        <v>3024</v>
      </c>
      <c r="O38" t="s">
        <v>2599</v>
      </c>
      <c r="P38" t="s">
        <v>465</v>
      </c>
      <c r="Q38" t="s">
        <v>3025</v>
      </c>
    </row>
    <row r="39" spans="1:17" x14ac:dyDescent="0.35">
      <c r="A39">
        <v>44</v>
      </c>
      <c r="B39">
        <f t="shared" si="1"/>
        <v>4</v>
      </c>
      <c r="C39" t="str">
        <f t="shared" si="0"/>
        <v>444</v>
      </c>
      <c r="D39" t="s">
        <v>2597</v>
      </c>
      <c r="E39">
        <v>43</v>
      </c>
      <c r="F39">
        <v>289</v>
      </c>
      <c r="G39">
        <v>2015</v>
      </c>
      <c r="H39" t="s">
        <v>464</v>
      </c>
      <c r="I39" t="s">
        <v>465</v>
      </c>
      <c r="J39" t="s">
        <v>1746</v>
      </c>
      <c r="K39">
        <v>2</v>
      </c>
      <c r="L39" s="506">
        <v>42356</v>
      </c>
      <c r="M39" s="507">
        <v>1780054</v>
      </c>
      <c r="N39" t="s">
        <v>3022</v>
      </c>
      <c r="O39" t="s">
        <v>2599</v>
      </c>
      <c r="P39" t="s">
        <v>465</v>
      </c>
      <c r="Q39" t="s">
        <v>3023</v>
      </c>
    </row>
    <row r="40" spans="1:17" x14ac:dyDescent="0.35">
      <c r="A40">
        <v>44</v>
      </c>
      <c r="B40">
        <f t="shared" si="1"/>
        <v>5</v>
      </c>
      <c r="C40" t="str">
        <f t="shared" si="0"/>
        <v>445</v>
      </c>
      <c r="D40" t="s">
        <v>2597</v>
      </c>
      <c r="E40">
        <v>43</v>
      </c>
      <c r="F40">
        <v>290</v>
      </c>
      <c r="G40">
        <v>2015</v>
      </c>
      <c r="H40" t="s">
        <v>464</v>
      </c>
      <c r="I40" t="s">
        <v>465</v>
      </c>
      <c r="J40" t="s">
        <v>1746</v>
      </c>
      <c r="K40">
        <v>3</v>
      </c>
      <c r="L40" s="506">
        <v>42356</v>
      </c>
      <c r="M40" s="507">
        <v>1800000</v>
      </c>
      <c r="N40" t="s">
        <v>3020</v>
      </c>
      <c r="O40" t="s">
        <v>2599</v>
      </c>
      <c r="P40" t="s">
        <v>465</v>
      </c>
      <c r="Q40" t="s">
        <v>3021</v>
      </c>
    </row>
    <row r="41" spans="1:17" x14ac:dyDescent="0.35">
      <c r="A41">
        <v>44</v>
      </c>
      <c r="B41">
        <f t="shared" si="1"/>
        <v>6</v>
      </c>
      <c r="C41" t="str">
        <f t="shared" si="0"/>
        <v>446</v>
      </c>
      <c r="D41" t="s">
        <v>2597</v>
      </c>
      <c r="E41">
        <v>43</v>
      </c>
      <c r="F41">
        <v>279</v>
      </c>
      <c r="G41">
        <v>2014</v>
      </c>
      <c r="H41" t="s">
        <v>464</v>
      </c>
      <c r="I41" t="s">
        <v>465</v>
      </c>
      <c r="J41" t="s">
        <v>1746</v>
      </c>
      <c r="K41">
        <v>1</v>
      </c>
      <c r="L41" s="506">
        <v>41935</v>
      </c>
      <c r="M41" s="507">
        <v>1467032</v>
      </c>
      <c r="N41" t="s">
        <v>2647</v>
      </c>
      <c r="O41" t="s">
        <v>2599</v>
      </c>
      <c r="P41" t="s">
        <v>2581</v>
      </c>
      <c r="Q41" t="s">
        <v>2648</v>
      </c>
    </row>
    <row r="42" spans="1:17" x14ac:dyDescent="0.35">
      <c r="A42">
        <v>44</v>
      </c>
      <c r="B42">
        <f t="shared" si="1"/>
        <v>7</v>
      </c>
      <c r="C42" t="str">
        <f t="shared" si="0"/>
        <v>447</v>
      </c>
      <c r="D42" t="s">
        <v>2597</v>
      </c>
      <c r="E42">
        <v>43</v>
      </c>
      <c r="F42">
        <v>280</v>
      </c>
      <c r="G42">
        <v>2014</v>
      </c>
      <c r="H42" t="s">
        <v>464</v>
      </c>
      <c r="I42" t="s">
        <v>465</v>
      </c>
      <c r="J42" t="s">
        <v>1746</v>
      </c>
      <c r="K42">
        <v>2</v>
      </c>
      <c r="L42" s="506">
        <v>41736</v>
      </c>
      <c r="M42" s="507">
        <v>1255191</v>
      </c>
      <c r="N42" t="s">
        <v>2649</v>
      </c>
      <c r="O42" t="s">
        <v>2599</v>
      </c>
      <c r="P42" t="s">
        <v>2581</v>
      </c>
      <c r="Q42" t="s">
        <v>2650</v>
      </c>
    </row>
    <row r="43" spans="1:17" x14ac:dyDescent="0.35">
      <c r="A43">
        <v>45</v>
      </c>
      <c r="B43">
        <f t="shared" si="1"/>
        <v>1</v>
      </c>
      <c r="C43" t="str">
        <f t="shared" si="0"/>
        <v>451</v>
      </c>
      <c r="D43" t="s">
        <v>1824</v>
      </c>
      <c r="E43">
        <v>231</v>
      </c>
      <c r="F43">
        <v>2</v>
      </c>
      <c r="G43">
        <v>2015</v>
      </c>
      <c r="H43" t="s">
        <v>1824</v>
      </c>
      <c r="I43" t="s">
        <v>1625</v>
      </c>
      <c r="J43" t="s">
        <v>1746</v>
      </c>
      <c r="K43">
        <v>1</v>
      </c>
      <c r="L43" s="506">
        <v>42121</v>
      </c>
      <c r="M43" s="507">
        <v>2333150</v>
      </c>
      <c r="N43" t="s">
        <v>1824</v>
      </c>
      <c r="O43" t="s">
        <v>3026</v>
      </c>
      <c r="P43" t="s">
        <v>3027</v>
      </c>
      <c r="Q43" t="s">
        <v>3029</v>
      </c>
    </row>
    <row r="44" spans="1:17" x14ac:dyDescent="0.35">
      <c r="A44">
        <v>45</v>
      </c>
      <c r="B44">
        <f t="shared" si="1"/>
        <v>2</v>
      </c>
      <c r="C44" t="str">
        <f t="shared" si="0"/>
        <v>452</v>
      </c>
      <c r="D44" t="s">
        <v>1824</v>
      </c>
      <c r="E44">
        <v>231</v>
      </c>
      <c r="F44">
        <v>3</v>
      </c>
      <c r="G44">
        <v>2015</v>
      </c>
      <c r="H44" t="s">
        <v>1824</v>
      </c>
      <c r="I44" t="s">
        <v>1625</v>
      </c>
      <c r="J44" t="s">
        <v>1746</v>
      </c>
      <c r="K44">
        <v>2</v>
      </c>
      <c r="L44" s="506">
        <v>42121</v>
      </c>
      <c r="M44" s="507">
        <v>4359407</v>
      </c>
      <c r="N44" t="s">
        <v>1824</v>
      </c>
      <c r="O44" t="s">
        <v>3026</v>
      </c>
      <c r="P44" t="s">
        <v>3027</v>
      </c>
      <c r="Q44" t="s">
        <v>3028</v>
      </c>
    </row>
    <row r="45" spans="1:17" x14ac:dyDescent="0.35">
      <c r="A45">
        <v>45</v>
      </c>
      <c r="B45">
        <f t="shared" si="1"/>
        <v>3</v>
      </c>
      <c r="C45" t="str">
        <f t="shared" si="0"/>
        <v>453</v>
      </c>
      <c r="D45" t="s">
        <v>1824</v>
      </c>
      <c r="E45">
        <v>231</v>
      </c>
      <c r="F45">
        <v>1</v>
      </c>
      <c r="G45">
        <v>2014</v>
      </c>
      <c r="H45" t="s">
        <v>1824</v>
      </c>
      <c r="I45" t="s">
        <v>1625</v>
      </c>
      <c r="J45" t="s">
        <v>1746</v>
      </c>
      <c r="K45">
        <v>1</v>
      </c>
      <c r="L45" s="506">
        <v>41904</v>
      </c>
      <c r="M45" s="507">
        <v>1850000</v>
      </c>
      <c r="N45" t="s">
        <v>2651</v>
      </c>
      <c r="O45" t="s">
        <v>2652</v>
      </c>
      <c r="P45" t="s">
        <v>1625</v>
      </c>
      <c r="Q45" t="s">
        <v>2653</v>
      </c>
    </row>
    <row r="46" spans="1:17" x14ac:dyDescent="0.35">
      <c r="A46">
        <v>49</v>
      </c>
      <c r="B46">
        <f t="shared" si="1"/>
        <v>1</v>
      </c>
      <c r="C46" t="str">
        <f t="shared" si="0"/>
        <v>491</v>
      </c>
      <c r="D46" t="s">
        <v>2602</v>
      </c>
      <c r="E46">
        <v>11</v>
      </c>
      <c r="F46">
        <v>22</v>
      </c>
      <c r="G46">
        <v>2015</v>
      </c>
      <c r="H46" t="s">
        <v>803</v>
      </c>
      <c r="I46" t="s">
        <v>414</v>
      </c>
      <c r="J46" t="s">
        <v>1746</v>
      </c>
      <c r="K46">
        <v>1</v>
      </c>
      <c r="L46" s="506">
        <v>42241</v>
      </c>
      <c r="M46" s="507">
        <v>3448877</v>
      </c>
      <c r="N46" t="s">
        <v>803</v>
      </c>
      <c r="O46" t="s">
        <v>3034</v>
      </c>
      <c r="P46" t="s">
        <v>414</v>
      </c>
      <c r="Q46" t="s">
        <v>3035</v>
      </c>
    </row>
    <row r="47" spans="1:17" x14ac:dyDescent="0.35">
      <c r="A47">
        <v>49</v>
      </c>
      <c r="B47">
        <f t="shared" si="1"/>
        <v>2</v>
      </c>
      <c r="C47" t="str">
        <f t="shared" si="0"/>
        <v>492</v>
      </c>
      <c r="D47" t="s">
        <v>2602</v>
      </c>
      <c r="E47">
        <v>11</v>
      </c>
      <c r="F47">
        <v>23</v>
      </c>
      <c r="G47">
        <v>2015</v>
      </c>
      <c r="H47" t="s">
        <v>803</v>
      </c>
      <c r="I47" t="s">
        <v>414</v>
      </c>
      <c r="J47" t="s">
        <v>1746</v>
      </c>
      <c r="K47">
        <v>2</v>
      </c>
      <c r="L47" s="506">
        <v>42241</v>
      </c>
      <c r="M47" s="507">
        <v>2588324</v>
      </c>
      <c r="N47" t="s">
        <v>803</v>
      </c>
      <c r="O47" t="s">
        <v>3032</v>
      </c>
      <c r="P47" t="s">
        <v>414</v>
      </c>
      <c r="Q47" t="s">
        <v>3033</v>
      </c>
    </row>
    <row r="48" spans="1:17" x14ac:dyDescent="0.35">
      <c r="A48">
        <v>49</v>
      </c>
      <c r="B48">
        <f t="shared" si="1"/>
        <v>3</v>
      </c>
      <c r="C48" t="str">
        <f t="shared" si="0"/>
        <v>493</v>
      </c>
      <c r="D48" t="s">
        <v>2602</v>
      </c>
      <c r="E48">
        <v>11</v>
      </c>
      <c r="F48">
        <v>24</v>
      </c>
      <c r="G48">
        <v>2015</v>
      </c>
      <c r="H48" t="s">
        <v>803</v>
      </c>
      <c r="I48" t="s">
        <v>414</v>
      </c>
      <c r="J48" t="s">
        <v>1746</v>
      </c>
      <c r="K48">
        <v>3</v>
      </c>
      <c r="L48" s="506">
        <v>42241</v>
      </c>
      <c r="M48" s="507">
        <v>7589408</v>
      </c>
      <c r="N48" t="s">
        <v>803</v>
      </c>
      <c r="O48" t="s">
        <v>2657</v>
      </c>
      <c r="P48" t="s">
        <v>414</v>
      </c>
      <c r="Q48" t="s">
        <v>3031</v>
      </c>
    </row>
    <row r="49" spans="1:17" x14ac:dyDescent="0.35">
      <c r="A49">
        <v>49</v>
      </c>
      <c r="B49">
        <f t="shared" si="1"/>
        <v>4</v>
      </c>
      <c r="C49" t="str">
        <f t="shared" si="0"/>
        <v>494</v>
      </c>
      <c r="D49" t="s">
        <v>2602</v>
      </c>
      <c r="E49">
        <v>11</v>
      </c>
      <c r="F49">
        <v>25</v>
      </c>
      <c r="G49">
        <v>2015</v>
      </c>
      <c r="H49" t="s">
        <v>803</v>
      </c>
      <c r="I49" t="s">
        <v>414</v>
      </c>
      <c r="J49" t="s">
        <v>1746</v>
      </c>
      <c r="K49">
        <v>4</v>
      </c>
      <c r="L49" s="506">
        <v>42241</v>
      </c>
      <c r="M49" s="507">
        <v>2974481</v>
      </c>
      <c r="N49" t="s">
        <v>803</v>
      </c>
      <c r="O49" t="s">
        <v>2657</v>
      </c>
      <c r="P49" t="s">
        <v>414</v>
      </c>
      <c r="Q49" t="s">
        <v>3030</v>
      </c>
    </row>
    <row r="50" spans="1:17" x14ac:dyDescent="0.35">
      <c r="A50">
        <v>49</v>
      </c>
      <c r="B50">
        <f t="shared" si="1"/>
        <v>5</v>
      </c>
      <c r="C50" t="str">
        <f t="shared" si="0"/>
        <v>495</v>
      </c>
      <c r="D50" t="s">
        <v>2602</v>
      </c>
      <c r="E50">
        <v>11</v>
      </c>
      <c r="F50">
        <v>19</v>
      </c>
      <c r="G50">
        <v>2014</v>
      </c>
      <c r="H50" t="s">
        <v>803</v>
      </c>
      <c r="I50" t="s">
        <v>414</v>
      </c>
      <c r="J50" t="s">
        <v>1746</v>
      </c>
      <c r="K50">
        <v>1</v>
      </c>
      <c r="L50" s="506">
        <v>41975</v>
      </c>
      <c r="M50" s="507">
        <v>8000000</v>
      </c>
      <c r="N50" t="s">
        <v>803</v>
      </c>
      <c r="O50" t="s">
        <v>2654</v>
      </c>
      <c r="P50" t="s">
        <v>414</v>
      </c>
      <c r="Q50" t="s">
        <v>2655</v>
      </c>
    </row>
    <row r="51" spans="1:17" x14ac:dyDescent="0.35">
      <c r="A51">
        <v>49</v>
      </c>
      <c r="B51">
        <f t="shared" si="1"/>
        <v>6</v>
      </c>
      <c r="C51" t="str">
        <f t="shared" si="0"/>
        <v>496</v>
      </c>
      <c r="D51" t="s">
        <v>2602</v>
      </c>
      <c r="E51">
        <v>11</v>
      </c>
      <c r="F51">
        <v>20</v>
      </c>
      <c r="G51">
        <v>2014</v>
      </c>
      <c r="H51" t="s">
        <v>803</v>
      </c>
      <c r="I51" t="s">
        <v>414</v>
      </c>
      <c r="J51" t="s">
        <v>1746</v>
      </c>
      <c r="K51">
        <v>2</v>
      </c>
      <c r="L51" s="506">
        <v>41975</v>
      </c>
      <c r="M51" s="507">
        <v>3800000</v>
      </c>
      <c r="N51" t="s">
        <v>803</v>
      </c>
      <c r="O51" t="s">
        <v>2654</v>
      </c>
      <c r="P51" t="s">
        <v>414</v>
      </c>
      <c r="Q51" t="s">
        <v>2656</v>
      </c>
    </row>
    <row r="52" spans="1:17" x14ac:dyDescent="0.35">
      <c r="A52">
        <v>49</v>
      </c>
      <c r="B52">
        <f t="shared" si="1"/>
        <v>7</v>
      </c>
      <c r="C52" t="str">
        <f t="shared" si="0"/>
        <v>497</v>
      </c>
      <c r="D52" t="s">
        <v>2602</v>
      </c>
      <c r="E52">
        <v>11</v>
      </c>
      <c r="F52">
        <v>21</v>
      </c>
      <c r="G52">
        <v>2014</v>
      </c>
      <c r="H52" t="s">
        <v>803</v>
      </c>
      <c r="I52" t="s">
        <v>414</v>
      </c>
      <c r="J52" t="s">
        <v>1746</v>
      </c>
      <c r="K52">
        <v>3</v>
      </c>
      <c r="L52" s="506">
        <v>42004</v>
      </c>
      <c r="M52" s="507">
        <v>1218124</v>
      </c>
      <c r="N52" t="s">
        <v>803</v>
      </c>
      <c r="O52" t="s">
        <v>2657</v>
      </c>
      <c r="P52" t="s">
        <v>414</v>
      </c>
      <c r="Q52" t="s">
        <v>2658</v>
      </c>
    </row>
    <row r="53" spans="1:17" x14ac:dyDescent="0.35">
      <c r="A53">
        <v>50</v>
      </c>
      <c r="B53">
        <f t="shared" si="1"/>
        <v>1</v>
      </c>
      <c r="C53" t="str">
        <f t="shared" si="0"/>
        <v>501</v>
      </c>
      <c r="D53" t="s">
        <v>505</v>
      </c>
      <c r="E53">
        <v>103</v>
      </c>
      <c r="F53">
        <v>5</v>
      </c>
      <c r="G53">
        <v>2016</v>
      </c>
      <c r="H53" t="s">
        <v>505</v>
      </c>
      <c r="I53" t="s">
        <v>506</v>
      </c>
      <c r="J53" t="s">
        <v>1746</v>
      </c>
      <c r="K53">
        <v>1</v>
      </c>
      <c r="L53" s="506">
        <v>42571</v>
      </c>
      <c r="M53" s="507">
        <v>20000000</v>
      </c>
      <c r="N53" t="s">
        <v>3663</v>
      </c>
      <c r="O53" t="s">
        <v>2659</v>
      </c>
      <c r="P53" t="s">
        <v>506</v>
      </c>
      <c r="Q53" t="s">
        <v>3664</v>
      </c>
    </row>
    <row r="54" spans="1:17" x14ac:dyDescent="0.35">
      <c r="A54">
        <v>50</v>
      </c>
      <c r="B54">
        <f t="shared" si="1"/>
        <v>2</v>
      </c>
      <c r="C54" t="str">
        <f t="shared" si="0"/>
        <v>502</v>
      </c>
      <c r="D54" t="s">
        <v>505</v>
      </c>
      <c r="E54">
        <v>103</v>
      </c>
      <c r="F54">
        <v>4</v>
      </c>
      <c r="G54">
        <v>2014</v>
      </c>
      <c r="H54" t="s">
        <v>505</v>
      </c>
      <c r="I54" t="s">
        <v>506</v>
      </c>
      <c r="J54" t="s">
        <v>1746</v>
      </c>
      <c r="K54">
        <v>1</v>
      </c>
      <c r="L54" s="506">
        <v>41487</v>
      </c>
      <c r="M54" s="507">
        <v>5301526</v>
      </c>
      <c r="N54" t="s">
        <v>505</v>
      </c>
      <c r="O54" t="s">
        <v>2659</v>
      </c>
      <c r="P54" t="s">
        <v>2660</v>
      </c>
      <c r="Q54" t="s">
        <v>2661</v>
      </c>
    </row>
    <row r="55" spans="1:17" x14ac:dyDescent="0.35">
      <c r="A55">
        <v>51</v>
      </c>
      <c r="B55">
        <f t="shared" si="1"/>
        <v>1</v>
      </c>
      <c r="C55" t="str">
        <f t="shared" si="0"/>
        <v>511</v>
      </c>
      <c r="D55" t="s">
        <v>504</v>
      </c>
      <c r="E55">
        <v>29</v>
      </c>
      <c r="F55">
        <v>107</v>
      </c>
      <c r="G55">
        <v>2016</v>
      </c>
      <c r="H55" t="s">
        <v>494</v>
      </c>
      <c r="I55" t="s">
        <v>495</v>
      </c>
      <c r="J55" t="s">
        <v>1746</v>
      </c>
      <c r="K55">
        <v>1</v>
      </c>
      <c r="L55" s="506">
        <v>42612</v>
      </c>
      <c r="M55" s="507">
        <v>7164352</v>
      </c>
      <c r="N55" t="s">
        <v>3665</v>
      </c>
      <c r="O55" t="s">
        <v>3666</v>
      </c>
      <c r="P55" t="s">
        <v>495</v>
      </c>
      <c r="Q55" t="s">
        <v>3667</v>
      </c>
    </row>
    <row r="56" spans="1:17" x14ac:dyDescent="0.35">
      <c r="A56">
        <v>51</v>
      </c>
      <c r="B56">
        <f t="shared" si="1"/>
        <v>2</v>
      </c>
      <c r="C56" t="str">
        <f t="shared" si="0"/>
        <v>512</v>
      </c>
      <c r="D56" t="s">
        <v>504</v>
      </c>
      <c r="E56">
        <v>29</v>
      </c>
      <c r="F56">
        <v>108</v>
      </c>
      <c r="G56">
        <v>2016</v>
      </c>
      <c r="H56" t="s">
        <v>494</v>
      </c>
      <c r="I56" t="s">
        <v>495</v>
      </c>
      <c r="J56" t="s">
        <v>1746</v>
      </c>
      <c r="K56">
        <v>2</v>
      </c>
      <c r="L56" s="506">
        <v>42394</v>
      </c>
      <c r="M56" s="507">
        <v>1835806</v>
      </c>
      <c r="N56" t="s">
        <v>3665</v>
      </c>
      <c r="O56" t="s">
        <v>3666</v>
      </c>
      <c r="P56" t="s">
        <v>495</v>
      </c>
      <c r="Q56" t="s">
        <v>3668</v>
      </c>
    </row>
    <row r="57" spans="1:17" x14ac:dyDescent="0.35">
      <c r="A57">
        <v>51</v>
      </c>
      <c r="B57">
        <f t="shared" si="1"/>
        <v>3</v>
      </c>
      <c r="C57" t="str">
        <f t="shared" si="0"/>
        <v>513</v>
      </c>
      <c r="D57" t="s">
        <v>504</v>
      </c>
      <c r="E57">
        <v>29</v>
      </c>
      <c r="F57">
        <v>109</v>
      </c>
      <c r="G57">
        <v>2016</v>
      </c>
      <c r="H57" t="s">
        <v>494</v>
      </c>
      <c r="I57" t="s">
        <v>495</v>
      </c>
      <c r="J57" t="s">
        <v>1746</v>
      </c>
      <c r="K57">
        <v>3</v>
      </c>
      <c r="L57" s="506">
        <v>42576</v>
      </c>
      <c r="M57" s="507">
        <v>1315226</v>
      </c>
      <c r="N57" t="s">
        <v>3665</v>
      </c>
      <c r="O57" t="s">
        <v>3666</v>
      </c>
      <c r="P57" t="s">
        <v>3669</v>
      </c>
      <c r="Q57" t="s">
        <v>3670</v>
      </c>
    </row>
    <row r="58" spans="1:17" x14ac:dyDescent="0.35">
      <c r="A58">
        <v>51</v>
      </c>
      <c r="B58">
        <f t="shared" si="1"/>
        <v>4</v>
      </c>
      <c r="C58" t="str">
        <f t="shared" si="0"/>
        <v>514</v>
      </c>
      <c r="D58" t="s">
        <v>504</v>
      </c>
      <c r="E58">
        <v>29</v>
      </c>
      <c r="F58">
        <v>110</v>
      </c>
      <c r="G58">
        <v>2016</v>
      </c>
      <c r="H58" t="s">
        <v>494</v>
      </c>
      <c r="I58" t="s">
        <v>495</v>
      </c>
      <c r="J58" t="s">
        <v>1746</v>
      </c>
      <c r="K58">
        <v>4</v>
      </c>
      <c r="L58" s="506">
        <v>42513</v>
      </c>
      <c r="M58" s="507">
        <v>25500000</v>
      </c>
      <c r="N58" t="s">
        <v>3665</v>
      </c>
      <c r="O58" t="s">
        <v>3666</v>
      </c>
      <c r="P58" t="s">
        <v>495</v>
      </c>
      <c r="Q58" t="s">
        <v>3671</v>
      </c>
    </row>
    <row r="59" spans="1:17" x14ac:dyDescent="0.35">
      <c r="A59">
        <v>51</v>
      </c>
      <c r="B59">
        <f t="shared" si="1"/>
        <v>5</v>
      </c>
      <c r="C59" t="str">
        <f t="shared" si="0"/>
        <v>515</v>
      </c>
      <c r="D59" t="s">
        <v>504</v>
      </c>
      <c r="E59">
        <v>29</v>
      </c>
      <c r="F59">
        <v>102</v>
      </c>
      <c r="G59">
        <v>2015</v>
      </c>
      <c r="H59" t="s">
        <v>494</v>
      </c>
      <c r="I59" t="s">
        <v>495</v>
      </c>
      <c r="J59" t="s">
        <v>1746</v>
      </c>
      <c r="K59">
        <v>1</v>
      </c>
      <c r="L59" s="506">
        <v>42194</v>
      </c>
      <c r="M59" s="507">
        <v>3660600</v>
      </c>
      <c r="N59" t="s">
        <v>494</v>
      </c>
      <c r="O59" t="s">
        <v>3036</v>
      </c>
      <c r="P59" t="s">
        <v>495</v>
      </c>
      <c r="Q59" t="s">
        <v>3037</v>
      </c>
    </row>
    <row r="60" spans="1:17" x14ac:dyDescent="0.35">
      <c r="A60">
        <v>58</v>
      </c>
      <c r="B60">
        <f t="shared" si="1"/>
        <v>1</v>
      </c>
      <c r="C60" t="str">
        <f t="shared" si="0"/>
        <v>581</v>
      </c>
      <c r="D60" t="s">
        <v>535</v>
      </c>
      <c r="E60">
        <v>136</v>
      </c>
      <c r="F60">
        <v>3</v>
      </c>
      <c r="G60">
        <v>2016</v>
      </c>
      <c r="H60" t="s">
        <v>535</v>
      </c>
      <c r="I60" t="s">
        <v>536</v>
      </c>
      <c r="J60" t="s">
        <v>1746</v>
      </c>
      <c r="K60">
        <v>1</v>
      </c>
      <c r="L60" s="506">
        <v>41697</v>
      </c>
      <c r="M60" s="507">
        <v>2000000</v>
      </c>
      <c r="N60" t="s">
        <v>2662</v>
      </c>
      <c r="O60" t="s">
        <v>2663</v>
      </c>
      <c r="P60" t="s">
        <v>536</v>
      </c>
      <c r="Q60" t="s">
        <v>3672</v>
      </c>
    </row>
    <row r="61" spans="1:17" x14ac:dyDescent="0.35">
      <c r="A61">
        <v>58</v>
      </c>
      <c r="B61">
        <f t="shared" si="1"/>
        <v>2</v>
      </c>
      <c r="C61" t="str">
        <f t="shared" si="0"/>
        <v>582</v>
      </c>
      <c r="D61" t="s">
        <v>535</v>
      </c>
      <c r="E61">
        <v>136</v>
      </c>
      <c r="F61">
        <v>2</v>
      </c>
      <c r="G61">
        <v>2014</v>
      </c>
      <c r="H61" t="s">
        <v>535</v>
      </c>
      <c r="I61" t="s">
        <v>536</v>
      </c>
      <c r="J61" t="s">
        <v>1746</v>
      </c>
      <c r="K61">
        <v>1</v>
      </c>
      <c r="L61" s="506">
        <v>41697</v>
      </c>
      <c r="M61" s="507">
        <v>5000000</v>
      </c>
      <c r="N61" t="s">
        <v>2662</v>
      </c>
      <c r="O61" t="s">
        <v>2663</v>
      </c>
      <c r="P61" t="s">
        <v>536</v>
      </c>
      <c r="Q61" t="s">
        <v>2664</v>
      </c>
    </row>
    <row r="62" spans="1:17" x14ac:dyDescent="0.35">
      <c r="A62">
        <v>59</v>
      </c>
      <c r="B62">
        <f t="shared" si="1"/>
        <v>1</v>
      </c>
      <c r="C62" t="str">
        <f t="shared" si="0"/>
        <v>591</v>
      </c>
      <c r="D62" t="s">
        <v>1315</v>
      </c>
      <c r="E62">
        <v>75</v>
      </c>
      <c r="F62">
        <v>60</v>
      </c>
      <c r="G62">
        <v>2016</v>
      </c>
      <c r="H62" t="s">
        <v>1315</v>
      </c>
      <c r="I62" t="s">
        <v>138</v>
      </c>
      <c r="J62" t="s">
        <v>1746</v>
      </c>
      <c r="K62">
        <v>1</v>
      </c>
      <c r="L62" s="506">
        <v>42461</v>
      </c>
      <c r="M62" s="507">
        <v>1451790</v>
      </c>
      <c r="N62" t="s">
        <v>1315</v>
      </c>
      <c r="O62" t="s">
        <v>3673</v>
      </c>
      <c r="P62" t="s">
        <v>138</v>
      </c>
      <c r="Q62" t="s">
        <v>3674</v>
      </c>
    </row>
    <row r="63" spans="1:17" x14ac:dyDescent="0.35">
      <c r="A63">
        <v>59</v>
      </c>
      <c r="B63">
        <f t="shared" si="1"/>
        <v>2</v>
      </c>
      <c r="C63" t="str">
        <f t="shared" si="0"/>
        <v>592</v>
      </c>
      <c r="D63" t="s">
        <v>1315</v>
      </c>
      <c r="E63">
        <v>75</v>
      </c>
      <c r="F63">
        <v>61</v>
      </c>
      <c r="G63">
        <v>2016</v>
      </c>
      <c r="H63" t="s">
        <v>1315</v>
      </c>
      <c r="I63" t="s">
        <v>138</v>
      </c>
      <c r="J63" t="s">
        <v>1746</v>
      </c>
      <c r="K63">
        <v>2</v>
      </c>
      <c r="L63" s="506">
        <v>42370</v>
      </c>
      <c r="M63" s="507">
        <v>1900000</v>
      </c>
      <c r="N63" t="s">
        <v>1315</v>
      </c>
      <c r="O63" t="s">
        <v>3673</v>
      </c>
      <c r="P63" t="s">
        <v>138</v>
      </c>
      <c r="Q63" t="s">
        <v>3675</v>
      </c>
    </row>
    <row r="64" spans="1:17" x14ac:dyDescent="0.35">
      <c r="A64">
        <v>59</v>
      </c>
      <c r="B64">
        <f t="shared" si="1"/>
        <v>3</v>
      </c>
      <c r="C64" t="str">
        <f t="shared" si="0"/>
        <v>593</v>
      </c>
      <c r="D64" t="s">
        <v>1315</v>
      </c>
      <c r="E64">
        <v>75</v>
      </c>
      <c r="F64">
        <v>62</v>
      </c>
      <c r="G64">
        <v>2016</v>
      </c>
      <c r="H64" t="s">
        <v>1315</v>
      </c>
      <c r="I64" t="s">
        <v>138</v>
      </c>
      <c r="J64" t="s">
        <v>1746</v>
      </c>
      <c r="K64">
        <v>3</v>
      </c>
      <c r="L64" s="506">
        <v>42370</v>
      </c>
      <c r="M64" s="507">
        <v>1476000</v>
      </c>
      <c r="N64" t="s">
        <v>1315</v>
      </c>
      <c r="O64" t="s">
        <v>3673</v>
      </c>
      <c r="P64" t="s">
        <v>138</v>
      </c>
      <c r="Q64" t="s">
        <v>3676</v>
      </c>
    </row>
    <row r="65" spans="1:17" x14ac:dyDescent="0.35">
      <c r="A65">
        <v>59</v>
      </c>
      <c r="B65">
        <f t="shared" si="1"/>
        <v>4</v>
      </c>
      <c r="C65" t="str">
        <f t="shared" si="0"/>
        <v>594</v>
      </c>
      <c r="D65" t="s">
        <v>1315</v>
      </c>
      <c r="E65">
        <v>75</v>
      </c>
      <c r="F65">
        <v>63</v>
      </c>
      <c r="G65">
        <v>2016</v>
      </c>
      <c r="H65" t="s">
        <v>1315</v>
      </c>
      <c r="I65" t="s">
        <v>138</v>
      </c>
      <c r="J65" t="s">
        <v>1746</v>
      </c>
      <c r="K65">
        <v>4</v>
      </c>
      <c r="L65" s="506">
        <v>42583</v>
      </c>
      <c r="M65" s="507">
        <v>4575000</v>
      </c>
      <c r="N65" t="s">
        <v>1315</v>
      </c>
      <c r="O65" t="s">
        <v>3673</v>
      </c>
      <c r="P65" t="s">
        <v>138</v>
      </c>
      <c r="Q65" t="s">
        <v>3677</v>
      </c>
    </row>
    <row r="66" spans="1:17" x14ac:dyDescent="0.35">
      <c r="A66">
        <v>59</v>
      </c>
      <c r="B66">
        <f t="shared" si="1"/>
        <v>5</v>
      </c>
      <c r="C66" t="str">
        <f t="shared" si="0"/>
        <v>595</v>
      </c>
      <c r="D66" t="s">
        <v>1315</v>
      </c>
      <c r="E66">
        <v>75</v>
      </c>
      <c r="F66">
        <v>55</v>
      </c>
      <c r="G66">
        <v>2015</v>
      </c>
      <c r="H66" t="s">
        <v>1315</v>
      </c>
      <c r="I66" t="s">
        <v>138</v>
      </c>
      <c r="J66" t="s">
        <v>1746</v>
      </c>
      <c r="K66">
        <v>1</v>
      </c>
      <c r="L66" s="506">
        <v>42095</v>
      </c>
      <c r="M66" s="507">
        <v>4000000</v>
      </c>
      <c r="N66" t="s">
        <v>1315</v>
      </c>
      <c r="O66" t="s">
        <v>3042</v>
      </c>
      <c r="P66" t="s">
        <v>138</v>
      </c>
      <c r="Q66" t="s">
        <v>3043</v>
      </c>
    </row>
    <row r="67" spans="1:17" x14ac:dyDescent="0.35">
      <c r="A67">
        <v>59</v>
      </c>
      <c r="B67">
        <f t="shared" si="1"/>
        <v>6</v>
      </c>
      <c r="C67" t="str">
        <f t="shared" si="0"/>
        <v>596</v>
      </c>
      <c r="D67" t="s">
        <v>1315</v>
      </c>
      <c r="E67">
        <v>75</v>
      </c>
      <c r="F67">
        <v>56</v>
      </c>
      <c r="G67">
        <v>2015</v>
      </c>
      <c r="H67" t="s">
        <v>1315</v>
      </c>
      <c r="I67" t="s">
        <v>138</v>
      </c>
      <c r="J67" t="s">
        <v>1746</v>
      </c>
      <c r="K67">
        <v>2</v>
      </c>
      <c r="L67" s="506">
        <v>42217</v>
      </c>
      <c r="M67" s="507">
        <v>2500000</v>
      </c>
      <c r="N67" t="s">
        <v>1315</v>
      </c>
      <c r="O67" t="s">
        <v>2447</v>
      </c>
      <c r="P67" t="s">
        <v>138</v>
      </c>
      <c r="Q67" t="s">
        <v>3041</v>
      </c>
    </row>
    <row r="68" spans="1:17" x14ac:dyDescent="0.35">
      <c r="A68">
        <v>59</v>
      </c>
      <c r="B68">
        <f t="shared" si="1"/>
        <v>7</v>
      </c>
      <c r="C68" t="str">
        <f t="shared" ref="C68:C131" si="2">CONCATENATE(A68,B68)</f>
        <v>597</v>
      </c>
      <c r="D68" t="s">
        <v>1315</v>
      </c>
      <c r="E68">
        <v>75</v>
      </c>
      <c r="F68">
        <v>57</v>
      </c>
      <c r="G68">
        <v>2015</v>
      </c>
      <c r="H68" t="s">
        <v>1315</v>
      </c>
      <c r="I68" t="s">
        <v>138</v>
      </c>
      <c r="J68" t="s">
        <v>1746</v>
      </c>
      <c r="K68">
        <v>3</v>
      </c>
      <c r="L68" s="506">
        <v>42170</v>
      </c>
      <c r="M68" s="507">
        <v>1447541</v>
      </c>
      <c r="N68" t="s">
        <v>1315</v>
      </c>
      <c r="O68" t="s">
        <v>2447</v>
      </c>
      <c r="P68" t="s">
        <v>138</v>
      </c>
      <c r="Q68" t="s">
        <v>3040</v>
      </c>
    </row>
    <row r="69" spans="1:17" x14ac:dyDescent="0.35">
      <c r="A69">
        <v>59</v>
      </c>
      <c r="B69">
        <f t="shared" ref="B69:B132" si="3">IF(A69=A68,B68+1,1)</f>
        <v>8</v>
      </c>
      <c r="C69" t="str">
        <f t="shared" si="2"/>
        <v>598</v>
      </c>
      <c r="D69" t="s">
        <v>1315</v>
      </c>
      <c r="E69">
        <v>75</v>
      </c>
      <c r="F69">
        <v>58</v>
      </c>
      <c r="G69">
        <v>2015</v>
      </c>
      <c r="H69" t="s">
        <v>1315</v>
      </c>
      <c r="I69" t="s">
        <v>138</v>
      </c>
      <c r="J69" t="s">
        <v>1746</v>
      </c>
      <c r="K69">
        <v>4</v>
      </c>
      <c r="L69" s="506">
        <v>42156</v>
      </c>
      <c r="M69" s="507">
        <v>1545760</v>
      </c>
      <c r="N69" t="s">
        <v>1315</v>
      </c>
      <c r="O69" t="s">
        <v>2447</v>
      </c>
      <c r="P69" t="s">
        <v>138</v>
      </c>
      <c r="Q69" t="s">
        <v>3039</v>
      </c>
    </row>
    <row r="70" spans="1:17" x14ac:dyDescent="0.35">
      <c r="A70">
        <v>59</v>
      </c>
      <c r="B70">
        <f t="shared" si="3"/>
        <v>9</v>
      </c>
      <c r="C70" t="str">
        <f t="shared" si="2"/>
        <v>599</v>
      </c>
      <c r="D70" t="s">
        <v>1315</v>
      </c>
      <c r="E70">
        <v>75</v>
      </c>
      <c r="F70">
        <v>59</v>
      </c>
      <c r="G70">
        <v>2015</v>
      </c>
      <c r="H70" t="s">
        <v>1315</v>
      </c>
      <c r="I70" t="s">
        <v>138</v>
      </c>
      <c r="J70" t="s">
        <v>1746</v>
      </c>
      <c r="K70">
        <v>5</v>
      </c>
      <c r="L70" s="506">
        <v>42156</v>
      </c>
      <c r="M70" s="507">
        <v>1773500</v>
      </c>
      <c r="N70" t="s">
        <v>1315</v>
      </c>
      <c r="O70" t="s">
        <v>2447</v>
      </c>
      <c r="P70" t="s">
        <v>138</v>
      </c>
      <c r="Q70" t="s">
        <v>3038</v>
      </c>
    </row>
    <row r="71" spans="1:17" x14ac:dyDescent="0.35">
      <c r="A71">
        <v>59</v>
      </c>
      <c r="B71">
        <f t="shared" si="3"/>
        <v>10</v>
      </c>
      <c r="C71" t="str">
        <f t="shared" si="2"/>
        <v>5910</v>
      </c>
      <c r="D71" t="s">
        <v>1315</v>
      </c>
      <c r="E71">
        <v>75</v>
      </c>
      <c r="F71">
        <v>49</v>
      </c>
      <c r="G71">
        <v>2014</v>
      </c>
      <c r="H71" t="s">
        <v>1315</v>
      </c>
      <c r="I71" t="s">
        <v>138</v>
      </c>
      <c r="J71" t="s">
        <v>1746</v>
      </c>
      <c r="K71">
        <v>1</v>
      </c>
      <c r="L71" s="506">
        <v>41640</v>
      </c>
      <c r="M71" s="507">
        <v>1381473</v>
      </c>
      <c r="N71" t="s">
        <v>1315</v>
      </c>
      <c r="O71" t="s">
        <v>2447</v>
      </c>
      <c r="P71" t="s">
        <v>138</v>
      </c>
      <c r="Q71" t="s">
        <v>2665</v>
      </c>
    </row>
    <row r="72" spans="1:17" x14ac:dyDescent="0.35">
      <c r="A72">
        <v>59</v>
      </c>
      <c r="B72">
        <f t="shared" si="3"/>
        <v>11</v>
      </c>
      <c r="C72" t="str">
        <f t="shared" si="2"/>
        <v>5911</v>
      </c>
      <c r="D72" t="s">
        <v>1315</v>
      </c>
      <c r="E72">
        <v>75</v>
      </c>
      <c r="F72">
        <v>50</v>
      </c>
      <c r="G72">
        <v>2014</v>
      </c>
      <c r="H72" t="s">
        <v>1315</v>
      </c>
      <c r="I72" t="s">
        <v>138</v>
      </c>
      <c r="J72" t="s">
        <v>1746</v>
      </c>
      <c r="K72">
        <v>2</v>
      </c>
      <c r="L72" s="506">
        <v>41852</v>
      </c>
      <c r="M72" s="507">
        <v>1592000</v>
      </c>
      <c r="N72" t="s">
        <v>1315</v>
      </c>
      <c r="O72" t="s">
        <v>2447</v>
      </c>
      <c r="P72" t="s">
        <v>138</v>
      </c>
      <c r="Q72" t="s">
        <v>2666</v>
      </c>
    </row>
    <row r="73" spans="1:17" x14ac:dyDescent="0.35">
      <c r="A73">
        <v>59</v>
      </c>
      <c r="B73">
        <f t="shared" si="3"/>
        <v>12</v>
      </c>
      <c r="C73" t="str">
        <f t="shared" si="2"/>
        <v>5912</v>
      </c>
      <c r="D73" t="s">
        <v>1315</v>
      </c>
      <c r="E73">
        <v>75</v>
      </c>
      <c r="F73">
        <v>51</v>
      </c>
      <c r="G73">
        <v>2014</v>
      </c>
      <c r="H73" t="s">
        <v>1315</v>
      </c>
      <c r="I73" t="s">
        <v>138</v>
      </c>
      <c r="J73" t="s">
        <v>1746</v>
      </c>
      <c r="K73">
        <v>3</v>
      </c>
      <c r="L73" s="506">
        <v>41675</v>
      </c>
      <c r="M73" s="507">
        <v>1493699</v>
      </c>
      <c r="N73" t="s">
        <v>1315</v>
      </c>
      <c r="O73" t="s">
        <v>2447</v>
      </c>
      <c r="P73" t="s">
        <v>138</v>
      </c>
      <c r="Q73" t="s">
        <v>2667</v>
      </c>
    </row>
    <row r="74" spans="1:17" x14ac:dyDescent="0.35">
      <c r="A74">
        <v>59</v>
      </c>
      <c r="B74">
        <f t="shared" si="3"/>
        <v>13</v>
      </c>
      <c r="C74" t="str">
        <f t="shared" si="2"/>
        <v>5913</v>
      </c>
      <c r="D74" t="s">
        <v>1315</v>
      </c>
      <c r="E74">
        <v>75</v>
      </c>
      <c r="F74">
        <v>52</v>
      </c>
      <c r="G74">
        <v>2014</v>
      </c>
      <c r="H74" t="s">
        <v>1315</v>
      </c>
      <c r="I74" t="s">
        <v>138</v>
      </c>
      <c r="J74" t="s">
        <v>1746</v>
      </c>
      <c r="K74">
        <v>4</v>
      </c>
      <c r="L74" s="506">
        <v>41675</v>
      </c>
      <c r="M74" s="507">
        <v>1170000</v>
      </c>
      <c r="N74" t="s">
        <v>1315</v>
      </c>
      <c r="O74" t="s">
        <v>2447</v>
      </c>
      <c r="P74" t="s">
        <v>138</v>
      </c>
      <c r="Q74" t="s">
        <v>2668</v>
      </c>
    </row>
    <row r="75" spans="1:17" x14ac:dyDescent="0.35">
      <c r="A75">
        <v>59</v>
      </c>
      <c r="B75">
        <f t="shared" si="3"/>
        <v>14</v>
      </c>
      <c r="C75" t="str">
        <f t="shared" si="2"/>
        <v>5914</v>
      </c>
      <c r="D75" t="s">
        <v>1315</v>
      </c>
      <c r="E75">
        <v>75</v>
      </c>
      <c r="F75">
        <v>53</v>
      </c>
      <c r="G75">
        <v>2014</v>
      </c>
      <c r="H75" t="s">
        <v>1315</v>
      </c>
      <c r="I75" t="s">
        <v>138</v>
      </c>
      <c r="J75" t="s">
        <v>1746</v>
      </c>
      <c r="K75">
        <v>5</v>
      </c>
      <c r="L75" s="506">
        <v>41675</v>
      </c>
      <c r="M75" s="507">
        <v>1617635</v>
      </c>
      <c r="N75" t="s">
        <v>1315</v>
      </c>
      <c r="O75" t="s">
        <v>2447</v>
      </c>
      <c r="P75" t="s">
        <v>138</v>
      </c>
      <c r="Q75" t="s">
        <v>2669</v>
      </c>
    </row>
    <row r="76" spans="1:17" x14ac:dyDescent="0.35">
      <c r="A76">
        <v>59</v>
      </c>
      <c r="B76">
        <f t="shared" si="3"/>
        <v>15</v>
      </c>
      <c r="C76" t="str">
        <f t="shared" si="2"/>
        <v>5915</v>
      </c>
      <c r="D76" t="s">
        <v>1315</v>
      </c>
      <c r="E76">
        <v>75</v>
      </c>
      <c r="F76">
        <v>54</v>
      </c>
      <c r="G76">
        <v>2014</v>
      </c>
      <c r="H76" t="s">
        <v>1315</v>
      </c>
      <c r="I76" t="s">
        <v>138</v>
      </c>
      <c r="J76" t="s">
        <v>1746</v>
      </c>
      <c r="K76">
        <v>6</v>
      </c>
      <c r="L76" s="506">
        <v>41925</v>
      </c>
      <c r="M76" s="507">
        <v>1297772</v>
      </c>
      <c r="N76" t="s">
        <v>1315</v>
      </c>
      <c r="O76" t="s">
        <v>2447</v>
      </c>
      <c r="P76" t="s">
        <v>138</v>
      </c>
      <c r="Q76" t="s">
        <v>2670</v>
      </c>
    </row>
    <row r="77" spans="1:17" x14ac:dyDescent="0.35">
      <c r="A77">
        <v>63</v>
      </c>
      <c r="B77">
        <f t="shared" si="3"/>
        <v>1</v>
      </c>
      <c r="C77" t="str">
        <f t="shared" si="2"/>
        <v>631</v>
      </c>
      <c r="D77" t="s">
        <v>1087</v>
      </c>
      <c r="E77">
        <v>46</v>
      </c>
      <c r="F77">
        <v>333</v>
      </c>
      <c r="G77">
        <v>2015</v>
      </c>
      <c r="H77" t="s">
        <v>2040</v>
      </c>
      <c r="I77" t="s">
        <v>407</v>
      </c>
      <c r="J77" t="s">
        <v>1746</v>
      </c>
      <c r="K77">
        <v>1</v>
      </c>
      <c r="L77" s="506">
        <v>42083</v>
      </c>
      <c r="M77" s="507">
        <v>1089000</v>
      </c>
      <c r="N77" t="s">
        <v>3050</v>
      </c>
      <c r="O77" t="s">
        <v>3048</v>
      </c>
      <c r="P77" t="s">
        <v>407</v>
      </c>
      <c r="Q77" t="s">
        <v>3051</v>
      </c>
    </row>
    <row r="78" spans="1:17" x14ac:dyDescent="0.35">
      <c r="A78">
        <v>63</v>
      </c>
      <c r="B78">
        <f t="shared" si="3"/>
        <v>2</v>
      </c>
      <c r="C78" t="str">
        <f t="shared" si="2"/>
        <v>632</v>
      </c>
      <c r="D78" t="s">
        <v>1087</v>
      </c>
      <c r="E78">
        <v>46</v>
      </c>
      <c r="F78">
        <v>334</v>
      </c>
      <c r="G78">
        <v>2015</v>
      </c>
      <c r="H78" t="s">
        <v>2040</v>
      </c>
      <c r="I78" t="s">
        <v>407</v>
      </c>
      <c r="J78" t="s">
        <v>1746</v>
      </c>
      <c r="K78">
        <v>2</v>
      </c>
      <c r="L78" s="506">
        <v>42146</v>
      </c>
      <c r="M78" s="507">
        <v>3277000</v>
      </c>
      <c r="N78" t="s">
        <v>3047</v>
      </c>
      <c r="O78" t="s">
        <v>3048</v>
      </c>
      <c r="P78" t="s">
        <v>407</v>
      </c>
      <c r="Q78" t="s">
        <v>3049</v>
      </c>
    </row>
    <row r="79" spans="1:17" x14ac:dyDescent="0.35">
      <c r="A79">
        <v>63</v>
      </c>
      <c r="B79">
        <f t="shared" si="3"/>
        <v>3</v>
      </c>
      <c r="C79" t="str">
        <f t="shared" si="2"/>
        <v>633</v>
      </c>
      <c r="D79" t="s">
        <v>1087</v>
      </c>
      <c r="E79">
        <v>46</v>
      </c>
      <c r="F79">
        <v>335</v>
      </c>
      <c r="G79">
        <v>2015</v>
      </c>
      <c r="H79" t="s">
        <v>2040</v>
      </c>
      <c r="I79" t="s">
        <v>407</v>
      </c>
      <c r="J79" t="s">
        <v>1746</v>
      </c>
      <c r="K79">
        <v>3</v>
      </c>
      <c r="L79" s="506">
        <v>42055</v>
      </c>
      <c r="M79" s="507">
        <v>35000000</v>
      </c>
      <c r="N79" t="s">
        <v>3044</v>
      </c>
      <c r="O79" t="s">
        <v>3045</v>
      </c>
      <c r="P79" t="s">
        <v>407</v>
      </c>
      <c r="Q79" t="s">
        <v>3046</v>
      </c>
    </row>
    <row r="80" spans="1:17" x14ac:dyDescent="0.35">
      <c r="A80">
        <v>63</v>
      </c>
      <c r="B80">
        <f t="shared" si="3"/>
        <v>4</v>
      </c>
      <c r="C80" t="str">
        <f t="shared" si="2"/>
        <v>634</v>
      </c>
      <c r="D80" t="s">
        <v>1087</v>
      </c>
      <c r="E80">
        <v>46</v>
      </c>
      <c r="F80">
        <v>315</v>
      </c>
      <c r="G80">
        <v>2014</v>
      </c>
      <c r="H80" t="s">
        <v>2040</v>
      </c>
      <c r="I80" t="s">
        <v>407</v>
      </c>
      <c r="J80" t="s">
        <v>1746</v>
      </c>
      <c r="K80">
        <v>1</v>
      </c>
      <c r="L80" s="506">
        <v>41773</v>
      </c>
      <c r="M80" s="507">
        <v>1426000</v>
      </c>
      <c r="N80" t="s">
        <v>2607</v>
      </c>
      <c r="O80" t="s">
        <v>2609</v>
      </c>
      <c r="P80" t="s">
        <v>2610</v>
      </c>
      <c r="Q80" t="s">
        <v>2671</v>
      </c>
    </row>
    <row r="81" spans="1:17" x14ac:dyDescent="0.35">
      <c r="A81">
        <v>66</v>
      </c>
      <c r="B81">
        <f t="shared" si="3"/>
        <v>1</v>
      </c>
      <c r="C81" t="str">
        <f t="shared" si="2"/>
        <v>661</v>
      </c>
      <c r="D81" t="s">
        <v>193</v>
      </c>
      <c r="E81">
        <v>194</v>
      </c>
      <c r="F81">
        <v>3</v>
      </c>
      <c r="G81">
        <v>2016</v>
      </c>
      <c r="H81" t="s">
        <v>193</v>
      </c>
      <c r="I81" t="s">
        <v>194</v>
      </c>
      <c r="J81" t="s">
        <v>1746</v>
      </c>
      <c r="K81">
        <v>1</v>
      </c>
      <c r="L81" s="506">
        <v>42432</v>
      </c>
      <c r="M81" s="507">
        <v>26273513</v>
      </c>
      <c r="N81" t="s">
        <v>193</v>
      </c>
      <c r="O81" t="s">
        <v>3678</v>
      </c>
      <c r="P81" t="s">
        <v>194</v>
      </c>
      <c r="Q81" t="s">
        <v>3679</v>
      </c>
    </row>
    <row r="82" spans="1:17" x14ac:dyDescent="0.35">
      <c r="A82">
        <v>67</v>
      </c>
      <c r="B82">
        <f t="shared" si="3"/>
        <v>1</v>
      </c>
      <c r="C82" t="str">
        <f t="shared" si="2"/>
        <v>671</v>
      </c>
      <c r="D82" t="s">
        <v>2672</v>
      </c>
      <c r="E82">
        <v>72</v>
      </c>
      <c r="F82">
        <v>5</v>
      </c>
      <c r="G82">
        <v>2014</v>
      </c>
      <c r="H82" t="s">
        <v>2055</v>
      </c>
      <c r="I82" t="s">
        <v>222</v>
      </c>
      <c r="J82" t="s">
        <v>1746</v>
      </c>
      <c r="K82">
        <v>1</v>
      </c>
      <c r="L82" s="506">
        <v>41752</v>
      </c>
      <c r="M82" s="507">
        <v>4506000</v>
      </c>
      <c r="N82" t="s">
        <v>2673</v>
      </c>
      <c r="O82" t="s">
        <v>2674</v>
      </c>
      <c r="P82" t="s">
        <v>2675</v>
      </c>
      <c r="Q82" t="s">
        <v>2676</v>
      </c>
    </row>
    <row r="83" spans="1:17" x14ac:dyDescent="0.35">
      <c r="A83">
        <v>71</v>
      </c>
      <c r="B83">
        <f t="shared" si="3"/>
        <v>1</v>
      </c>
      <c r="C83" t="str">
        <f t="shared" si="2"/>
        <v>711</v>
      </c>
      <c r="D83" t="s">
        <v>3052</v>
      </c>
      <c r="E83">
        <v>17</v>
      </c>
      <c r="F83">
        <v>10</v>
      </c>
      <c r="G83">
        <v>2014</v>
      </c>
      <c r="H83" t="s">
        <v>1513</v>
      </c>
      <c r="I83" t="s">
        <v>664</v>
      </c>
      <c r="J83" t="s">
        <v>1746</v>
      </c>
      <c r="K83">
        <v>1</v>
      </c>
      <c r="L83" s="506">
        <v>41746</v>
      </c>
      <c r="M83" s="507">
        <v>30800000</v>
      </c>
      <c r="N83" t="s">
        <v>2677</v>
      </c>
      <c r="O83" t="s">
        <v>2678</v>
      </c>
      <c r="P83" t="s">
        <v>664</v>
      </c>
      <c r="Q83" t="s">
        <v>2679</v>
      </c>
    </row>
    <row r="84" spans="1:17" x14ac:dyDescent="0.35">
      <c r="A84">
        <v>74</v>
      </c>
      <c r="B84">
        <f t="shared" si="3"/>
        <v>1</v>
      </c>
      <c r="C84" t="str">
        <f t="shared" si="2"/>
        <v>741</v>
      </c>
      <c r="D84" t="s">
        <v>2604</v>
      </c>
      <c r="E84">
        <v>48</v>
      </c>
      <c r="F84">
        <v>76</v>
      </c>
      <c r="G84">
        <v>2016</v>
      </c>
      <c r="H84" t="s">
        <v>825</v>
      </c>
      <c r="I84" t="s">
        <v>826</v>
      </c>
      <c r="J84" t="s">
        <v>1746</v>
      </c>
      <c r="K84">
        <v>1</v>
      </c>
      <c r="L84" s="506">
        <v>42549</v>
      </c>
      <c r="M84" s="507">
        <v>1530000</v>
      </c>
      <c r="N84" t="s">
        <v>825</v>
      </c>
      <c r="O84" t="s">
        <v>3680</v>
      </c>
      <c r="P84" t="s">
        <v>826</v>
      </c>
      <c r="Q84" t="s">
        <v>3681</v>
      </c>
    </row>
    <row r="85" spans="1:17" x14ac:dyDescent="0.35">
      <c r="A85">
        <v>74</v>
      </c>
      <c r="B85">
        <f t="shared" si="3"/>
        <v>2</v>
      </c>
      <c r="C85" t="str">
        <f t="shared" si="2"/>
        <v>742</v>
      </c>
      <c r="D85" t="s">
        <v>2604</v>
      </c>
      <c r="E85">
        <v>48</v>
      </c>
      <c r="F85">
        <v>77</v>
      </c>
      <c r="G85">
        <v>2016</v>
      </c>
      <c r="H85" t="s">
        <v>825</v>
      </c>
      <c r="I85" t="s">
        <v>826</v>
      </c>
      <c r="J85" t="s">
        <v>1746</v>
      </c>
      <c r="K85">
        <v>2</v>
      </c>
      <c r="L85" s="506">
        <v>42367</v>
      </c>
      <c r="M85" s="507">
        <v>3300000</v>
      </c>
      <c r="N85" t="s">
        <v>825</v>
      </c>
      <c r="O85" t="s">
        <v>3680</v>
      </c>
      <c r="P85" t="s">
        <v>826</v>
      </c>
      <c r="Q85" t="s">
        <v>3682</v>
      </c>
    </row>
    <row r="86" spans="1:17" x14ac:dyDescent="0.35">
      <c r="A86">
        <v>74</v>
      </c>
      <c r="B86">
        <f t="shared" si="3"/>
        <v>3</v>
      </c>
      <c r="C86" t="str">
        <f t="shared" si="2"/>
        <v>743</v>
      </c>
      <c r="D86" t="s">
        <v>2604</v>
      </c>
      <c r="E86">
        <v>48</v>
      </c>
      <c r="F86">
        <v>59</v>
      </c>
      <c r="G86">
        <v>2015</v>
      </c>
      <c r="H86" t="s">
        <v>825</v>
      </c>
      <c r="I86" t="s">
        <v>826</v>
      </c>
      <c r="J86" t="s">
        <v>1746</v>
      </c>
      <c r="K86">
        <v>1</v>
      </c>
      <c r="L86" s="506">
        <v>42003</v>
      </c>
      <c r="M86" s="507">
        <v>1018510</v>
      </c>
      <c r="N86" t="s">
        <v>825</v>
      </c>
      <c r="O86" t="s">
        <v>3053</v>
      </c>
      <c r="P86" t="s">
        <v>826</v>
      </c>
      <c r="Q86" t="s">
        <v>3055</v>
      </c>
    </row>
    <row r="87" spans="1:17" x14ac:dyDescent="0.35">
      <c r="A87">
        <v>74</v>
      </c>
      <c r="B87">
        <f t="shared" si="3"/>
        <v>4</v>
      </c>
      <c r="C87" t="str">
        <f t="shared" si="2"/>
        <v>744</v>
      </c>
      <c r="D87" t="s">
        <v>2604</v>
      </c>
      <c r="E87">
        <v>48</v>
      </c>
      <c r="F87">
        <v>60</v>
      </c>
      <c r="G87">
        <v>2015</v>
      </c>
      <c r="H87" t="s">
        <v>825</v>
      </c>
      <c r="I87" t="s">
        <v>826</v>
      </c>
      <c r="J87" t="s">
        <v>1746</v>
      </c>
      <c r="K87">
        <v>2</v>
      </c>
      <c r="L87" s="506">
        <v>42206</v>
      </c>
      <c r="M87" s="507">
        <v>3375000</v>
      </c>
      <c r="N87" t="s">
        <v>825</v>
      </c>
      <c r="O87" t="s">
        <v>3053</v>
      </c>
      <c r="P87" t="s">
        <v>826</v>
      </c>
      <c r="Q87" t="s">
        <v>3054</v>
      </c>
    </row>
    <row r="88" spans="1:17" x14ac:dyDescent="0.35">
      <c r="A88">
        <v>76</v>
      </c>
      <c r="B88">
        <f t="shared" si="3"/>
        <v>1</v>
      </c>
      <c r="C88" t="str">
        <f t="shared" si="2"/>
        <v>761</v>
      </c>
      <c r="D88" t="s">
        <v>1548</v>
      </c>
      <c r="E88">
        <v>30</v>
      </c>
      <c r="F88">
        <v>89</v>
      </c>
      <c r="G88">
        <v>2016</v>
      </c>
      <c r="H88" t="s">
        <v>2071</v>
      </c>
      <c r="I88" t="s">
        <v>565</v>
      </c>
      <c r="J88" t="s">
        <v>1746</v>
      </c>
      <c r="K88">
        <v>1</v>
      </c>
      <c r="L88" s="506">
        <v>42115</v>
      </c>
      <c r="M88" s="507">
        <v>38820000</v>
      </c>
      <c r="N88" t="s">
        <v>3683</v>
      </c>
      <c r="O88" t="s">
        <v>3684</v>
      </c>
      <c r="P88" t="s">
        <v>3685</v>
      </c>
      <c r="Q88" t="s">
        <v>3686</v>
      </c>
    </row>
    <row r="89" spans="1:17" x14ac:dyDescent="0.35">
      <c r="A89">
        <v>80</v>
      </c>
      <c r="B89">
        <f t="shared" si="3"/>
        <v>1</v>
      </c>
      <c r="C89" t="str">
        <f t="shared" si="2"/>
        <v>801</v>
      </c>
      <c r="D89" t="s">
        <v>2077</v>
      </c>
      <c r="E89">
        <v>155</v>
      </c>
      <c r="F89">
        <v>3</v>
      </c>
      <c r="G89">
        <v>2015</v>
      </c>
      <c r="H89" t="s">
        <v>2077</v>
      </c>
      <c r="I89" t="s">
        <v>555</v>
      </c>
      <c r="J89" t="s">
        <v>1746</v>
      </c>
      <c r="K89">
        <v>1</v>
      </c>
      <c r="L89" s="506">
        <v>42241</v>
      </c>
      <c r="M89" s="507">
        <v>1560481</v>
      </c>
      <c r="N89" t="s">
        <v>2077</v>
      </c>
      <c r="O89" t="s">
        <v>3056</v>
      </c>
      <c r="P89" t="s">
        <v>555</v>
      </c>
      <c r="Q89" t="s">
        <v>3057</v>
      </c>
    </row>
    <row r="90" spans="1:17" x14ac:dyDescent="0.35">
      <c r="A90">
        <v>81</v>
      </c>
      <c r="B90">
        <f t="shared" si="3"/>
        <v>1</v>
      </c>
      <c r="C90" t="str">
        <f t="shared" si="2"/>
        <v>811</v>
      </c>
      <c r="D90" t="s">
        <v>1548</v>
      </c>
      <c r="E90">
        <v>30</v>
      </c>
      <c r="F90">
        <v>90</v>
      </c>
      <c r="G90">
        <v>2016</v>
      </c>
      <c r="H90" t="s">
        <v>3687</v>
      </c>
      <c r="I90" t="s">
        <v>1309</v>
      </c>
      <c r="J90" t="s">
        <v>1746</v>
      </c>
      <c r="K90">
        <v>1</v>
      </c>
      <c r="L90" s="506">
        <v>42481</v>
      </c>
      <c r="M90" s="507">
        <v>26270979</v>
      </c>
      <c r="N90" t="s">
        <v>3688</v>
      </c>
      <c r="O90" t="s">
        <v>3428</v>
      </c>
      <c r="P90" t="s">
        <v>1309</v>
      </c>
      <c r="Q90" t="s">
        <v>3689</v>
      </c>
    </row>
    <row r="91" spans="1:17" x14ac:dyDescent="0.35">
      <c r="A91">
        <v>84</v>
      </c>
      <c r="B91">
        <f t="shared" si="3"/>
        <v>1</v>
      </c>
      <c r="C91" t="str">
        <f t="shared" si="2"/>
        <v>841</v>
      </c>
      <c r="D91" t="s">
        <v>2578</v>
      </c>
      <c r="E91">
        <v>74</v>
      </c>
      <c r="F91">
        <v>334</v>
      </c>
      <c r="G91">
        <v>2016</v>
      </c>
      <c r="H91" t="s">
        <v>176</v>
      </c>
      <c r="I91" t="s">
        <v>177</v>
      </c>
      <c r="J91" t="s">
        <v>1746</v>
      </c>
      <c r="K91">
        <v>1</v>
      </c>
      <c r="L91" s="506">
        <v>42590</v>
      </c>
      <c r="M91" s="507">
        <v>1050000</v>
      </c>
      <c r="N91" t="s">
        <v>176</v>
      </c>
      <c r="O91" t="s">
        <v>2583</v>
      </c>
      <c r="P91" t="s">
        <v>177</v>
      </c>
      <c r="Q91" t="s">
        <v>3690</v>
      </c>
    </row>
    <row r="92" spans="1:17" x14ac:dyDescent="0.35">
      <c r="A92">
        <v>84</v>
      </c>
      <c r="B92">
        <f t="shared" si="3"/>
        <v>2</v>
      </c>
      <c r="C92" t="str">
        <f t="shared" si="2"/>
        <v>842</v>
      </c>
      <c r="D92" t="s">
        <v>2578</v>
      </c>
      <c r="E92">
        <v>74</v>
      </c>
      <c r="F92">
        <v>335</v>
      </c>
      <c r="G92">
        <v>2016</v>
      </c>
      <c r="H92" t="s">
        <v>176</v>
      </c>
      <c r="I92" t="s">
        <v>177</v>
      </c>
      <c r="J92" t="s">
        <v>1746</v>
      </c>
      <c r="K92">
        <v>2</v>
      </c>
      <c r="L92" s="506">
        <v>42521</v>
      </c>
      <c r="M92" s="507">
        <v>3635000</v>
      </c>
      <c r="N92" t="s">
        <v>176</v>
      </c>
      <c r="O92" t="s">
        <v>2583</v>
      </c>
      <c r="P92" t="s">
        <v>177</v>
      </c>
      <c r="Q92" t="s">
        <v>3691</v>
      </c>
    </row>
    <row r="93" spans="1:17" x14ac:dyDescent="0.35">
      <c r="A93">
        <v>84</v>
      </c>
      <c r="B93">
        <f t="shared" si="3"/>
        <v>3</v>
      </c>
      <c r="C93" t="str">
        <f t="shared" si="2"/>
        <v>843</v>
      </c>
      <c r="D93" t="s">
        <v>2578</v>
      </c>
      <c r="E93">
        <v>74</v>
      </c>
      <c r="F93">
        <v>336</v>
      </c>
      <c r="G93">
        <v>2016</v>
      </c>
      <c r="H93" t="s">
        <v>176</v>
      </c>
      <c r="I93" t="s">
        <v>177</v>
      </c>
      <c r="J93" t="s">
        <v>1746</v>
      </c>
      <c r="K93">
        <v>3</v>
      </c>
      <c r="L93" s="506">
        <v>42644</v>
      </c>
      <c r="M93" s="507">
        <v>1350000</v>
      </c>
      <c r="N93" t="s">
        <v>176</v>
      </c>
      <c r="O93" t="s">
        <v>2583</v>
      </c>
      <c r="P93" t="s">
        <v>177</v>
      </c>
      <c r="Q93" t="s">
        <v>3692</v>
      </c>
    </row>
    <row r="94" spans="1:17" x14ac:dyDescent="0.35">
      <c r="A94">
        <v>84</v>
      </c>
      <c r="B94">
        <f t="shared" si="3"/>
        <v>4</v>
      </c>
      <c r="C94" t="str">
        <f t="shared" si="2"/>
        <v>844</v>
      </c>
      <c r="D94" t="s">
        <v>2578</v>
      </c>
      <c r="E94">
        <v>74</v>
      </c>
      <c r="F94">
        <v>337</v>
      </c>
      <c r="G94">
        <v>2016</v>
      </c>
      <c r="H94" t="s">
        <v>176</v>
      </c>
      <c r="I94" t="s">
        <v>177</v>
      </c>
      <c r="J94" t="s">
        <v>1746</v>
      </c>
      <c r="K94">
        <v>4</v>
      </c>
      <c r="L94" s="506">
        <v>42417</v>
      </c>
      <c r="M94" s="507">
        <v>1600000</v>
      </c>
      <c r="N94" t="s">
        <v>176</v>
      </c>
      <c r="O94" t="s">
        <v>3693</v>
      </c>
      <c r="P94" t="s">
        <v>177</v>
      </c>
      <c r="Q94" t="s">
        <v>3694</v>
      </c>
    </row>
    <row r="95" spans="1:17" x14ac:dyDescent="0.35">
      <c r="A95">
        <v>84</v>
      </c>
      <c r="B95">
        <f t="shared" si="3"/>
        <v>5</v>
      </c>
      <c r="C95" t="str">
        <f t="shared" si="2"/>
        <v>845</v>
      </c>
      <c r="D95" t="s">
        <v>2578</v>
      </c>
      <c r="E95">
        <v>74</v>
      </c>
      <c r="F95">
        <v>338</v>
      </c>
      <c r="G95">
        <v>2016</v>
      </c>
      <c r="H95" t="s">
        <v>176</v>
      </c>
      <c r="I95" t="s">
        <v>177</v>
      </c>
      <c r="J95" t="s">
        <v>1746</v>
      </c>
      <c r="K95">
        <v>5</v>
      </c>
      <c r="L95" s="506">
        <v>42549</v>
      </c>
      <c r="M95" s="507">
        <v>8000000</v>
      </c>
      <c r="N95" t="s">
        <v>176</v>
      </c>
      <c r="O95" t="s">
        <v>2583</v>
      </c>
      <c r="P95" t="s">
        <v>177</v>
      </c>
      <c r="Q95" t="s">
        <v>3695</v>
      </c>
    </row>
    <row r="96" spans="1:17" x14ac:dyDescent="0.35">
      <c r="A96">
        <v>84</v>
      </c>
      <c r="B96">
        <f t="shared" si="3"/>
        <v>6</v>
      </c>
      <c r="C96" t="str">
        <f t="shared" si="2"/>
        <v>846</v>
      </c>
      <c r="D96" t="s">
        <v>2578</v>
      </c>
      <c r="E96">
        <v>74</v>
      </c>
      <c r="F96">
        <v>311</v>
      </c>
      <c r="G96">
        <v>2015</v>
      </c>
      <c r="H96" t="s">
        <v>176</v>
      </c>
      <c r="I96" t="s">
        <v>177</v>
      </c>
      <c r="J96" t="s">
        <v>1746</v>
      </c>
      <c r="K96">
        <v>1</v>
      </c>
      <c r="L96" s="506">
        <v>42299</v>
      </c>
      <c r="M96" s="507">
        <v>2300000</v>
      </c>
      <c r="N96" t="s">
        <v>176</v>
      </c>
      <c r="O96" t="s">
        <v>2583</v>
      </c>
      <c r="P96" t="s">
        <v>177</v>
      </c>
      <c r="Q96" t="s">
        <v>3059</v>
      </c>
    </row>
    <row r="97" spans="1:17" x14ac:dyDescent="0.35">
      <c r="A97">
        <v>84</v>
      </c>
      <c r="B97">
        <f t="shared" si="3"/>
        <v>7</v>
      </c>
      <c r="C97" t="str">
        <f t="shared" si="2"/>
        <v>847</v>
      </c>
      <c r="D97" t="s">
        <v>2578</v>
      </c>
      <c r="E97">
        <v>74</v>
      </c>
      <c r="F97">
        <v>312</v>
      </c>
      <c r="G97">
        <v>2015</v>
      </c>
      <c r="H97" t="s">
        <v>176</v>
      </c>
      <c r="I97" t="s">
        <v>177</v>
      </c>
      <c r="J97" t="s">
        <v>1746</v>
      </c>
      <c r="K97">
        <v>2</v>
      </c>
      <c r="L97" s="506">
        <v>42278</v>
      </c>
      <c r="M97" s="507">
        <v>102000000</v>
      </c>
      <c r="N97" t="s">
        <v>176</v>
      </c>
      <c r="O97" t="s">
        <v>2583</v>
      </c>
      <c r="P97" t="s">
        <v>177</v>
      </c>
      <c r="Q97" t="s">
        <v>3058</v>
      </c>
    </row>
    <row r="98" spans="1:17" x14ac:dyDescent="0.35">
      <c r="A98">
        <v>84</v>
      </c>
      <c r="B98">
        <f t="shared" si="3"/>
        <v>8</v>
      </c>
      <c r="C98" t="str">
        <f t="shared" si="2"/>
        <v>848</v>
      </c>
      <c r="D98" t="s">
        <v>2578</v>
      </c>
      <c r="E98">
        <v>74</v>
      </c>
      <c r="F98">
        <v>285</v>
      </c>
      <c r="G98">
        <v>2014</v>
      </c>
      <c r="H98" t="s">
        <v>176</v>
      </c>
      <c r="I98" t="s">
        <v>177</v>
      </c>
      <c r="J98" t="s">
        <v>1746</v>
      </c>
      <c r="K98">
        <v>1</v>
      </c>
      <c r="L98" s="506">
        <v>41962</v>
      </c>
      <c r="M98" s="507">
        <v>1389646</v>
      </c>
      <c r="N98" t="s">
        <v>176</v>
      </c>
      <c r="O98" t="s">
        <v>2583</v>
      </c>
      <c r="P98" t="s">
        <v>177</v>
      </c>
      <c r="Q98" t="s">
        <v>2680</v>
      </c>
    </row>
    <row r="99" spans="1:17" x14ac:dyDescent="0.35">
      <c r="A99">
        <v>84</v>
      </c>
      <c r="B99">
        <f t="shared" si="3"/>
        <v>9</v>
      </c>
      <c r="C99" t="str">
        <f t="shared" si="2"/>
        <v>849</v>
      </c>
      <c r="D99" t="s">
        <v>2578</v>
      </c>
      <c r="E99">
        <v>74</v>
      </c>
      <c r="F99">
        <v>286</v>
      </c>
      <c r="G99">
        <v>2014</v>
      </c>
      <c r="H99" t="s">
        <v>176</v>
      </c>
      <c r="I99" t="s">
        <v>177</v>
      </c>
      <c r="J99" t="s">
        <v>1746</v>
      </c>
      <c r="K99">
        <v>2</v>
      </c>
      <c r="L99" s="506">
        <v>41687</v>
      </c>
      <c r="M99" s="507">
        <v>1417795</v>
      </c>
      <c r="N99" t="s">
        <v>176</v>
      </c>
      <c r="O99" t="s">
        <v>2583</v>
      </c>
      <c r="P99" t="s">
        <v>177</v>
      </c>
      <c r="Q99" t="s">
        <v>2681</v>
      </c>
    </row>
    <row r="100" spans="1:17" x14ac:dyDescent="0.35">
      <c r="A100">
        <v>86</v>
      </c>
      <c r="B100">
        <f t="shared" si="3"/>
        <v>1</v>
      </c>
      <c r="C100" t="str">
        <f t="shared" si="2"/>
        <v>861</v>
      </c>
      <c r="D100" t="s">
        <v>504</v>
      </c>
      <c r="E100">
        <v>29</v>
      </c>
      <c r="F100">
        <v>111</v>
      </c>
      <c r="G100">
        <v>2016</v>
      </c>
      <c r="H100" t="s">
        <v>1578</v>
      </c>
      <c r="I100" t="s">
        <v>831</v>
      </c>
      <c r="J100" t="s">
        <v>1746</v>
      </c>
      <c r="K100">
        <v>1</v>
      </c>
      <c r="L100" s="506">
        <v>42383</v>
      </c>
      <c r="M100" s="507">
        <v>5700000</v>
      </c>
      <c r="N100" t="s">
        <v>3696</v>
      </c>
      <c r="O100" t="s">
        <v>2503</v>
      </c>
      <c r="P100" t="s">
        <v>831</v>
      </c>
      <c r="Q100" t="s">
        <v>3697</v>
      </c>
    </row>
    <row r="101" spans="1:17" x14ac:dyDescent="0.35">
      <c r="A101">
        <v>86</v>
      </c>
      <c r="B101">
        <f t="shared" si="3"/>
        <v>2</v>
      </c>
      <c r="C101" t="str">
        <f t="shared" si="2"/>
        <v>862</v>
      </c>
      <c r="D101" t="s">
        <v>504</v>
      </c>
      <c r="E101">
        <v>29</v>
      </c>
      <c r="F101">
        <v>112</v>
      </c>
      <c r="G101">
        <v>2016</v>
      </c>
      <c r="H101" t="s">
        <v>1578</v>
      </c>
      <c r="I101" t="s">
        <v>831</v>
      </c>
      <c r="J101" t="s">
        <v>1746</v>
      </c>
      <c r="K101">
        <v>2</v>
      </c>
      <c r="L101" s="506">
        <v>42390</v>
      </c>
      <c r="M101" s="507">
        <v>1241466</v>
      </c>
      <c r="N101" t="s">
        <v>3060</v>
      </c>
      <c r="O101" t="s">
        <v>2503</v>
      </c>
      <c r="P101" t="s">
        <v>831</v>
      </c>
      <c r="Q101" t="s">
        <v>3698</v>
      </c>
    </row>
    <row r="102" spans="1:17" x14ac:dyDescent="0.35">
      <c r="A102">
        <v>86</v>
      </c>
      <c r="B102">
        <f t="shared" si="3"/>
        <v>3</v>
      </c>
      <c r="C102" t="str">
        <f t="shared" si="2"/>
        <v>863</v>
      </c>
      <c r="D102" t="s">
        <v>504</v>
      </c>
      <c r="E102">
        <v>29</v>
      </c>
      <c r="F102">
        <v>113</v>
      </c>
      <c r="G102">
        <v>2016</v>
      </c>
      <c r="H102" t="s">
        <v>1578</v>
      </c>
      <c r="I102" t="s">
        <v>831</v>
      </c>
      <c r="J102" t="s">
        <v>1746</v>
      </c>
      <c r="K102">
        <v>3</v>
      </c>
      <c r="L102" s="506">
        <v>42375</v>
      </c>
      <c r="M102" s="507">
        <v>2175000</v>
      </c>
      <c r="N102" t="s">
        <v>3696</v>
      </c>
      <c r="O102" t="s">
        <v>2503</v>
      </c>
      <c r="P102" t="s">
        <v>831</v>
      </c>
      <c r="Q102" t="s">
        <v>3699</v>
      </c>
    </row>
    <row r="103" spans="1:17" x14ac:dyDescent="0.35">
      <c r="A103">
        <v>86</v>
      </c>
      <c r="B103">
        <f t="shared" si="3"/>
        <v>4</v>
      </c>
      <c r="C103" t="str">
        <f t="shared" si="2"/>
        <v>864</v>
      </c>
      <c r="D103" t="s">
        <v>504</v>
      </c>
      <c r="E103">
        <v>29</v>
      </c>
      <c r="F103">
        <v>114</v>
      </c>
      <c r="G103">
        <v>2016</v>
      </c>
      <c r="H103" t="s">
        <v>1578</v>
      </c>
      <c r="I103" t="s">
        <v>831</v>
      </c>
      <c r="J103" t="s">
        <v>1746</v>
      </c>
      <c r="K103">
        <v>4</v>
      </c>
      <c r="L103" s="506">
        <v>42384</v>
      </c>
      <c r="M103" s="507">
        <v>1780000</v>
      </c>
      <c r="N103" t="s">
        <v>3696</v>
      </c>
      <c r="O103" t="s">
        <v>2503</v>
      </c>
      <c r="P103" t="s">
        <v>831</v>
      </c>
      <c r="Q103" t="s">
        <v>3700</v>
      </c>
    </row>
    <row r="104" spans="1:17" x14ac:dyDescent="0.35">
      <c r="A104">
        <v>86</v>
      </c>
      <c r="B104">
        <f t="shared" si="3"/>
        <v>5</v>
      </c>
      <c r="C104" t="str">
        <f t="shared" si="2"/>
        <v>865</v>
      </c>
      <c r="D104" t="s">
        <v>504</v>
      </c>
      <c r="E104">
        <v>29</v>
      </c>
      <c r="F104">
        <v>103</v>
      </c>
      <c r="G104">
        <v>2015</v>
      </c>
      <c r="H104" t="s">
        <v>1578</v>
      </c>
      <c r="I104" t="s">
        <v>831</v>
      </c>
      <c r="J104" t="s">
        <v>1746</v>
      </c>
      <c r="K104">
        <v>1</v>
      </c>
      <c r="L104" s="506">
        <v>42256</v>
      </c>
      <c r="M104" s="507">
        <v>1299759</v>
      </c>
      <c r="N104" t="s">
        <v>3060</v>
      </c>
      <c r="O104" t="s">
        <v>2503</v>
      </c>
      <c r="P104" t="s">
        <v>831</v>
      </c>
      <c r="Q104" t="s">
        <v>3061</v>
      </c>
    </row>
    <row r="105" spans="1:17" x14ac:dyDescent="0.35">
      <c r="A105">
        <v>86</v>
      </c>
      <c r="B105">
        <f t="shared" si="3"/>
        <v>6</v>
      </c>
      <c r="C105" t="str">
        <f t="shared" si="2"/>
        <v>866</v>
      </c>
      <c r="D105" t="s">
        <v>504</v>
      </c>
      <c r="E105">
        <v>29</v>
      </c>
      <c r="F105">
        <v>95</v>
      </c>
      <c r="G105">
        <v>2014</v>
      </c>
      <c r="H105" t="s">
        <v>1578</v>
      </c>
      <c r="I105" t="s">
        <v>831</v>
      </c>
      <c r="J105" t="s">
        <v>1746</v>
      </c>
      <c r="K105">
        <v>1</v>
      </c>
      <c r="L105" s="506">
        <v>41995</v>
      </c>
      <c r="M105" s="507">
        <v>3288381</v>
      </c>
      <c r="N105" t="s">
        <v>1578</v>
      </c>
      <c r="O105" t="s">
        <v>2503</v>
      </c>
      <c r="P105" t="s">
        <v>831</v>
      </c>
      <c r="Q105" t="s">
        <v>2682</v>
      </c>
    </row>
    <row r="106" spans="1:17" x14ac:dyDescent="0.35">
      <c r="A106">
        <v>86</v>
      </c>
      <c r="B106">
        <f t="shared" si="3"/>
        <v>7</v>
      </c>
      <c r="C106" t="str">
        <f t="shared" si="2"/>
        <v>867</v>
      </c>
      <c r="D106" t="s">
        <v>504</v>
      </c>
      <c r="E106">
        <v>29</v>
      </c>
      <c r="F106">
        <v>96</v>
      </c>
      <c r="G106">
        <v>2014</v>
      </c>
      <c r="H106" t="s">
        <v>1578</v>
      </c>
      <c r="I106" t="s">
        <v>831</v>
      </c>
      <c r="J106" t="s">
        <v>1746</v>
      </c>
      <c r="K106">
        <v>2</v>
      </c>
      <c r="L106" s="506">
        <v>41801</v>
      </c>
      <c r="M106" s="507">
        <v>2055000</v>
      </c>
      <c r="N106" t="s">
        <v>2683</v>
      </c>
      <c r="O106" t="s">
        <v>2684</v>
      </c>
      <c r="P106" t="s">
        <v>2615</v>
      </c>
      <c r="Q106" t="s">
        <v>2685</v>
      </c>
    </row>
    <row r="107" spans="1:17" x14ac:dyDescent="0.35">
      <c r="A107">
        <v>86</v>
      </c>
      <c r="B107">
        <f t="shared" si="3"/>
        <v>8</v>
      </c>
      <c r="C107" t="str">
        <f t="shared" si="2"/>
        <v>868</v>
      </c>
      <c r="D107" t="s">
        <v>504</v>
      </c>
      <c r="E107">
        <v>29</v>
      </c>
      <c r="F107">
        <v>97</v>
      </c>
      <c r="G107">
        <v>2014</v>
      </c>
      <c r="H107" t="s">
        <v>1578</v>
      </c>
      <c r="I107" t="s">
        <v>831</v>
      </c>
      <c r="J107" t="s">
        <v>1746</v>
      </c>
      <c r="K107">
        <v>3</v>
      </c>
      <c r="L107" s="506">
        <v>41883</v>
      </c>
      <c r="M107" s="507">
        <v>170000000</v>
      </c>
      <c r="N107" t="s">
        <v>2686</v>
      </c>
      <c r="O107" t="s">
        <v>2503</v>
      </c>
      <c r="P107" t="s">
        <v>2615</v>
      </c>
      <c r="Q107" t="s">
        <v>2687</v>
      </c>
    </row>
    <row r="108" spans="1:17" x14ac:dyDescent="0.35">
      <c r="A108">
        <v>90</v>
      </c>
      <c r="B108">
        <f t="shared" si="3"/>
        <v>1</v>
      </c>
      <c r="C108" t="str">
        <f t="shared" si="2"/>
        <v>901</v>
      </c>
      <c r="D108" t="s">
        <v>1691</v>
      </c>
      <c r="E108">
        <v>213</v>
      </c>
      <c r="F108">
        <v>41</v>
      </c>
      <c r="G108">
        <v>2016</v>
      </c>
      <c r="H108" t="s">
        <v>2688</v>
      </c>
      <c r="I108" t="s">
        <v>201</v>
      </c>
      <c r="J108" t="s">
        <v>1746</v>
      </c>
      <c r="K108">
        <v>1</v>
      </c>
      <c r="L108" s="506">
        <v>42286</v>
      </c>
      <c r="M108" s="507">
        <v>3200000</v>
      </c>
      <c r="N108" t="s">
        <v>3701</v>
      </c>
      <c r="O108" t="s">
        <v>3702</v>
      </c>
      <c r="P108" t="s">
        <v>201</v>
      </c>
      <c r="Q108" t="s">
        <v>3703</v>
      </c>
    </row>
    <row r="109" spans="1:17" x14ac:dyDescent="0.35">
      <c r="A109">
        <v>90</v>
      </c>
      <c r="B109">
        <f t="shared" si="3"/>
        <v>2</v>
      </c>
      <c r="C109" t="str">
        <f t="shared" si="2"/>
        <v>902</v>
      </c>
      <c r="D109" t="s">
        <v>1691</v>
      </c>
      <c r="E109">
        <v>213</v>
      </c>
      <c r="F109">
        <v>37</v>
      </c>
      <c r="G109">
        <v>2015</v>
      </c>
      <c r="H109" t="s">
        <v>2688</v>
      </c>
      <c r="I109" t="s">
        <v>201</v>
      </c>
      <c r="J109" t="s">
        <v>1746</v>
      </c>
      <c r="K109">
        <v>1</v>
      </c>
      <c r="L109" s="506">
        <v>42125</v>
      </c>
      <c r="M109" s="507">
        <v>2500000</v>
      </c>
      <c r="N109" t="s">
        <v>1814</v>
      </c>
      <c r="O109" t="s">
        <v>2689</v>
      </c>
      <c r="P109" t="s">
        <v>201</v>
      </c>
      <c r="Q109" t="s">
        <v>2690</v>
      </c>
    </row>
    <row r="110" spans="1:17" x14ac:dyDescent="0.35">
      <c r="A110">
        <v>90</v>
      </c>
      <c r="B110">
        <f t="shared" si="3"/>
        <v>3</v>
      </c>
      <c r="C110" t="str">
        <f t="shared" si="2"/>
        <v>903</v>
      </c>
      <c r="D110" t="s">
        <v>1691</v>
      </c>
      <c r="E110">
        <v>213</v>
      </c>
      <c r="F110">
        <v>29</v>
      </c>
      <c r="G110">
        <v>2014</v>
      </c>
      <c r="H110" t="s">
        <v>2688</v>
      </c>
      <c r="I110" t="s">
        <v>201</v>
      </c>
      <c r="J110" t="s">
        <v>1746</v>
      </c>
      <c r="K110">
        <v>1</v>
      </c>
      <c r="L110" s="506">
        <v>41760</v>
      </c>
      <c r="M110" s="507">
        <v>3700000</v>
      </c>
      <c r="N110" t="s">
        <v>1814</v>
      </c>
      <c r="O110" t="s">
        <v>2689</v>
      </c>
      <c r="P110" t="s">
        <v>201</v>
      </c>
      <c r="Q110" t="s">
        <v>2690</v>
      </c>
    </row>
    <row r="111" spans="1:17" x14ac:dyDescent="0.35">
      <c r="A111">
        <v>94</v>
      </c>
      <c r="B111">
        <f t="shared" si="3"/>
        <v>1</v>
      </c>
      <c r="C111" t="str">
        <f t="shared" si="2"/>
        <v>941</v>
      </c>
      <c r="D111" t="s">
        <v>1841</v>
      </c>
      <c r="E111">
        <v>57</v>
      </c>
      <c r="F111">
        <v>8</v>
      </c>
      <c r="G111">
        <v>2014</v>
      </c>
      <c r="H111" t="s">
        <v>2691</v>
      </c>
      <c r="I111" t="s">
        <v>217</v>
      </c>
      <c r="J111" t="s">
        <v>1746</v>
      </c>
      <c r="K111">
        <v>1</v>
      </c>
      <c r="L111" s="506">
        <v>41424</v>
      </c>
      <c r="M111" s="507">
        <v>1143500</v>
      </c>
      <c r="N111" t="s">
        <v>2692</v>
      </c>
      <c r="O111" t="s">
        <v>2693</v>
      </c>
      <c r="P111" t="s">
        <v>217</v>
      </c>
      <c r="Q111" t="s">
        <v>2694</v>
      </c>
    </row>
    <row r="112" spans="1:17" x14ac:dyDescent="0.35">
      <c r="A112">
        <v>100</v>
      </c>
      <c r="B112">
        <f t="shared" si="3"/>
        <v>1</v>
      </c>
      <c r="C112" t="str">
        <f t="shared" si="2"/>
        <v>1001</v>
      </c>
      <c r="D112" t="s">
        <v>1087</v>
      </c>
      <c r="E112">
        <v>46</v>
      </c>
      <c r="F112">
        <v>336</v>
      </c>
      <c r="G112">
        <v>2015</v>
      </c>
      <c r="H112" t="s">
        <v>3062</v>
      </c>
      <c r="I112" t="s">
        <v>1078</v>
      </c>
      <c r="J112" t="s">
        <v>1746</v>
      </c>
      <c r="K112">
        <v>1</v>
      </c>
      <c r="L112" s="506">
        <v>42055</v>
      </c>
      <c r="M112" s="507">
        <v>15000000</v>
      </c>
      <c r="N112" t="s">
        <v>3044</v>
      </c>
      <c r="O112" t="s">
        <v>3045</v>
      </c>
      <c r="P112" t="s">
        <v>1078</v>
      </c>
      <c r="Q112" t="s">
        <v>3046</v>
      </c>
    </row>
    <row r="113" spans="1:17" x14ac:dyDescent="0.35">
      <c r="A113">
        <v>100</v>
      </c>
      <c r="B113">
        <f t="shared" si="3"/>
        <v>2</v>
      </c>
      <c r="C113" t="str">
        <f t="shared" si="2"/>
        <v>1002</v>
      </c>
      <c r="D113" t="s">
        <v>1087</v>
      </c>
      <c r="E113">
        <v>46</v>
      </c>
      <c r="F113">
        <v>337</v>
      </c>
      <c r="G113">
        <v>2015</v>
      </c>
      <c r="H113" t="s">
        <v>3062</v>
      </c>
      <c r="I113" t="s">
        <v>1078</v>
      </c>
      <c r="J113" t="s">
        <v>1746</v>
      </c>
      <c r="K113">
        <v>2</v>
      </c>
      <c r="L113" s="506">
        <v>41865</v>
      </c>
      <c r="M113" s="507">
        <v>2218483</v>
      </c>
      <c r="N113" t="s">
        <v>3063</v>
      </c>
      <c r="O113" t="s">
        <v>3064</v>
      </c>
      <c r="P113" t="s">
        <v>3065</v>
      </c>
      <c r="Q113" t="s">
        <v>3066</v>
      </c>
    </row>
    <row r="114" spans="1:17" x14ac:dyDescent="0.35">
      <c r="A114">
        <v>102</v>
      </c>
      <c r="B114">
        <f t="shared" si="3"/>
        <v>1</v>
      </c>
      <c r="C114" t="str">
        <f t="shared" si="2"/>
        <v>1021</v>
      </c>
      <c r="D114" t="s">
        <v>1505</v>
      </c>
      <c r="E114">
        <v>208</v>
      </c>
      <c r="F114">
        <v>11</v>
      </c>
      <c r="G114">
        <v>2016</v>
      </c>
      <c r="H114" t="s">
        <v>2094</v>
      </c>
      <c r="I114" t="s">
        <v>1192</v>
      </c>
      <c r="J114" t="s">
        <v>1746</v>
      </c>
      <c r="K114">
        <v>1</v>
      </c>
      <c r="L114" s="506">
        <v>42276</v>
      </c>
      <c r="M114" s="507">
        <v>1054274</v>
      </c>
      <c r="N114" t="s">
        <v>2094</v>
      </c>
      <c r="O114" t="s">
        <v>3704</v>
      </c>
      <c r="P114" t="s">
        <v>1192</v>
      </c>
      <c r="Q114" t="s">
        <v>3705</v>
      </c>
    </row>
    <row r="115" spans="1:17" x14ac:dyDescent="0.35">
      <c r="A115">
        <v>102</v>
      </c>
      <c r="B115">
        <f t="shared" si="3"/>
        <v>2</v>
      </c>
      <c r="C115" t="str">
        <f t="shared" si="2"/>
        <v>1022</v>
      </c>
      <c r="D115" t="s">
        <v>1505</v>
      </c>
      <c r="E115">
        <v>208</v>
      </c>
      <c r="F115">
        <v>12</v>
      </c>
      <c r="G115">
        <v>2016</v>
      </c>
      <c r="H115" t="s">
        <v>2094</v>
      </c>
      <c r="I115" t="s">
        <v>1192</v>
      </c>
      <c r="J115" t="s">
        <v>1746</v>
      </c>
      <c r="K115">
        <v>2</v>
      </c>
      <c r="L115" s="506">
        <v>42398</v>
      </c>
      <c r="M115" s="507">
        <v>1094101</v>
      </c>
      <c r="N115" t="s">
        <v>2094</v>
      </c>
      <c r="O115" t="s">
        <v>3704</v>
      </c>
      <c r="P115" t="s">
        <v>1192</v>
      </c>
      <c r="Q115" t="s">
        <v>3706</v>
      </c>
    </row>
    <row r="116" spans="1:17" x14ac:dyDescent="0.35">
      <c r="A116">
        <v>102</v>
      </c>
      <c r="B116">
        <f t="shared" si="3"/>
        <v>3</v>
      </c>
      <c r="C116" t="str">
        <f t="shared" si="2"/>
        <v>1023</v>
      </c>
      <c r="D116" t="s">
        <v>1505</v>
      </c>
      <c r="E116">
        <v>208</v>
      </c>
      <c r="F116">
        <v>13</v>
      </c>
      <c r="G116">
        <v>2016</v>
      </c>
      <c r="H116" t="s">
        <v>2094</v>
      </c>
      <c r="I116" t="s">
        <v>1192</v>
      </c>
      <c r="J116" t="s">
        <v>1746</v>
      </c>
      <c r="K116">
        <v>3</v>
      </c>
      <c r="L116" s="506">
        <v>42534</v>
      </c>
      <c r="M116" s="507">
        <v>1264291</v>
      </c>
      <c r="N116" t="s">
        <v>2094</v>
      </c>
      <c r="O116" t="s">
        <v>3704</v>
      </c>
      <c r="P116" t="s">
        <v>1192</v>
      </c>
      <c r="Q116" t="s">
        <v>3707</v>
      </c>
    </row>
    <row r="117" spans="1:17" x14ac:dyDescent="0.35">
      <c r="A117">
        <v>102</v>
      </c>
      <c r="B117">
        <f t="shared" si="3"/>
        <v>4</v>
      </c>
      <c r="C117" t="str">
        <f t="shared" si="2"/>
        <v>1024</v>
      </c>
      <c r="D117" t="s">
        <v>1505</v>
      </c>
      <c r="E117">
        <v>208</v>
      </c>
      <c r="F117">
        <v>9</v>
      </c>
      <c r="G117">
        <v>2015</v>
      </c>
      <c r="H117" t="s">
        <v>2094</v>
      </c>
      <c r="I117" t="s">
        <v>1192</v>
      </c>
      <c r="J117" t="s">
        <v>1746</v>
      </c>
      <c r="K117">
        <v>1</v>
      </c>
      <c r="L117" s="506">
        <v>42401</v>
      </c>
      <c r="M117" s="507">
        <v>2500000</v>
      </c>
      <c r="N117" t="s">
        <v>2094</v>
      </c>
      <c r="O117" t="s">
        <v>2618</v>
      </c>
      <c r="P117" t="s">
        <v>1192</v>
      </c>
      <c r="Q117" t="s">
        <v>3067</v>
      </c>
    </row>
    <row r="118" spans="1:17" x14ac:dyDescent="0.35">
      <c r="A118">
        <v>103</v>
      </c>
      <c r="B118">
        <f t="shared" si="3"/>
        <v>1</v>
      </c>
      <c r="C118" t="str">
        <f t="shared" si="2"/>
        <v>1031</v>
      </c>
      <c r="D118" t="s">
        <v>1059</v>
      </c>
      <c r="E118">
        <v>24</v>
      </c>
      <c r="F118">
        <v>69</v>
      </c>
      <c r="G118">
        <v>2016</v>
      </c>
      <c r="H118" t="s">
        <v>286</v>
      </c>
      <c r="I118" t="s">
        <v>287</v>
      </c>
      <c r="J118" t="s">
        <v>1746</v>
      </c>
      <c r="K118">
        <v>1</v>
      </c>
      <c r="L118" s="506">
        <v>42445</v>
      </c>
      <c r="M118" s="507">
        <v>3410000</v>
      </c>
      <c r="N118" t="s">
        <v>286</v>
      </c>
      <c r="O118" t="s">
        <v>2614</v>
      </c>
      <c r="P118" t="s">
        <v>287</v>
      </c>
      <c r="Q118" t="s">
        <v>2755</v>
      </c>
    </row>
    <row r="119" spans="1:17" x14ac:dyDescent="0.35">
      <c r="A119">
        <v>103</v>
      </c>
      <c r="B119">
        <f t="shared" si="3"/>
        <v>2</v>
      </c>
      <c r="C119" t="str">
        <f t="shared" si="2"/>
        <v>1032</v>
      </c>
      <c r="D119" t="s">
        <v>1059</v>
      </c>
      <c r="E119">
        <v>24</v>
      </c>
      <c r="F119">
        <v>63</v>
      </c>
      <c r="G119">
        <v>2015</v>
      </c>
      <c r="H119" t="s">
        <v>286</v>
      </c>
      <c r="I119" t="s">
        <v>287</v>
      </c>
      <c r="J119" t="s">
        <v>1746</v>
      </c>
      <c r="K119">
        <v>1</v>
      </c>
      <c r="L119" s="506">
        <v>42081</v>
      </c>
      <c r="M119" s="507">
        <v>1734934</v>
      </c>
      <c r="N119" t="s">
        <v>3084</v>
      </c>
      <c r="O119" t="s">
        <v>3085</v>
      </c>
      <c r="P119" t="s">
        <v>3086</v>
      </c>
      <c r="Q119" t="s">
        <v>3087</v>
      </c>
    </row>
    <row r="120" spans="1:17" x14ac:dyDescent="0.35">
      <c r="A120">
        <v>103</v>
      </c>
      <c r="B120">
        <f t="shared" si="3"/>
        <v>3</v>
      </c>
      <c r="C120" t="str">
        <f t="shared" si="2"/>
        <v>1033</v>
      </c>
      <c r="D120" t="s">
        <v>1059</v>
      </c>
      <c r="E120">
        <v>24</v>
      </c>
      <c r="F120">
        <v>64</v>
      </c>
      <c r="G120">
        <v>2015</v>
      </c>
      <c r="H120" t="s">
        <v>286</v>
      </c>
      <c r="I120" t="s">
        <v>287</v>
      </c>
      <c r="J120" t="s">
        <v>1746</v>
      </c>
      <c r="K120">
        <v>2</v>
      </c>
      <c r="L120" s="506">
        <v>42172</v>
      </c>
      <c r="M120" s="507">
        <v>2351895</v>
      </c>
      <c r="N120" t="s">
        <v>3080</v>
      </c>
      <c r="O120" t="s">
        <v>3081</v>
      </c>
      <c r="P120" t="s">
        <v>3082</v>
      </c>
      <c r="Q120" t="s">
        <v>3083</v>
      </c>
    </row>
    <row r="121" spans="1:17" x14ac:dyDescent="0.35">
      <c r="A121">
        <v>103</v>
      </c>
      <c r="B121">
        <f t="shared" si="3"/>
        <v>4</v>
      </c>
      <c r="C121" t="str">
        <f t="shared" si="2"/>
        <v>1034</v>
      </c>
      <c r="D121" t="s">
        <v>1059</v>
      </c>
      <c r="E121">
        <v>24</v>
      </c>
      <c r="F121">
        <v>65</v>
      </c>
      <c r="G121">
        <v>2015</v>
      </c>
      <c r="H121" t="s">
        <v>286</v>
      </c>
      <c r="I121" t="s">
        <v>287</v>
      </c>
      <c r="J121" t="s">
        <v>1746</v>
      </c>
      <c r="K121">
        <v>3</v>
      </c>
      <c r="L121" s="506">
        <v>42081</v>
      </c>
      <c r="M121" s="507">
        <v>1700613</v>
      </c>
      <c r="N121" t="s">
        <v>3077</v>
      </c>
      <c r="O121" t="s">
        <v>3078</v>
      </c>
      <c r="P121" t="s">
        <v>3079</v>
      </c>
      <c r="Q121" t="s">
        <v>3077</v>
      </c>
    </row>
    <row r="122" spans="1:17" x14ac:dyDescent="0.35">
      <c r="A122">
        <v>103</v>
      </c>
      <c r="B122">
        <f t="shared" si="3"/>
        <v>5</v>
      </c>
      <c r="C122" t="str">
        <f t="shared" si="2"/>
        <v>1035</v>
      </c>
      <c r="D122" t="s">
        <v>1059</v>
      </c>
      <c r="E122">
        <v>24</v>
      </c>
      <c r="F122">
        <v>66</v>
      </c>
      <c r="G122">
        <v>2015</v>
      </c>
      <c r="H122" t="s">
        <v>286</v>
      </c>
      <c r="I122" t="s">
        <v>287</v>
      </c>
      <c r="J122" t="s">
        <v>1746</v>
      </c>
      <c r="K122">
        <v>4</v>
      </c>
      <c r="L122" s="506">
        <v>42369</v>
      </c>
      <c r="M122" s="507">
        <v>3200000</v>
      </c>
      <c r="N122" t="s">
        <v>3073</v>
      </c>
      <c r="O122" t="s">
        <v>3074</v>
      </c>
      <c r="P122" t="s">
        <v>3075</v>
      </c>
      <c r="Q122" t="s">
        <v>3076</v>
      </c>
    </row>
    <row r="123" spans="1:17" x14ac:dyDescent="0.35">
      <c r="A123">
        <v>103</v>
      </c>
      <c r="B123">
        <f t="shared" si="3"/>
        <v>6</v>
      </c>
      <c r="C123" t="str">
        <f t="shared" si="2"/>
        <v>1036</v>
      </c>
      <c r="D123" t="s">
        <v>1059</v>
      </c>
      <c r="E123">
        <v>24</v>
      </c>
      <c r="F123">
        <v>67</v>
      </c>
      <c r="G123">
        <v>2015</v>
      </c>
      <c r="H123" t="s">
        <v>286</v>
      </c>
      <c r="I123" t="s">
        <v>287</v>
      </c>
      <c r="J123" t="s">
        <v>1746</v>
      </c>
      <c r="K123">
        <v>5</v>
      </c>
      <c r="L123" s="506">
        <v>42221</v>
      </c>
      <c r="M123" s="507">
        <v>1419632</v>
      </c>
      <c r="N123" t="s">
        <v>3070</v>
      </c>
      <c r="O123" t="s">
        <v>3071</v>
      </c>
      <c r="P123" t="s">
        <v>287</v>
      </c>
      <c r="Q123" t="s">
        <v>3072</v>
      </c>
    </row>
    <row r="124" spans="1:17" x14ac:dyDescent="0.35">
      <c r="A124">
        <v>103</v>
      </c>
      <c r="B124">
        <f t="shared" si="3"/>
        <v>7</v>
      </c>
      <c r="C124" t="str">
        <f t="shared" si="2"/>
        <v>1037</v>
      </c>
      <c r="D124" t="s">
        <v>1059</v>
      </c>
      <c r="E124">
        <v>24</v>
      </c>
      <c r="F124">
        <v>68</v>
      </c>
      <c r="G124">
        <v>2015</v>
      </c>
      <c r="H124" t="s">
        <v>286</v>
      </c>
      <c r="I124" t="s">
        <v>287</v>
      </c>
      <c r="J124" t="s">
        <v>1746</v>
      </c>
      <c r="K124">
        <v>6</v>
      </c>
      <c r="L124" s="506">
        <v>42172</v>
      </c>
      <c r="M124" s="507">
        <v>1458366</v>
      </c>
      <c r="N124" t="s">
        <v>3068</v>
      </c>
      <c r="O124" t="s">
        <v>2614</v>
      </c>
      <c r="P124" t="s">
        <v>287</v>
      </c>
      <c r="Q124" t="s">
        <v>3069</v>
      </c>
    </row>
    <row r="125" spans="1:17" x14ac:dyDescent="0.35">
      <c r="A125">
        <v>103</v>
      </c>
      <c r="B125">
        <f t="shared" si="3"/>
        <v>8</v>
      </c>
      <c r="C125" t="str">
        <f t="shared" si="2"/>
        <v>1038</v>
      </c>
      <c r="D125" t="s">
        <v>1059</v>
      </c>
      <c r="E125">
        <v>24</v>
      </c>
      <c r="F125">
        <v>59</v>
      </c>
      <c r="G125">
        <v>2014</v>
      </c>
      <c r="H125" t="s">
        <v>286</v>
      </c>
      <c r="I125" t="s">
        <v>287</v>
      </c>
      <c r="J125" t="s">
        <v>1746</v>
      </c>
      <c r="K125">
        <v>1</v>
      </c>
      <c r="L125" s="506">
        <v>42271</v>
      </c>
      <c r="M125" s="507">
        <v>2800000</v>
      </c>
      <c r="N125" t="s">
        <v>1059</v>
      </c>
      <c r="O125" t="s">
        <v>2614</v>
      </c>
      <c r="P125" t="s">
        <v>287</v>
      </c>
      <c r="Q125" t="s">
        <v>2695</v>
      </c>
    </row>
    <row r="126" spans="1:17" x14ac:dyDescent="0.35">
      <c r="A126">
        <v>103</v>
      </c>
      <c r="B126">
        <f t="shared" si="3"/>
        <v>9</v>
      </c>
      <c r="C126" t="str">
        <f t="shared" si="2"/>
        <v>1039</v>
      </c>
      <c r="D126" t="s">
        <v>1059</v>
      </c>
      <c r="E126">
        <v>24</v>
      </c>
      <c r="F126">
        <v>60</v>
      </c>
      <c r="G126">
        <v>2014</v>
      </c>
      <c r="H126" t="s">
        <v>286</v>
      </c>
      <c r="I126" t="s">
        <v>287</v>
      </c>
      <c r="J126" t="s">
        <v>1746</v>
      </c>
      <c r="K126">
        <v>2</v>
      </c>
      <c r="L126" s="506">
        <v>41884</v>
      </c>
      <c r="M126" s="507">
        <v>1785705</v>
      </c>
      <c r="N126" t="s">
        <v>1059</v>
      </c>
      <c r="O126" t="s">
        <v>2614</v>
      </c>
      <c r="P126" t="s">
        <v>287</v>
      </c>
      <c r="Q126" t="s">
        <v>2696</v>
      </c>
    </row>
    <row r="127" spans="1:17" x14ac:dyDescent="0.35">
      <c r="A127">
        <v>103</v>
      </c>
      <c r="B127">
        <f t="shared" si="3"/>
        <v>10</v>
      </c>
      <c r="C127" t="str">
        <f t="shared" si="2"/>
        <v>10310</v>
      </c>
      <c r="D127" t="s">
        <v>1059</v>
      </c>
      <c r="E127">
        <v>24</v>
      </c>
      <c r="F127">
        <v>61</v>
      </c>
      <c r="G127">
        <v>2014</v>
      </c>
      <c r="H127" t="s">
        <v>286</v>
      </c>
      <c r="I127" t="s">
        <v>287</v>
      </c>
      <c r="J127" t="s">
        <v>1746</v>
      </c>
      <c r="K127">
        <v>3</v>
      </c>
      <c r="L127" s="506">
        <v>41906</v>
      </c>
      <c r="M127" s="507">
        <v>2796350</v>
      </c>
      <c r="N127" t="s">
        <v>1059</v>
      </c>
      <c r="O127" t="s">
        <v>2614</v>
      </c>
      <c r="P127" t="s">
        <v>287</v>
      </c>
      <c r="Q127" t="s">
        <v>2697</v>
      </c>
    </row>
    <row r="128" spans="1:17" x14ac:dyDescent="0.35">
      <c r="A128">
        <v>103</v>
      </c>
      <c r="B128">
        <f t="shared" si="3"/>
        <v>11</v>
      </c>
      <c r="C128" t="str">
        <f t="shared" si="2"/>
        <v>10311</v>
      </c>
      <c r="D128" t="s">
        <v>1059</v>
      </c>
      <c r="E128">
        <v>24</v>
      </c>
      <c r="F128">
        <v>62</v>
      </c>
      <c r="G128">
        <v>2014</v>
      </c>
      <c r="H128" t="s">
        <v>286</v>
      </c>
      <c r="I128" t="s">
        <v>287</v>
      </c>
      <c r="J128" t="s">
        <v>1746</v>
      </c>
      <c r="K128">
        <v>4</v>
      </c>
      <c r="L128" s="506">
        <v>41739</v>
      </c>
      <c r="M128" s="507">
        <v>6300000</v>
      </c>
      <c r="N128" t="s">
        <v>1059</v>
      </c>
      <c r="O128" t="s">
        <v>2614</v>
      </c>
      <c r="P128" t="s">
        <v>287</v>
      </c>
      <c r="Q128" t="s">
        <v>2698</v>
      </c>
    </row>
    <row r="129" spans="1:17" x14ac:dyDescent="0.35">
      <c r="A129">
        <v>105</v>
      </c>
      <c r="B129">
        <f t="shared" si="3"/>
        <v>1</v>
      </c>
      <c r="C129" t="str">
        <f t="shared" si="2"/>
        <v>1051</v>
      </c>
      <c r="D129" t="s">
        <v>2104</v>
      </c>
      <c r="E129">
        <v>26</v>
      </c>
      <c r="F129">
        <v>10</v>
      </c>
      <c r="G129">
        <v>2014</v>
      </c>
      <c r="H129" t="s">
        <v>2104</v>
      </c>
      <c r="I129" t="s">
        <v>240</v>
      </c>
      <c r="J129" t="s">
        <v>1746</v>
      </c>
      <c r="K129">
        <v>1</v>
      </c>
      <c r="L129" s="506">
        <v>41879</v>
      </c>
      <c r="M129" s="507">
        <v>6300000</v>
      </c>
      <c r="N129" t="s">
        <v>2104</v>
      </c>
      <c r="O129" t="s">
        <v>2699</v>
      </c>
      <c r="P129" t="s">
        <v>240</v>
      </c>
      <c r="Q129" t="s">
        <v>2700</v>
      </c>
    </row>
    <row r="130" spans="1:17" x14ac:dyDescent="0.35">
      <c r="A130">
        <v>105</v>
      </c>
      <c r="B130">
        <f t="shared" si="3"/>
        <v>2</v>
      </c>
      <c r="C130" t="str">
        <f t="shared" si="2"/>
        <v>1052</v>
      </c>
      <c r="D130" t="s">
        <v>2104</v>
      </c>
      <c r="E130">
        <v>26</v>
      </c>
      <c r="F130">
        <v>11</v>
      </c>
      <c r="G130">
        <v>2014</v>
      </c>
      <c r="H130" t="s">
        <v>2104</v>
      </c>
      <c r="I130" t="s">
        <v>240</v>
      </c>
      <c r="J130" t="s">
        <v>1746</v>
      </c>
      <c r="K130">
        <v>2</v>
      </c>
      <c r="L130" s="506">
        <v>41788</v>
      </c>
      <c r="M130" s="507">
        <v>1850000</v>
      </c>
      <c r="N130" t="s">
        <v>2104</v>
      </c>
      <c r="O130" t="s">
        <v>2699</v>
      </c>
      <c r="P130" t="s">
        <v>240</v>
      </c>
      <c r="Q130" t="s">
        <v>2309</v>
      </c>
    </row>
    <row r="131" spans="1:17" x14ac:dyDescent="0.35">
      <c r="A131">
        <v>107</v>
      </c>
      <c r="B131">
        <f t="shared" si="3"/>
        <v>1</v>
      </c>
      <c r="C131" t="str">
        <f t="shared" si="2"/>
        <v>1071</v>
      </c>
      <c r="D131" t="s">
        <v>1698</v>
      </c>
      <c r="E131">
        <v>28</v>
      </c>
      <c r="F131">
        <v>9</v>
      </c>
      <c r="G131">
        <v>2014</v>
      </c>
      <c r="H131" t="s">
        <v>1698</v>
      </c>
      <c r="I131" t="s">
        <v>1061</v>
      </c>
      <c r="J131" t="s">
        <v>1746</v>
      </c>
      <c r="K131">
        <v>1</v>
      </c>
      <c r="L131" s="506">
        <v>41969</v>
      </c>
      <c r="M131" s="507">
        <v>2099796</v>
      </c>
      <c r="N131" t="s">
        <v>2701</v>
      </c>
      <c r="O131" t="s">
        <v>2702</v>
      </c>
      <c r="P131" t="s">
        <v>1061</v>
      </c>
      <c r="Q131" t="s">
        <v>2703</v>
      </c>
    </row>
    <row r="132" spans="1:17" x14ac:dyDescent="0.35">
      <c r="A132">
        <v>113</v>
      </c>
      <c r="B132">
        <f t="shared" si="3"/>
        <v>1</v>
      </c>
      <c r="C132" t="str">
        <f t="shared" ref="C132:C195" si="4">CONCATENATE(A132,B132)</f>
        <v>1131</v>
      </c>
      <c r="D132" t="s">
        <v>1632</v>
      </c>
      <c r="E132">
        <v>218</v>
      </c>
      <c r="F132">
        <v>3</v>
      </c>
      <c r="G132">
        <v>2015</v>
      </c>
      <c r="H132" t="s">
        <v>299</v>
      </c>
      <c r="I132" t="s">
        <v>300</v>
      </c>
      <c r="J132" t="s">
        <v>1746</v>
      </c>
      <c r="K132">
        <v>1</v>
      </c>
      <c r="L132" s="506">
        <v>41876</v>
      </c>
      <c r="M132" s="507">
        <v>23323000</v>
      </c>
      <c r="N132" t="s">
        <v>3088</v>
      </c>
      <c r="O132" t="s">
        <v>3089</v>
      </c>
      <c r="P132" t="s">
        <v>3090</v>
      </c>
      <c r="Q132" t="s">
        <v>3091</v>
      </c>
    </row>
    <row r="133" spans="1:17" x14ac:dyDescent="0.35">
      <c r="A133">
        <v>115</v>
      </c>
      <c r="B133">
        <f t="shared" ref="B133:B196" si="5">IF(A133=A132,B132+1,1)</f>
        <v>1</v>
      </c>
      <c r="C133" t="str">
        <f t="shared" si="4"/>
        <v>1151</v>
      </c>
      <c r="D133" t="s">
        <v>2578</v>
      </c>
      <c r="E133">
        <v>74</v>
      </c>
      <c r="F133">
        <v>339</v>
      </c>
      <c r="G133">
        <v>2016</v>
      </c>
      <c r="H133" t="s">
        <v>2704</v>
      </c>
      <c r="I133" t="s">
        <v>534</v>
      </c>
      <c r="J133" t="s">
        <v>1746</v>
      </c>
      <c r="K133">
        <v>1</v>
      </c>
      <c r="L133" s="506">
        <v>42521</v>
      </c>
      <c r="M133" s="507">
        <v>6400000</v>
      </c>
      <c r="N133" t="s">
        <v>2704</v>
      </c>
      <c r="O133" t="s">
        <v>3092</v>
      </c>
      <c r="P133" t="s">
        <v>3708</v>
      </c>
      <c r="Q133" t="s">
        <v>3709</v>
      </c>
    </row>
    <row r="134" spans="1:17" x14ac:dyDescent="0.35">
      <c r="A134">
        <v>115</v>
      </c>
      <c r="B134">
        <f t="shared" si="5"/>
        <v>2</v>
      </c>
      <c r="C134" t="str">
        <f t="shared" si="4"/>
        <v>1152</v>
      </c>
      <c r="D134" t="s">
        <v>2578</v>
      </c>
      <c r="E134">
        <v>74</v>
      </c>
      <c r="F134">
        <v>313</v>
      </c>
      <c r="G134">
        <v>2015</v>
      </c>
      <c r="H134" t="s">
        <v>2704</v>
      </c>
      <c r="I134" t="s">
        <v>534</v>
      </c>
      <c r="J134" t="s">
        <v>1746</v>
      </c>
      <c r="K134">
        <v>1</v>
      </c>
      <c r="L134" s="506">
        <v>42278</v>
      </c>
      <c r="M134" s="507">
        <v>1100000</v>
      </c>
      <c r="N134" t="s">
        <v>2704</v>
      </c>
      <c r="O134" t="s">
        <v>3092</v>
      </c>
      <c r="P134" t="s">
        <v>534</v>
      </c>
      <c r="Q134" t="s">
        <v>3093</v>
      </c>
    </row>
    <row r="135" spans="1:17" x14ac:dyDescent="0.35">
      <c r="A135">
        <v>115</v>
      </c>
      <c r="B135">
        <f t="shared" si="5"/>
        <v>3</v>
      </c>
      <c r="C135" t="str">
        <f t="shared" si="4"/>
        <v>1153</v>
      </c>
      <c r="D135" t="s">
        <v>2578</v>
      </c>
      <c r="E135">
        <v>74</v>
      </c>
      <c r="F135">
        <v>287</v>
      </c>
      <c r="G135">
        <v>2014</v>
      </c>
      <c r="H135" t="s">
        <v>2704</v>
      </c>
      <c r="I135" t="s">
        <v>534</v>
      </c>
      <c r="J135" t="s">
        <v>1746</v>
      </c>
      <c r="K135">
        <v>1</v>
      </c>
      <c r="L135" s="506">
        <v>41517</v>
      </c>
      <c r="M135" s="507">
        <v>10500000</v>
      </c>
      <c r="N135" t="s">
        <v>2704</v>
      </c>
      <c r="O135" t="s">
        <v>2705</v>
      </c>
      <c r="P135" t="s">
        <v>534</v>
      </c>
      <c r="Q135" t="s">
        <v>2706</v>
      </c>
    </row>
    <row r="136" spans="1:17" x14ac:dyDescent="0.35">
      <c r="A136">
        <v>116</v>
      </c>
      <c r="B136">
        <f t="shared" si="5"/>
        <v>1</v>
      </c>
      <c r="C136" t="str">
        <f t="shared" si="4"/>
        <v>1161</v>
      </c>
      <c r="D136" t="s">
        <v>244</v>
      </c>
      <c r="E136">
        <v>214</v>
      </c>
      <c r="F136">
        <v>2</v>
      </c>
      <c r="G136">
        <v>2015</v>
      </c>
      <c r="H136" t="s">
        <v>244</v>
      </c>
      <c r="I136" t="s">
        <v>245</v>
      </c>
      <c r="J136" t="s">
        <v>1746</v>
      </c>
      <c r="K136">
        <v>1</v>
      </c>
      <c r="L136" s="506">
        <v>42023</v>
      </c>
      <c r="M136" s="507">
        <v>1172788</v>
      </c>
      <c r="N136" t="s">
        <v>3094</v>
      </c>
      <c r="O136" t="s">
        <v>3095</v>
      </c>
      <c r="P136" t="s">
        <v>245</v>
      </c>
      <c r="Q136" t="s">
        <v>3096</v>
      </c>
    </row>
    <row r="137" spans="1:17" x14ac:dyDescent="0.35">
      <c r="A137">
        <v>117</v>
      </c>
      <c r="B137">
        <f t="shared" si="5"/>
        <v>1</v>
      </c>
      <c r="C137" t="str">
        <f t="shared" si="4"/>
        <v>1171</v>
      </c>
      <c r="D137" t="s">
        <v>2578</v>
      </c>
      <c r="E137">
        <v>74</v>
      </c>
      <c r="F137">
        <v>314</v>
      </c>
      <c r="G137">
        <v>2015</v>
      </c>
      <c r="H137" t="s">
        <v>659</v>
      </c>
      <c r="I137" t="s">
        <v>1216</v>
      </c>
      <c r="J137" t="s">
        <v>1746</v>
      </c>
      <c r="K137">
        <v>1</v>
      </c>
      <c r="L137" s="506">
        <v>42005</v>
      </c>
      <c r="M137" s="507">
        <v>13500300</v>
      </c>
      <c r="N137" t="s">
        <v>659</v>
      </c>
      <c r="O137" t="s">
        <v>3097</v>
      </c>
      <c r="P137" t="s">
        <v>1216</v>
      </c>
      <c r="Q137" t="s">
        <v>2706</v>
      </c>
    </row>
    <row r="138" spans="1:17" x14ac:dyDescent="0.35">
      <c r="A138">
        <v>118</v>
      </c>
      <c r="B138">
        <f t="shared" si="5"/>
        <v>1</v>
      </c>
      <c r="C138" t="str">
        <f t="shared" si="4"/>
        <v>1181</v>
      </c>
      <c r="D138" t="s">
        <v>1205</v>
      </c>
      <c r="E138">
        <v>69</v>
      </c>
      <c r="F138">
        <v>9</v>
      </c>
      <c r="G138">
        <v>2014</v>
      </c>
      <c r="H138" t="s">
        <v>1205</v>
      </c>
      <c r="I138" t="s">
        <v>960</v>
      </c>
      <c r="J138" t="s">
        <v>1746</v>
      </c>
      <c r="K138">
        <v>1</v>
      </c>
      <c r="L138" s="506">
        <v>41906</v>
      </c>
      <c r="M138" s="507">
        <v>1000000</v>
      </c>
      <c r="N138" t="s">
        <v>2707</v>
      </c>
      <c r="O138" t="s">
        <v>2708</v>
      </c>
      <c r="P138" t="s">
        <v>960</v>
      </c>
      <c r="Q138" t="s">
        <v>2709</v>
      </c>
    </row>
    <row r="139" spans="1:17" x14ac:dyDescent="0.35">
      <c r="A139">
        <v>118</v>
      </c>
      <c r="B139">
        <f t="shared" si="5"/>
        <v>2</v>
      </c>
      <c r="C139" t="str">
        <f t="shared" si="4"/>
        <v>1182</v>
      </c>
      <c r="D139" t="s">
        <v>1205</v>
      </c>
      <c r="E139">
        <v>69</v>
      </c>
      <c r="F139">
        <v>10</v>
      </c>
      <c r="G139">
        <v>2014</v>
      </c>
      <c r="H139" t="s">
        <v>1205</v>
      </c>
      <c r="I139" t="s">
        <v>960</v>
      </c>
      <c r="J139" t="s">
        <v>1746</v>
      </c>
      <c r="K139">
        <v>2</v>
      </c>
      <c r="L139" s="506">
        <v>42144</v>
      </c>
      <c r="M139" s="507">
        <v>3750000</v>
      </c>
      <c r="N139" t="s">
        <v>2707</v>
      </c>
      <c r="O139" t="s">
        <v>2708</v>
      </c>
      <c r="P139" t="s">
        <v>960</v>
      </c>
      <c r="Q139" t="s">
        <v>2710</v>
      </c>
    </row>
    <row r="140" spans="1:17" x14ac:dyDescent="0.35">
      <c r="A140">
        <v>121</v>
      </c>
      <c r="B140">
        <f t="shared" si="5"/>
        <v>1</v>
      </c>
      <c r="C140" t="str">
        <f t="shared" si="4"/>
        <v>1211</v>
      </c>
      <c r="D140" t="s">
        <v>1703</v>
      </c>
      <c r="E140">
        <v>111</v>
      </c>
      <c r="F140">
        <v>6</v>
      </c>
      <c r="G140">
        <v>2015</v>
      </c>
      <c r="H140" t="s">
        <v>1703</v>
      </c>
      <c r="I140" t="s">
        <v>1010</v>
      </c>
      <c r="J140" t="s">
        <v>1746</v>
      </c>
      <c r="K140">
        <v>1</v>
      </c>
      <c r="L140" s="506">
        <v>42275</v>
      </c>
      <c r="M140" s="507">
        <v>1900000</v>
      </c>
      <c r="N140" t="s">
        <v>1703</v>
      </c>
      <c r="O140" t="s">
        <v>2608</v>
      </c>
      <c r="P140" t="s">
        <v>1010</v>
      </c>
      <c r="Q140" t="s">
        <v>3098</v>
      </c>
    </row>
    <row r="141" spans="1:17" x14ac:dyDescent="0.35">
      <c r="A141">
        <v>124</v>
      </c>
      <c r="B141">
        <f t="shared" si="5"/>
        <v>1</v>
      </c>
      <c r="C141" t="str">
        <f t="shared" si="4"/>
        <v>1241</v>
      </c>
      <c r="D141" t="s">
        <v>1691</v>
      </c>
      <c r="E141">
        <v>213</v>
      </c>
      <c r="F141">
        <v>42</v>
      </c>
      <c r="G141">
        <v>2016</v>
      </c>
      <c r="H141" t="s">
        <v>2491</v>
      </c>
      <c r="I141" t="s">
        <v>1017</v>
      </c>
      <c r="J141" t="s">
        <v>1746</v>
      </c>
      <c r="K141">
        <v>1</v>
      </c>
      <c r="L141" s="506">
        <v>42410</v>
      </c>
      <c r="M141" s="507">
        <v>1364688</v>
      </c>
      <c r="N141" t="s">
        <v>3710</v>
      </c>
      <c r="O141" t="s">
        <v>3711</v>
      </c>
      <c r="P141" t="s">
        <v>1017</v>
      </c>
      <c r="Q141" t="s">
        <v>3712</v>
      </c>
    </row>
    <row r="142" spans="1:17" x14ac:dyDescent="0.35">
      <c r="A142">
        <v>124</v>
      </c>
      <c r="B142">
        <f t="shared" si="5"/>
        <v>2</v>
      </c>
      <c r="C142" t="str">
        <f t="shared" si="4"/>
        <v>1242</v>
      </c>
      <c r="D142" t="s">
        <v>1691</v>
      </c>
      <c r="E142">
        <v>213</v>
      </c>
      <c r="F142">
        <v>43</v>
      </c>
      <c r="G142">
        <v>2016</v>
      </c>
      <c r="H142" t="s">
        <v>2491</v>
      </c>
      <c r="I142" t="s">
        <v>1017</v>
      </c>
      <c r="J142" t="s">
        <v>1746</v>
      </c>
      <c r="K142">
        <v>2</v>
      </c>
      <c r="L142" s="506">
        <v>42410</v>
      </c>
      <c r="M142" s="507">
        <v>21067265</v>
      </c>
      <c r="N142" t="s">
        <v>3713</v>
      </c>
      <c r="O142" t="s">
        <v>3711</v>
      </c>
      <c r="P142" t="s">
        <v>1017</v>
      </c>
      <c r="Q142" t="s">
        <v>3714</v>
      </c>
    </row>
    <row r="143" spans="1:17" x14ac:dyDescent="0.35">
      <c r="A143">
        <v>127</v>
      </c>
      <c r="B143">
        <f t="shared" si="5"/>
        <v>1</v>
      </c>
      <c r="C143" t="str">
        <f t="shared" si="4"/>
        <v>1271</v>
      </c>
      <c r="D143" t="s">
        <v>2578</v>
      </c>
      <c r="E143">
        <v>74</v>
      </c>
      <c r="F143">
        <v>315</v>
      </c>
      <c r="G143">
        <v>2015</v>
      </c>
      <c r="H143" t="s">
        <v>237</v>
      </c>
      <c r="I143" t="s">
        <v>238</v>
      </c>
      <c r="J143" t="s">
        <v>1746</v>
      </c>
      <c r="K143">
        <v>1</v>
      </c>
      <c r="L143" s="506">
        <v>42005</v>
      </c>
      <c r="M143" s="507">
        <v>2300000</v>
      </c>
      <c r="N143" t="s">
        <v>237</v>
      </c>
      <c r="O143" t="s">
        <v>2584</v>
      </c>
      <c r="P143" t="s">
        <v>238</v>
      </c>
      <c r="Q143" t="s">
        <v>3100</v>
      </c>
    </row>
    <row r="144" spans="1:17" x14ac:dyDescent="0.35">
      <c r="A144">
        <v>127</v>
      </c>
      <c r="B144">
        <f t="shared" si="5"/>
        <v>2</v>
      </c>
      <c r="C144" t="str">
        <f t="shared" si="4"/>
        <v>1272</v>
      </c>
      <c r="D144" t="s">
        <v>2578</v>
      </c>
      <c r="E144">
        <v>74</v>
      </c>
      <c r="F144">
        <v>316</v>
      </c>
      <c r="G144">
        <v>2015</v>
      </c>
      <c r="H144" t="s">
        <v>237</v>
      </c>
      <c r="I144" t="s">
        <v>238</v>
      </c>
      <c r="J144" t="s">
        <v>1746</v>
      </c>
      <c r="K144">
        <v>2</v>
      </c>
      <c r="L144" s="506">
        <v>42248</v>
      </c>
      <c r="M144" s="507">
        <v>1100000</v>
      </c>
      <c r="N144" t="s">
        <v>237</v>
      </c>
      <c r="O144" t="s">
        <v>2584</v>
      </c>
      <c r="P144" t="s">
        <v>238</v>
      </c>
      <c r="Q144" t="s">
        <v>3099</v>
      </c>
    </row>
    <row r="145" spans="1:17" x14ac:dyDescent="0.35">
      <c r="A145">
        <v>129</v>
      </c>
      <c r="B145">
        <f t="shared" si="5"/>
        <v>1</v>
      </c>
      <c r="C145" t="str">
        <f t="shared" si="4"/>
        <v>1291</v>
      </c>
      <c r="D145" t="s">
        <v>744</v>
      </c>
      <c r="E145">
        <v>146</v>
      </c>
      <c r="F145">
        <v>2</v>
      </c>
      <c r="G145">
        <v>2015</v>
      </c>
      <c r="H145" t="s">
        <v>744</v>
      </c>
      <c r="I145" t="s">
        <v>745</v>
      </c>
      <c r="J145" t="s">
        <v>1746</v>
      </c>
      <c r="K145">
        <v>1</v>
      </c>
      <c r="L145" s="506">
        <v>42201</v>
      </c>
      <c r="M145" s="507">
        <v>1842659</v>
      </c>
      <c r="N145" t="s">
        <v>744</v>
      </c>
      <c r="O145" t="s">
        <v>3101</v>
      </c>
      <c r="P145" t="s">
        <v>3102</v>
      </c>
      <c r="Q145" t="s">
        <v>3103</v>
      </c>
    </row>
    <row r="146" spans="1:17" x14ac:dyDescent="0.35">
      <c r="A146">
        <v>132</v>
      </c>
      <c r="B146">
        <f t="shared" si="5"/>
        <v>1</v>
      </c>
      <c r="C146" t="str">
        <f t="shared" si="4"/>
        <v>1321</v>
      </c>
      <c r="D146" t="s">
        <v>1548</v>
      </c>
      <c r="E146">
        <v>30</v>
      </c>
      <c r="F146">
        <v>91</v>
      </c>
      <c r="G146">
        <v>2016</v>
      </c>
      <c r="H146" t="s">
        <v>750</v>
      </c>
      <c r="I146" t="s">
        <v>751</v>
      </c>
      <c r="J146" t="s">
        <v>1746</v>
      </c>
      <c r="K146">
        <v>1</v>
      </c>
      <c r="L146" s="506">
        <v>42173</v>
      </c>
      <c r="M146" s="507">
        <v>4221882</v>
      </c>
      <c r="N146" t="s">
        <v>750</v>
      </c>
      <c r="O146" t="s">
        <v>2591</v>
      </c>
      <c r="P146" t="s">
        <v>751</v>
      </c>
      <c r="Q146" t="s">
        <v>3715</v>
      </c>
    </row>
    <row r="147" spans="1:17" x14ac:dyDescent="0.35">
      <c r="A147">
        <v>132</v>
      </c>
      <c r="B147">
        <f t="shared" si="5"/>
        <v>2</v>
      </c>
      <c r="C147" t="str">
        <f t="shared" si="4"/>
        <v>1322</v>
      </c>
      <c r="D147" t="s">
        <v>1548</v>
      </c>
      <c r="E147">
        <v>30</v>
      </c>
      <c r="F147">
        <v>92</v>
      </c>
      <c r="G147">
        <v>2016</v>
      </c>
      <c r="H147" t="s">
        <v>750</v>
      </c>
      <c r="I147" t="s">
        <v>751</v>
      </c>
      <c r="J147" t="s">
        <v>1746</v>
      </c>
      <c r="K147">
        <v>2</v>
      </c>
      <c r="L147" s="506">
        <v>42478</v>
      </c>
      <c r="M147" s="507">
        <v>6134375</v>
      </c>
      <c r="N147" t="s">
        <v>750</v>
      </c>
      <c r="O147" t="s">
        <v>2591</v>
      </c>
      <c r="P147" t="s">
        <v>751</v>
      </c>
      <c r="Q147" t="s">
        <v>3716</v>
      </c>
    </row>
    <row r="148" spans="1:17" x14ac:dyDescent="0.35">
      <c r="A148">
        <v>132</v>
      </c>
      <c r="B148">
        <f t="shared" si="5"/>
        <v>3</v>
      </c>
      <c r="C148" t="str">
        <f t="shared" si="4"/>
        <v>1323</v>
      </c>
      <c r="D148" t="s">
        <v>1548</v>
      </c>
      <c r="E148">
        <v>30</v>
      </c>
      <c r="F148">
        <v>93</v>
      </c>
      <c r="G148">
        <v>2016</v>
      </c>
      <c r="H148" t="s">
        <v>750</v>
      </c>
      <c r="I148" t="s">
        <v>751</v>
      </c>
      <c r="J148" t="s">
        <v>1746</v>
      </c>
      <c r="K148">
        <v>3</v>
      </c>
      <c r="L148" s="506">
        <v>42289</v>
      </c>
      <c r="M148" s="507">
        <v>1368313</v>
      </c>
      <c r="N148" t="s">
        <v>244</v>
      </c>
      <c r="O148" t="s">
        <v>3717</v>
      </c>
      <c r="P148" t="s">
        <v>245</v>
      </c>
      <c r="Q148" t="s">
        <v>3718</v>
      </c>
    </row>
    <row r="149" spans="1:17" x14ac:dyDescent="0.35">
      <c r="A149">
        <v>132</v>
      </c>
      <c r="B149">
        <f t="shared" si="5"/>
        <v>4</v>
      </c>
      <c r="C149" t="str">
        <f t="shared" si="4"/>
        <v>1324</v>
      </c>
      <c r="D149" t="s">
        <v>1548</v>
      </c>
      <c r="E149">
        <v>30</v>
      </c>
      <c r="F149">
        <v>94</v>
      </c>
      <c r="G149">
        <v>2016</v>
      </c>
      <c r="H149" t="s">
        <v>750</v>
      </c>
      <c r="I149" t="s">
        <v>751</v>
      </c>
      <c r="J149" t="s">
        <v>1746</v>
      </c>
      <c r="K149">
        <v>4</v>
      </c>
      <c r="L149" s="506">
        <v>42309</v>
      </c>
      <c r="M149" s="507">
        <v>1539312</v>
      </c>
      <c r="N149" t="s">
        <v>3719</v>
      </c>
      <c r="O149" t="s">
        <v>3720</v>
      </c>
      <c r="P149" t="s">
        <v>562</v>
      </c>
      <c r="Q149" t="s">
        <v>3721</v>
      </c>
    </row>
    <row r="150" spans="1:17" x14ac:dyDescent="0.35">
      <c r="A150">
        <v>132</v>
      </c>
      <c r="B150">
        <f t="shared" si="5"/>
        <v>5</v>
      </c>
      <c r="C150" t="str">
        <f t="shared" si="4"/>
        <v>1325</v>
      </c>
      <c r="D150" t="s">
        <v>1548</v>
      </c>
      <c r="E150">
        <v>30</v>
      </c>
      <c r="F150">
        <v>84</v>
      </c>
      <c r="G150">
        <v>2015</v>
      </c>
      <c r="H150" t="s">
        <v>750</v>
      </c>
      <c r="I150" t="s">
        <v>751</v>
      </c>
      <c r="J150" t="s">
        <v>1746</v>
      </c>
      <c r="K150">
        <v>1</v>
      </c>
      <c r="L150" s="506">
        <v>41893</v>
      </c>
      <c r="M150" s="507">
        <v>3274528</v>
      </c>
      <c r="N150" t="s">
        <v>750</v>
      </c>
      <c r="O150" t="s">
        <v>2591</v>
      </c>
      <c r="P150" t="s">
        <v>751</v>
      </c>
      <c r="Q150" t="s">
        <v>3107</v>
      </c>
    </row>
    <row r="151" spans="1:17" x14ac:dyDescent="0.35">
      <c r="A151">
        <v>132</v>
      </c>
      <c r="B151">
        <f t="shared" si="5"/>
        <v>6</v>
      </c>
      <c r="C151" t="str">
        <f t="shared" si="4"/>
        <v>1326</v>
      </c>
      <c r="D151" t="s">
        <v>1548</v>
      </c>
      <c r="E151">
        <v>30</v>
      </c>
      <c r="F151">
        <v>85</v>
      </c>
      <c r="G151">
        <v>2015</v>
      </c>
      <c r="H151" t="s">
        <v>750</v>
      </c>
      <c r="I151" t="s">
        <v>751</v>
      </c>
      <c r="J151" t="s">
        <v>1746</v>
      </c>
      <c r="K151">
        <v>2</v>
      </c>
      <c r="L151" s="506">
        <v>41984</v>
      </c>
      <c r="M151" s="507">
        <v>8000000</v>
      </c>
      <c r="N151" t="s">
        <v>750</v>
      </c>
      <c r="O151" t="s">
        <v>2591</v>
      </c>
      <c r="P151" t="s">
        <v>751</v>
      </c>
      <c r="Q151" t="s">
        <v>3106</v>
      </c>
    </row>
    <row r="152" spans="1:17" x14ac:dyDescent="0.35">
      <c r="A152">
        <v>132</v>
      </c>
      <c r="B152">
        <f t="shared" si="5"/>
        <v>7</v>
      </c>
      <c r="C152" t="str">
        <f t="shared" si="4"/>
        <v>1327</v>
      </c>
      <c r="D152" t="s">
        <v>1548</v>
      </c>
      <c r="E152">
        <v>30</v>
      </c>
      <c r="F152">
        <v>86</v>
      </c>
      <c r="G152">
        <v>2015</v>
      </c>
      <c r="H152" t="s">
        <v>750</v>
      </c>
      <c r="I152" t="s">
        <v>751</v>
      </c>
      <c r="J152" t="s">
        <v>1746</v>
      </c>
      <c r="K152">
        <v>3</v>
      </c>
      <c r="L152" s="506">
        <v>41893</v>
      </c>
      <c r="M152" s="507">
        <v>4888049</v>
      </c>
      <c r="N152" t="s">
        <v>750</v>
      </c>
      <c r="O152" t="s">
        <v>2591</v>
      </c>
      <c r="P152" t="s">
        <v>751</v>
      </c>
      <c r="Q152" t="s">
        <v>3105</v>
      </c>
    </row>
    <row r="153" spans="1:17" x14ac:dyDescent="0.35">
      <c r="A153">
        <v>132</v>
      </c>
      <c r="B153">
        <f t="shared" si="5"/>
        <v>8</v>
      </c>
      <c r="C153" t="str">
        <f t="shared" si="4"/>
        <v>1328</v>
      </c>
      <c r="D153" t="s">
        <v>1548</v>
      </c>
      <c r="E153">
        <v>30</v>
      </c>
      <c r="F153">
        <v>87</v>
      </c>
      <c r="G153">
        <v>2015</v>
      </c>
      <c r="H153" t="s">
        <v>750</v>
      </c>
      <c r="I153" t="s">
        <v>751</v>
      </c>
      <c r="J153" t="s">
        <v>1746</v>
      </c>
      <c r="K153">
        <v>4</v>
      </c>
      <c r="L153" s="506">
        <v>41891</v>
      </c>
      <c r="M153" s="507">
        <v>1232600</v>
      </c>
      <c r="N153" t="s">
        <v>750</v>
      </c>
      <c r="O153" t="s">
        <v>2591</v>
      </c>
      <c r="P153" t="s">
        <v>751</v>
      </c>
      <c r="Q153" t="s">
        <v>3104</v>
      </c>
    </row>
    <row r="154" spans="1:17" x14ac:dyDescent="0.35">
      <c r="A154">
        <v>132</v>
      </c>
      <c r="B154">
        <f t="shared" si="5"/>
        <v>9</v>
      </c>
      <c r="C154" t="str">
        <f t="shared" si="4"/>
        <v>1329</v>
      </c>
      <c r="D154" t="s">
        <v>1548</v>
      </c>
      <c r="E154">
        <v>30</v>
      </c>
      <c r="F154">
        <v>79</v>
      </c>
      <c r="G154">
        <v>2014</v>
      </c>
      <c r="H154" t="s">
        <v>750</v>
      </c>
      <c r="I154" t="s">
        <v>751</v>
      </c>
      <c r="J154" t="s">
        <v>1746</v>
      </c>
      <c r="K154">
        <v>1</v>
      </c>
      <c r="L154" s="506">
        <v>41529</v>
      </c>
      <c r="M154" s="507">
        <v>3475500</v>
      </c>
      <c r="N154" t="s">
        <v>750</v>
      </c>
      <c r="O154" t="s">
        <v>2591</v>
      </c>
      <c r="P154" t="s">
        <v>751</v>
      </c>
      <c r="Q154" t="s">
        <v>2711</v>
      </c>
    </row>
    <row r="155" spans="1:17" x14ac:dyDescent="0.35">
      <c r="A155">
        <v>132</v>
      </c>
      <c r="B155">
        <f t="shared" si="5"/>
        <v>10</v>
      </c>
      <c r="C155" t="str">
        <f t="shared" si="4"/>
        <v>13210</v>
      </c>
      <c r="D155" t="s">
        <v>1548</v>
      </c>
      <c r="E155">
        <v>30</v>
      </c>
      <c r="F155">
        <v>80</v>
      </c>
      <c r="G155">
        <v>2014</v>
      </c>
      <c r="H155" t="s">
        <v>750</v>
      </c>
      <c r="I155" t="s">
        <v>751</v>
      </c>
      <c r="J155" t="s">
        <v>1746</v>
      </c>
      <c r="K155">
        <v>2</v>
      </c>
      <c r="L155" s="506">
        <v>41529</v>
      </c>
      <c r="M155" s="507">
        <v>2588552</v>
      </c>
      <c r="N155" t="s">
        <v>2712</v>
      </c>
      <c r="O155" t="s">
        <v>2713</v>
      </c>
      <c r="P155" t="s">
        <v>751</v>
      </c>
      <c r="Q155" t="s">
        <v>2714</v>
      </c>
    </row>
    <row r="156" spans="1:17" x14ac:dyDescent="0.35">
      <c r="A156">
        <v>132</v>
      </c>
      <c r="B156">
        <f t="shared" si="5"/>
        <v>11</v>
      </c>
      <c r="C156" t="str">
        <f t="shared" si="4"/>
        <v>13211</v>
      </c>
      <c r="D156" t="s">
        <v>1548</v>
      </c>
      <c r="E156">
        <v>30</v>
      </c>
      <c r="F156">
        <v>81</v>
      </c>
      <c r="G156">
        <v>2014</v>
      </c>
      <c r="H156" t="s">
        <v>750</v>
      </c>
      <c r="I156" t="s">
        <v>751</v>
      </c>
      <c r="J156" t="s">
        <v>1746</v>
      </c>
      <c r="K156">
        <v>3</v>
      </c>
      <c r="L156" s="506">
        <v>41620</v>
      </c>
      <c r="M156" s="507">
        <v>2146496</v>
      </c>
      <c r="N156" t="s">
        <v>750</v>
      </c>
      <c r="O156" t="s">
        <v>2591</v>
      </c>
      <c r="P156" t="s">
        <v>751</v>
      </c>
      <c r="Q156" t="s">
        <v>2715</v>
      </c>
    </row>
    <row r="157" spans="1:17" x14ac:dyDescent="0.35">
      <c r="A157">
        <v>132</v>
      </c>
      <c r="B157">
        <f t="shared" si="5"/>
        <v>12</v>
      </c>
      <c r="C157" t="str">
        <f t="shared" si="4"/>
        <v>13212</v>
      </c>
      <c r="D157" t="s">
        <v>1548</v>
      </c>
      <c r="E157">
        <v>30</v>
      </c>
      <c r="F157">
        <v>82</v>
      </c>
      <c r="G157">
        <v>2014</v>
      </c>
      <c r="H157" t="s">
        <v>750</v>
      </c>
      <c r="I157" t="s">
        <v>751</v>
      </c>
      <c r="J157" t="s">
        <v>1746</v>
      </c>
      <c r="K157">
        <v>4</v>
      </c>
      <c r="L157" s="506">
        <v>41620</v>
      </c>
      <c r="M157" s="507">
        <v>5142218</v>
      </c>
      <c r="N157" t="s">
        <v>2716</v>
      </c>
      <c r="O157" t="s">
        <v>2591</v>
      </c>
      <c r="P157" t="s">
        <v>751</v>
      </c>
      <c r="Q157" t="s">
        <v>2717</v>
      </c>
    </row>
    <row r="158" spans="1:17" x14ac:dyDescent="0.35">
      <c r="A158">
        <v>132</v>
      </c>
      <c r="B158">
        <f t="shared" si="5"/>
        <v>13</v>
      </c>
      <c r="C158" t="str">
        <f t="shared" si="4"/>
        <v>13213</v>
      </c>
      <c r="D158" t="s">
        <v>1548</v>
      </c>
      <c r="E158">
        <v>30</v>
      </c>
      <c r="F158">
        <v>83</v>
      </c>
      <c r="G158">
        <v>2014</v>
      </c>
      <c r="H158" t="s">
        <v>750</v>
      </c>
      <c r="I158" t="s">
        <v>751</v>
      </c>
      <c r="J158" t="s">
        <v>1746</v>
      </c>
      <c r="K158">
        <v>5</v>
      </c>
      <c r="L158" s="506">
        <v>41620</v>
      </c>
      <c r="M158" s="507">
        <v>2365743</v>
      </c>
      <c r="N158" t="s">
        <v>2592</v>
      </c>
      <c r="O158" t="s">
        <v>2593</v>
      </c>
      <c r="P158" t="s">
        <v>751</v>
      </c>
      <c r="Q158" t="s">
        <v>2718</v>
      </c>
    </row>
    <row r="159" spans="1:17" x14ac:dyDescent="0.35">
      <c r="A159">
        <v>135</v>
      </c>
      <c r="B159">
        <f t="shared" si="5"/>
        <v>1</v>
      </c>
      <c r="C159" t="str">
        <f t="shared" si="4"/>
        <v>1351</v>
      </c>
      <c r="D159" t="s">
        <v>2578</v>
      </c>
      <c r="E159">
        <v>74</v>
      </c>
      <c r="F159">
        <v>340</v>
      </c>
      <c r="G159">
        <v>2016</v>
      </c>
      <c r="H159" t="s">
        <v>1022</v>
      </c>
      <c r="I159" t="s">
        <v>1023</v>
      </c>
      <c r="J159" t="s">
        <v>1746</v>
      </c>
      <c r="K159">
        <v>1</v>
      </c>
      <c r="L159" s="506">
        <v>42487</v>
      </c>
      <c r="M159" s="507">
        <v>1800000</v>
      </c>
      <c r="N159" t="s">
        <v>3722</v>
      </c>
      <c r="O159" t="s">
        <v>3723</v>
      </c>
      <c r="P159" t="s">
        <v>2720</v>
      </c>
      <c r="Q159" t="s">
        <v>3724</v>
      </c>
    </row>
    <row r="160" spans="1:17" x14ac:dyDescent="0.35">
      <c r="A160">
        <v>135</v>
      </c>
      <c r="B160">
        <f t="shared" si="5"/>
        <v>2</v>
      </c>
      <c r="C160" t="str">
        <f t="shared" si="4"/>
        <v>1352</v>
      </c>
      <c r="D160" t="s">
        <v>2578</v>
      </c>
      <c r="E160">
        <v>74</v>
      </c>
      <c r="F160">
        <v>341</v>
      </c>
      <c r="G160">
        <v>2016</v>
      </c>
      <c r="H160" t="s">
        <v>1022</v>
      </c>
      <c r="I160" t="s">
        <v>1023</v>
      </c>
      <c r="J160" t="s">
        <v>1746</v>
      </c>
      <c r="K160">
        <v>2</v>
      </c>
      <c r="L160" s="506">
        <v>42395</v>
      </c>
      <c r="M160" s="507">
        <v>1500000</v>
      </c>
      <c r="N160" t="s">
        <v>3725</v>
      </c>
      <c r="O160" t="s">
        <v>3726</v>
      </c>
      <c r="P160" t="s">
        <v>3727</v>
      </c>
      <c r="Q160" t="s">
        <v>3728</v>
      </c>
    </row>
    <row r="161" spans="1:17" x14ac:dyDescent="0.35">
      <c r="A161">
        <v>135</v>
      </c>
      <c r="B161">
        <f t="shared" si="5"/>
        <v>3</v>
      </c>
      <c r="C161" t="str">
        <f t="shared" si="4"/>
        <v>1353</v>
      </c>
      <c r="D161" t="s">
        <v>2578</v>
      </c>
      <c r="E161">
        <v>74</v>
      </c>
      <c r="F161">
        <v>317</v>
      </c>
      <c r="G161">
        <v>2015</v>
      </c>
      <c r="H161" t="s">
        <v>1022</v>
      </c>
      <c r="I161" t="s">
        <v>1023</v>
      </c>
      <c r="J161" t="s">
        <v>1746</v>
      </c>
      <c r="K161">
        <v>1</v>
      </c>
      <c r="L161" s="506">
        <v>42199</v>
      </c>
      <c r="M161" s="507">
        <v>8450000</v>
      </c>
      <c r="N161" t="s">
        <v>1022</v>
      </c>
      <c r="O161" t="s">
        <v>2719</v>
      </c>
      <c r="P161" t="s">
        <v>1023</v>
      </c>
      <c r="Q161" t="s">
        <v>3108</v>
      </c>
    </row>
    <row r="162" spans="1:17" x14ac:dyDescent="0.35">
      <c r="A162">
        <v>135</v>
      </c>
      <c r="B162">
        <f t="shared" si="5"/>
        <v>4</v>
      </c>
      <c r="C162" t="str">
        <f t="shared" si="4"/>
        <v>1354</v>
      </c>
      <c r="D162" t="s">
        <v>2578</v>
      </c>
      <c r="E162">
        <v>74</v>
      </c>
      <c r="F162">
        <v>288</v>
      </c>
      <c r="G162">
        <v>2014</v>
      </c>
      <c r="H162" t="s">
        <v>1022</v>
      </c>
      <c r="I162" t="s">
        <v>1023</v>
      </c>
      <c r="J162" t="s">
        <v>1746</v>
      </c>
      <c r="K162">
        <v>1</v>
      </c>
      <c r="L162" s="506">
        <v>41941</v>
      </c>
      <c r="M162" s="507">
        <v>3600000</v>
      </c>
      <c r="N162" t="s">
        <v>1022</v>
      </c>
      <c r="O162" t="s">
        <v>2719</v>
      </c>
      <c r="P162" t="s">
        <v>2720</v>
      </c>
      <c r="Q162" t="s">
        <v>2721</v>
      </c>
    </row>
    <row r="163" spans="1:17" x14ac:dyDescent="0.35">
      <c r="A163">
        <v>136</v>
      </c>
      <c r="B163">
        <f t="shared" si="5"/>
        <v>1</v>
      </c>
      <c r="C163" t="str">
        <f t="shared" si="4"/>
        <v>1361</v>
      </c>
      <c r="D163" t="s">
        <v>1076</v>
      </c>
      <c r="E163">
        <v>54</v>
      </c>
      <c r="F163">
        <v>3</v>
      </c>
      <c r="G163">
        <v>2014</v>
      </c>
      <c r="H163" t="s">
        <v>561</v>
      </c>
      <c r="I163" t="s">
        <v>562</v>
      </c>
      <c r="J163" t="s">
        <v>1746</v>
      </c>
      <c r="K163">
        <v>1</v>
      </c>
      <c r="L163" s="506">
        <v>41684</v>
      </c>
      <c r="M163" s="507">
        <v>3029152</v>
      </c>
      <c r="N163" t="s">
        <v>561</v>
      </c>
      <c r="O163" t="s">
        <v>2722</v>
      </c>
      <c r="P163" t="s">
        <v>562</v>
      </c>
      <c r="Q163" t="s">
        <v>2723</v>
      </c>
    </row>
    <row r="164" spans="1:17" x14ac:dyDescent="0.35">
      <c r="A164">
        <v>138</v>
      </c>
      <c r="B164">
        <f t="shared" si="5"/>
        <v>1</v>
      </c>
      <c r="C164" t="str">
        <f t="shared" si="4"/>
        <v>1381</v>
      </c>
      <c r="D164" t="s">
        <v>1087</v>
      </c>
      <c r="E164">
        <v>46</v>
      </c>
      <c r="F164">
        <v>354</v>
      </c>
      <c r="G164">
        <v>2016</v>
      </c>
      <c r="H164" t="s">
        <v>2143</v>
      </c>
      <c r="I164" t="s">
        <v>309</v>
      </c>
      <c r="J164" t="s">
        <v>1746</v>
      </c>
      <c r="K164">
        <v>1</v>
      </c>
      <c r="L164" s="506">
        <v>42423</v>
      </c>
      <c r="M164" s="507">
        <v>2975079</v>
      </c>
      <c r="N164" t="s">
        <v>3729</v>
      </c>
      <c r="O164" t="s">
        <v>3730</v>
      </c>
      <c r="P164" t="s">
        <v>309</v>
      </c>
      <c r="Q164" t="s">
        <v>3731</v>
      </c>
    </row>
    <row r="165" spans="1:17" x14ac:dyDescent="0.35">
      <c r="A165">
        <v>138</v>
      </c>
      <c r="B165">
        <f t="shared" si="5"/>
        <v>2</v>
      </c>
      <c r="C165" t="str">
        <f t="shared" si="4"/>
        <v>1382</v>
      </c>
      <c r="D165" t="s">
        <v>1087</v>
      </c>
      <c r="E165">
        <v>46</v>
      </c>
      <c r="F165">
        <v>338</v>
      </c>
      <c r="G165">
        <v>2015</v>
      </c>
      <c r="H165" t="s">
        <v>2143</v>
      </c>
      <c r="I165" t="s">
        <v>309</v>
      </c>
      <c r="J165" t="s">
        <v>1746</v>
      </c>
      <c r="K165">
        <v>1</v>
      </c>
      <c r="L165" s="506">
        <v>42055</v>
      </c>
      <c r="M165" s="507">
        <v>15000000</v>
      </c>
      <c r="N165" t="s">
        <v>3044</v>
      </c>
      <c r="O165" t="s">
        <v>3045</v>
      </c>
      <c r="P165" t="s">
        <v>309</v>
      </c>
      <c r="Q165" t="s">
        <v>3046</v>
      </c>
    </row>
    <row r="166" spans="1:17" x14ac:dyDescent="0.35">
      <c r="A166">
        <v>141</v>
      </c>
      <c r="B166">
        <f t="shared" si="5"/>
        <v>1</v>
      </c>
      <c r="C166" t="str">
        <f t="shared" si="4"/>
        <v>1411</v>
      </c>
      <c r="D166" t="s">
        <v>2603</v>
      </c>
      <c r="E166">
        <v>44</v>
      </c>
      <c r="F166">
        <v>94</v>
      </c>
      <c r="G166">
        <v>2016</v>
      </c>
      <c r="H166" t="s">
        <v>808</v>
      </c>
      <c r="I166" t="s">
        <v>414</v>
      </c>
      <c r="J166" t="s">
        <v>1746</v>
      </c>
      <c r="K166">
        <v>1</v>
      </c>
      <c r="L166" s="506">
        <v>42339</v>
      </c>
      <c r="M166" s="507">
        <v>2500000</v>
      </c>
      <c r="N166" t="s">
        <v>3732</v>
      </c>
      <c r="O166" t="s">
        <v>3733</v>
      </c>
      <c r="P166" t="s">
        <v>2586</v>
      </c>
      <c r="Q166" t="s">
        <v>3734</v>
      </c>
    </row>
    <row r="167" spans="1:17" x14ac:dyDescent="0.35">
      <c r="A167">
        <v>141</v>
      </c>
      <c r="B167">
        <f t="shared" si="5"/>
        <v>2</v>
      </c>
      <c r="C167" t="str">
        <f t="shared" si="4"/>
        <v>1412</v>
      </c>
      <c r="D167" t="s">
        <v>2603</v>
      </c>
      <c r="E167">
        <v>44</v>
      </c>
      <c r="F167">
        <v>95</v>
      </c>
      <c r="G167">
        <v>2016</v>
      </c>
      <c r="H167" t="s">
        <v>808</v>
      </c>
      <c r="I167" t="s">
        <v>414</v>
      </c>
      <c r="J167" t="s">
        <v>1746</v>
      </c>
      <c r="K167">
        <v>2</v>
      </c>
      <c r="L167" s="506">
        <v>41883</v>
      </c>
      <c r="M167" s="507">
        <v>3300000</v>
      </c>
      <c r="N167" t="s">
        <v>3732</v>
      </c>
      <c r="O167" t="s">
        <v>3733</v>
      </c>
      <c r="P167" t="s">
        <v>2586</v>
      </c>
      <c r="Q167" t="s">
        <v>3735</v>
      </c>
    </row>
    <row r="168" spans="1:17" x14ac:dyDescent="0.35">
      <c r="A168">
        <v>143</v>
      </c>
      <c r="B168">
        <f t="shared" si="5"/>
        <v>1</v>
      </c>
      <c r="C168" t="str">
        <f t="shared" si="4"/>
        <v>1431</v>
      </c>
      <c r="D168" t="s">
        <v>1776</v>
      </c>
      <c r="E168">
        <v>36</v>
      </c>
      <c r="F168">
        <v>14</v>
      </c>
      <c r="G168">
        <v>2016</v>
      </c>
      <c r="H168" t="s">
        <v>1534</v>
      </c>
      <c r="I168" t="s">
        <v>201</v>
      </c>
      <c r="J168" t="s">
        <v>1746</v>
      </c>
      <c r="K168">
        <v>1</v>
      </c>
      <c r="L168" s="506">
        <v>42614</v>
      </c>
      <c r="M168" s="507">
        <v>2000000</v>
      </c>
      <c r="N168" t="s">
        <v>1534</v>
      </c>
      <c r="O168" t="s">
        <v>2213</v>
      </c>
      <c r="P168" t="s">
        <v>201</v>
      </c>
      <c r="Q168" t="s">
        <v>3736</v>
      </c>
    </row>
    <row r="169" spans="1:17" x14ac:dyDescent="0.35">
      <c r="A169">
        <v>143</v>
      </c>
      <c r="B169">
        <f t="shared" si="5"/>
        <v>2</v>
      </c>
      <c r="C169" t="str">
        <f t="shared" si="4"/>
        <v>1432</v>
      </c>
      <c r="D169" t="s">
        <v>1776</v>
      </c>
      <c r="E169">
        <v>36</v>
      </c>
      <c r="F169">
        <v>15</v>
      </c>
      <c r="G169">
        <v>2016</v>
      </c>
      <c r="H169" t="s">
        <v>1534</v>
      </c>
      <c r="I169" t="s">
        <v>201</v>
      </c>
      <c r="J169" t="s">
        <v>1746</v>
      </c>
      <c r="K169">
        <v>2</v>
      </c>
      <c r="L169" s="506">
        <v>42247</v>
      </c>
      <c r="M169" s="507">
        <v>637000</v>
      </c>
      <c r="N169" t="s">
        <v>3737</v>
      </c>
      <c r="O169" t="s">
        <v>3738</v>
      </c>
      <c r="P169" t="s">
        <v>3739</v>
      </c>
      <c r="Q169" t="s">
        <v>3740</v>
      </c>
    </row>
    <row r="170" spans="1:17" x14ac:dyDescent="0.35">
      <c r="A170">
        <v>143</v>
      </c>
      <c r="B170">
        <f t="shared" si="5"/>
        <v>3</v>
      </c>
      <c r="C170" t="str">
        <f t="shared" si="4"/>
        <v>1433</v>
      </c>
      <c r="D170" t="s">
        <v>1776</v>
      </c>
      <c r="E170">
        <v>36</v>
      </c>
      <c r="F170">
        <v>11</v>
      </c>
      <c r="G170">
        <v>2015</v>
      </c>
      <c r="H170" t="s">
        <v>1534</v>
      </c>
      <c r="I170" t="s">
        <v>201</v>
      </c>
      <c r="J170" t="s">
        <v>1746</v>
      </c>
      <c r="K170">
        <v>1</v>
      </c>
      <c r="L170" s="506">
        <v>42369</v>
      </c>
      <c r="M170" s="507">
        <v>1200000</v>
      </c>
      <c r="N170" t="s">
        <v>1534</v>
      </c>
      <c r="O170" t="s">
        <v>2213</v>
      </c>
      <c r="P170" t="s">
        <v>201</v>
      </c>
      <c r="Q170" t="s">
        <v>3111</v>
      </c>
    </row>
    <row r="171" spans="1:17" x14ac:dyDescent="0.35">
      <c r="A171">
        <v>143</v>
      </c>
      <c r="B171">
        <f t="shared" si="5"/>
        <v>4</v>
      </c>
      <c r="C171" t="str">
        <f t="shared" si="4"/>
        <v>1434</v>
      </c>
      <c r="D171" t="s">
        <v>1776</v>
      </c>
      <c r="E171">
        <v>36</v>
      </c>
      <c r="F171">
        <v>12</v>
      </c>
      <c r="G171">
        <v>2015</v>
      </c>
      <c r="H171" t="s">
        <v>1534</v>
      </c>
      <c r="I171" t="s">
        <v>201</v>
      </c>
      <c r="J171" t="s">
        <v>1746</v>
      </c>
      <c r="K171">
        <v>2</v>
      </c>
      <c r="L171" s="506">
        <v>42369</v>
      </c>
      <c r="M171" s="507">
        <v>2805000</v>
      </c>
      <c r="N171" t="s">
        <v>1534</v>
      </c>
      <c r="O171" t="s">
        <v>2213</v>
      </c>
      <c r="P171" t="s">
        <v>201</v>
      </c>
      <c r="Q171" t="s">
        <v>3110</v>
      </c>
    </row>
    <row r="172" spans="1:17" x14ac:dyDescent="0.35">
      <c r="A172">
        <v>143</v>
      </c>
      <c r="B172">
        <f t="shared" si="5"/>
        <v>5</v>
      </c>
      <c r="C172" t="str">
        <f t="shared" si="4"/>
        <v>1435</v>
      </c>
      <c r="D172" t="s">
        <v>1776</v>
      </c>
      <c r="E172">
        <v>36</v>
      </c>
      <c r="F172">
        <v>13</v>
      </c>
      <c r="G172">
        <v>2015</v>
      </c>
      <c r="H172" t="s">
        <v>1534</v>
      </c>
      <c r="I172" t="s">
        <v>201</v>
      </c>
      <c r="J172" t="s">
        <v>1746</v>
      </c>
      <c r="K172">
        <v>3</v>
      </c>
      <c r="L172" s="506">
        <v>42369</v>
      </c>
      <c r="M172" s="507">
        <v>1000000</v>
      </c>
      <c r="N172" t="s">
        <v>1534</v>
      </c>
      <c r="O172" t="s">
        <v>2213</v>
      </c>
      <c r="P172" t="s">
        <v>201</v>
      </c>
      <c r="Q172" t="s">
        <v>3109</v>
      </c>
    </row>
    <row r="173" spans="1:17" x14ac:dyDescent="0.35">
      <c r="A173">
        <v>143</v>
      </c>
      <c r="B173">
        <f t="shared" si="5"/>
        <v>6</v>
      </c>
      <c r="C173" t="str">
        <f t="shared" si="4"/>
        <v>1436</v>
      </c>
      <c r="D173" t="s">
        <v>1776</v>
      </c>
      <c r="E173">
        <v>36</v>
      </c>
      <c r="F173">
        <v>10</v>
      </c>
      <c r="G173">
        <v>2014</v>
      </c>
      <c r="H173" t="s">
        <v>1534</v>
      </c>
      <c r="I173" t="s">
        <v>201</v>
      </c>
      <c r="J173" t="s">
        <v>1746</v>
      </c>
      <c r="K173">
        <v>1</v>
      </c>
      <c r="L173" s="506">
        <v>41671</v>
      </c>
      <c r="M173" s="507">
        <v>21348253</v>
      </c>
      <c r="N173" t="s">
        <v>1534</v>
      </c>
      <c r="O173" t="s">
        <v>2724</v>
      </c>
      <c r="P173" t="s">
        <v>201</v>
      </c>
      <c r="Q173" t="s">
        <v>2725</v>
      </c>
    </row>
    <row r="174" spans="1:17" x14ac:dyDescent="0.35">
      <c r="A174">
        <v>145</v>
      </c>
      <c r="B174">
        <f t="shared" si="5"/>
        <v>1</v>
      </c>
      <c r="C174" t="str">
        <f t="shared" si="4"/>
        <v>1451</v>
      </c>
      <c r="D174" t="s">
        <v>1087</v>
      </c>
      <c r="E174">
        <v>46</v>
      </c>
      <c r="F174">
        <v>355</v>
      </c>
      <c r="G174">
        <v>2016</v>
      </c>
      <c r="H174" t="s">
        <v>2726</v>
      </c>
      <c r="I174" t="s">
        <v>1061</v>
      </c>
      <c r="J174" t="s">
        <v>1746</v>
      </c>
      <c r="K174">
        <v>1</v>
      </c>
      <c r="L174" s="506">
        <v>42613</v>
      </c>
      <c r="M174" s="507">
        <v>1600000</v>
      </c>
      <c r="N174" t="s">
        <v>3741</v>
      </c>
      <c r="O174" t="s">
        <v>2612</v>
      </c>
      <c r="P174" t="s">
        <v>1061</v>
      </c>
      <c r="Q174" t="s">
        <v>3742</v>
      </c>
    </row>
    <row r="175" spans="1:17" x14ac:dyDescent="0.35">
      <c r="A175">
        <v>145</v>
      </c>
      <c r="B175">
        <f t="shared" si="5"/>
        <v>2</v>
      </c>
      <c r="C175" t="str">
        <f t="shared" si="4"/>
        <v>1452</v>
      </c>
      <c r="D175" t="s">
        <v>1087</v>
      </c>
      <c r="E175">
        <v>46</v>
      </c>
      <c r="F175">
        <v>356</v>
      </c>
      <c r="G175">
        <v>2016</v>
      </c>
      <c r="H175" t="s">
        <v>2726</v>
      </c>
      <c r="I175" t="s">
        <v>1061</v>
      </c>
      <c r="J175" t="s">
        <v>1746</v>
      </c>
      <c r="K175">
        <v>2</v>
      </c>
      <c r="L175" s="506">
        <v>42648</v>
      </c>
      <c r="M175" s="507">
        <v>2140000</v>
      </c>
      <c r="N175" t="s">
        <v>1060</v>
      </c>
      <c r="O175" t="s">
        <v>2612</v>
      </c>
      <c r="P175" t="s">
        <v>1061</v>
      </c>
      <c r="Q175" t="s">
        <v>3743</v>
      </c>
    </row>
    <row r="176" spans="1:17" x14ac:dyDescent="0.35">
      <c r="A176">
        <v>145</v>
      </c>
      <c r="B176">
        <f t="shared" si="5"/>
        <v>3</v>
      </c>
      <c r="C176" t="str">
        <f t="shared" si="4"/>
        <v>1453</v>
      </c>
      <c r="D176" t="s">
        <v>1087</v>
      </c>
      <c r="E176">
        <v>46</v>
      </c>
      <c r="F176">
        <v>357</v>
      </c>
      <c r="G176">
        <v>2016</v>
      </c>
      <c r="H176" t="s">
        <v>2726</v>
      </c>
      <c r="I176" t="s">
        <v>1061</v>
      </c>
      <c r="J176" t="s">
        <v>1746</v>
      </c>
      <c r="K176">
        <v>3</v>
      </c>
      <c r="L176" s="506">
        <v>42515</v>
      </c>
      <c r="M176" s="507">
        <v>2400000</v>
      </c>
      <c r="N176" t="s">
        <v>2613</v>
      </c>
      <c r="O176" t="s">
        <v>2612</v>
      </c>
      <c r="P176" t="s">
        <v>1061</v>
      </c>
      <c r="Q176" t="s">
        <v>3744</v>
      </c>
    </row>
    <row r="177" spans="1:17" x14ac:dyDescent="0.35">
      <c r="A177">
        <v>145</v>
      </c>
      <c r="B177">
        <f t="shared" si="5"/>
        <v>4</v>
      </c>
      <c r="C177" t="str">
        <f t="shared" si="4"/>
        <v>1454</v>
      </c>
      <c r="D177" t="s">
        <v>1087</v>
      </c>
      <c r="E177">
        <v>46</v>
      </c>
      <c r="F177">
        <v>358</v>
      </c>
      <c r="G177">
        <v>2016</v>
      </c>
      <c r="H177" t="s">
        <v>2726</v>
      </c>
      <c r="I177" t="s">
        <v>1061</v>
      </c>
      <c r="J177" t="s">
        <v>1746</v>
      </c>
      <c r="K177">
        <v>4</v>
      </c>
      <c r="L177" s="506">
        <v>42711</v>
      </c>
      <c r="M177" s="507">
        <v>3300000</v>
      </c>
      <c r="N177" t="s">
        <v>1060</v>
      </c>
      <c r="O177" t="s">
        <v>3745</v>
      </c>
      <c r="P177" t="s">
        <v>1061</v>
      </c>
      <c r="Q177" t="s">
        <v>3746</v>
      </c>
    </row>
    <row r="178" spans="1:17" x14ac:dyDescent="0.35">
      <c r="A178">
        <v>145</v>
      </c>
      <c r="B178">
        <f t="shared" si="5"/>
        <v>5</v>
      </c>
      <c r="C178" t="str">
        <f t="shared" si="4"/>
        <v>1455</v>
      </c>
      <c r="D178" t="s">
        <v>1087</v>
      </c>
      <c r="E178">
        <v>46</v>
      </c>
      <c r="F178">
        <v>359</v>
      </c>
      <c r="G178">
        <v>2016</v>
      </c>
      <c r="H178" t="s">
        <v>2726</v>
      </c>
      <c r="I178" t="s">
        <v>1061</v>
      </c>
      <c r="J178" t="s">
        <v>1746</v>
      </c>
      <c r="K178">
        <v>5</v>
      </c>
      <c r="L178" s="506">
        <v>42491</v>
      </c>
      <c r="M178" s="507">
        <v>13700000</v>
      </c>
      <c r="N178" t="s">
        <v>3741</v>
      </c>
      <c r="O178" t="s">
        <v>3747</v>
      </c>
      <c r="P178" t="s">
        <v>1061</v>
      </c>
      <c r="Q178" t="s">
        <v>3748</v>
      </c>
    </row>
    <row r="179" spans="1:17" x14ac:dyDescent="0.35">
      <c r="A179">
        <v>145</v>
      </c>
      <c r="B179">
        <f t="shared" si="5"/>
        <v>6</v>
      </c>
      <c r="C179" t="str">
        <f t="shared" si="4"/>
        <v>1456</v>
      </c>
      <c r="D179" t="s">
        <v>1087</v>
      </c>
      <c r="E179">
        <v>46</v>
      </c>
      <c r="F179">
        <v>360</v>
      </c>
      <c r="G179">
        <v>2016</v>
      </c>
      <c r="H179" t="s">
        <v>2726</v>
      </c>
      <c r="I179" t="s">
        <v>1061</v>
      </c>
      <c r="J179" t="s">
        <v>1746</v>
      </c>
      <c r="K179">
        <v>6</v>
      </c>
      <c r="L179" s="506">
        <v>42725</v>
      </c>
      <c r="M179" s="507">
        <v>2250000</v>
      </c>
      <c r="N179" t="s">
        <v>3114</v>
      </c>
      <c r="O179" t="s">
        <v>2611</v>
      </c>
      <c r="P179" t="s">
        <v>1061</v>
      </c>
      <c r="Q179" t="s">
        <v>3749</v>
      </c>
    </row>
    <row r="180" spans="1:17" x14ac:dyDescent="0.35">
      <c r="A180">
        <v>145</v>
      </c>
      <c r="B180">
        <f t="shared" si="5"/>
        <v>7</v>
      </c>
      <c r="C180" t="str">
        <f t="shared" si="4"/>
        <v>1457</v>
      </c>
      <c r="D180" t="s">
        <v>1087</v>
      </c>
      <c r="E180">
        <v>46</v>
      </c>
      <c r="F180">
        <v>361</v>
      </c>
      <c r="G180">
        <v>2016</v>
      </c>
      <c r="H180" t="s">
        <v>2726</v>
      </c>
      <c r="I180" t="s">
        <v>1061</v>
      </c>
      <c r="J180" t="s">
        <v>1746</v>
      </c>
      <c r="K180">
        <v>7</v>
      </c>
      <c r="L180" s="506">
        <v>42495</v>
      </c>
      <c r="M180" s="507">
        <v>1516099</v>
      </c>
      <c r="N180" t="s">
        <v>1060</v>
      </c>
      <c r="O180" t="s">
        <v>2612</v>
      </c>
      <c r="P180" t="s">
        <v>1061</v>
      </c>
      <c r="Q180" t="s">
        <v>3750</v>
      </c>
    </row>
    <row r="181" spans="1:17" x14ac:dyDescent="0.35">
      <c r="A181">
        <v>145</v>
      </c>
      <c r="B181">
        <f t="shared" si="5"/>
        <v>8</v>
      </c>
      <c r="C181" t="str">
        <f t="shared" si="4"/>
        <v>1458</v>
      </c>
      <c r="D181" t="s">
        <v>1087</v>
      </c>
      <c r="E181">
        <v>46</v>
      </c>
      <c r="F181">
        <v>362</v>
      </c>
      <c r="G181">
        <v>2016</v>
      </c>
      <c r="H181" t="s">
        <v>2726</v>
      </c>
      <c r="I181" t="s">
        <v>1061</v>
      </c>
      <c r="J181" t="s">
        <v>1746</v>
      </c>
      <c r="K181">
        <v>8</v>
      </c>
      <c r="L181" s="506">
        <v>42684</v>
      </c>
      <c r="M181" s="507">
        <v>2000000</v>
      </c>
      <c r="N181" t="s">
        <v>2613</v>
      </c>
      <c r="O181" t="s">
        <v>2612</v>
      </c>
      <c r="P181" t="s">
        <v>1061</v>
      </c>
      <c r="Q181" t="s">
        <v>3751</v>
      </c>
    </row>
    <row r="182" spans="1:17" x14ac:dyDescent="0.35">
      <c r="A182">
        <v>145</v>
      </c>
      <c r="B182">
        <f t="shared" si="5"/>
        <v>9</v>
      </c>
      <c r="C182" t="str">
        <f t="shared" si="4"/>
        <v>1459</v>
      </c>
      <c r="D182" t="s">
        <v>1087</v>
      </c>
      <c r="E182">
        <v>46</v>
      </c>
      <c r="F182">
        <v>339</v>
      </c>
      <c r="G182">
        <v>2015</v>
      </c>
      <c r="H182" t="s">
        <v>2726</v>
      </c>
      <c r="I182" t="s">
        <v>1061</v>
      </c>
      <c r="J182" t="s">
        <v>1746</v>
      </c>
      <c r="K182">
        <v>1</v>
      </c>
      <c r="L182" s="506">
        <v>42047</v>
      </c>
      <c r="M182" s="507">
        <v>1499290</v>
      </c>
      <c r="N182" t="s">
        <v>3114</v>
      </c>
      <c r="O182" t="s">
        <v>2611</v>
      </c>
      <c r="P182" t="s">
        <v>1061</v>
      </c>
      <c r="Q182" t="s">
        <v>3127</v>
      </c>
    </row>
    <row r="183" spans="1:17" x14ac:dyDescent="0.35">
      <c r="A183">
        <v>145</v>
      </c>
      <c r="B183">
        <f t="shared" si="5"/>
        <v>10</v>
      </c>
      <c r="C183" t="str">
        <f t="shared" si="4"/>
        <v>14510</v>
      </c>
      <c r="D183" t="s">
        <v>1087</v>
      </c>
      <c r="E183">
        <v>46</v>
      </c>
      <c r="F183">
        <v>340</v>
      </c>
      <c r="G183">
        <v>2015</v>
      </c>
      <c r="H183" t="s">
        <v>2726</v>
      </c>
      <c r="I183" t="s">
        <v>1061</v>
      </c>
      <c r="J183" t="s">
        <v>1746</v>
      </c>
      <c r="K183">
        <v>2</v>
      </c>
      <c r="L183" s="506">
        <v>42326</v>
      </c>
      <c r="M183" s="507">
        <v>1100000</v>
      </c>
      <c r="N183" t="s">
        <v>3125</v>
      </c>
      <c r="O183" t="s">
        <v>2612</v>
      </c>
      <c r="P183" t="s">
        <v>1061</v>
      </c>
      <c r="Q183" t="s">
        <v>3126</v>
      </c>
    </row>
    <row r="184" spans="1:17" x14ac:dyDescent="0.35">
      <c r="A184">
        <v>145</v>
      </c>
      <c r="B184">
        <f t="shared" si="5"/>
        <v>11</v>
      </c>
      <c r="C184" t="str">
        <f t="shared" si="4"/>
        <v>14511</v>
      </c>
      <c r="D184" t="s">
        <v>1087</v>
      </c>
      <c r="E184">
        <v>46</v>
      </c>
      <c r="F184">
        <v>341</v>
      </c>
      <c r="G184">
        <v>2015</v>
      </c>
      <c r="H184" t="s">
        <v>2726</v>
      </c>
      <c r="I184" t="s">
        <v>1061</v>
      </c>
      <c r="J184" t="s">
        <v>1746</v>
      </c>
      <c r="K184">
        <v>3</v>
      </c>
      <c r="L184" s="506">
        <v>42039</v>
      </c>
      <c r="M184" s="507">
        <v>1290000</v>
      </c>
      <c r="N184" t="s">
        <v>3123</v>
      </c>
      <c r="O184" t="s">
        <v>2611</v>
      </c>
      <c r="P184" t="s">
        <v>1061</v>
      </c>
      <c r="Q184" t="s">
        <v>3124</v>
      </c>
    </row>
    <row r="185" spans="1:17" x14ac:dyDescent="0.35">
      <c r="A185">
        <v>145</v>
      </c>
      <c r="B185">
        <f t="shared" si="5"/>
        <v>12</v>
      </c>
      <c r="C185" t="str">
        <f t="shared" si="4"/>
        <v>14512</v>
      </c>
      <c r="D185" t="s">
        <v>1087</v>
      </c>
      <c r="E185">
        <v>46</v>
      </c>
      <c r="F185">
        <v>342</v>
      </c>
      <c r="G185">
        <v>2015</v>
      </c>
      <c r="H185" t="s">
        <v>2726</v>
      </c>
      <c r="I185" t="s">
        <v>1061</v>
      </c>
      <c r="J185" t="s">
        <v>1746</v>
      </c>
      <c r="K185">
        <v>4</v>
      </c>
      <c r="L185" s="506">
        <v>42321</v>
      </c>
      <c r="M185" s="507">
        <v>9300000</v>
      </c>
      <c r="N185" t="s">
        <v>3121</v>
      </c>
      <c r="O185" t="s">
        <v>2612</v>
      </c>
      <c r="P185" t="s">
        <v>1061</v>
      </c>
      <c r="Q185" t="s">
        <v>3122</v>
      </c>
    </row>
    <row r="186" spans="1:17" x14ac:dyDescent="0.35">
      <c r="A186">
        <v>145</v>
      </c>
      <c r="B186">
        <f t="shared" si="5"/>
        <v>13</v>
      </c>
      <c r="C186" t="str">
        <f t="shared" si="4"/>
        <v>14513</v>
      </c>
      <c r="D186" t="s">
        <v>1087</v>
      </c>
      <c r="E186">
        <v>46</v>
      </c>
      <c r="F186">
        <v>343</v>
      </c>
      <c r="G186">
        <v>2015</v>
      </c>
      <c r="H186" t="s">
        <v>2726</v>
      </c>
      <c r="I186" t="s">
        <v>1061</v>
      </c>
      <c r="J186" t="s">
        <v>1746</v>
      </c>
      <c r="K186">
        <v>5</v>
      </c>
      <c r="L186" s="506">
        <v>42321</v>
      </c>
      <c r="M186" s="507">
        <v>30800000</v>
      </c>
      <c r="N186" t="s">
        <v>3118</v>
      </c>
      <c r="O186" t="s">
        <v>3119</v>
      </c>
      <c r="P186" t="s">
        <v>1061</v>
      </c>
      <c r="Q186" t="s">
        <v>3120</v>
      </c>
    </row>
    <row r="187" spans="1:17" x14ac:dyDescent="0.35">
      <c r="A187">
        <v>145</v>
      </c>
      <c r="B187">
        <f t="shared" si="5"/>
        <v>14</v>
      </c>
      <c r="C187" t="str">
        <f t="shared" si="4"/>
        <v>14514</v>
      </c>
      <c r="D187" t="s">
        <v>1087</v>
      </c>
      <c r="E187">
        <v>46</v>
      </c>
      <c r="F187">
        <v>344</v>
      </c>
      <c r="G187">
        <v>2015</v>
      </c>
      <c r="H187" t="s">
        <v>2726</v>
      </c>
      <c r="I187" t="s">
        <v>1061</v>
      </c>
      <c r="J187" t="s">
        <v>1746</v>
      </c>
      <c r="K187">
        <v>6</v>
      </c>
      <c r="L187" s="506">
        <v>42321</v>
      </c>
      <c r="M187" s="507">
        <v>18000000</v>
      </c>
      <c r="N187" t="s">
        <v>3116</v>
      </c>
      <c r="O187" t="s">
        <v>2612</v>
      </c>
      <c r="P187" t="s">
        <v>1061</v>
      </c>
      <c r="Q187" t="s">
        <v>3117</v>
      </c>
    </row>
    <row r="188" spans="1:17" x14ac:dyDescent="0.35">
      <c r="A188">
        <v>145</v>
      </c>
      <c r="B188">
        <f t="shared" si="5"/>
        <v>15</v>
      </c>
      <c r="C188" t="str">
        <f t="shared" si="4"/>
        <v>14515</v>
      </c>
      <c r="D188" t="s">
        <v>1087</v>
      </c>
      <c r="E188">
        <v>46</v>
      </c>
      <c r="F188">
        <v>345</v>
      </c>
      <c r="G188">
        <v>2015</v>
      </c>
      <c r="H188" t="s">
        <v>2726</v>
      </c>
      <c r="I188" t="s">
        <v>1061</v>
      </c>
      <c r="J188" t="s">
        <v>1746</v>
      </c>
      <c r="K188">
        <v>7</v>
      </c>
      <c r="L188" s="506">
        <v>42321</v>
      </c>
      <c r="M188" s="507">
        <v>7500000</v>
      </c>
      <c r="N188" t="s">
        <v>3114</v>
      </c>
      <c r="O188" t="s">
        <v>2611</v>
      </c>
      <c r="P188" t="s">
        <v>1061</v>
      </c>
      <c r="Q188" t="s">
        <v>3115</v>
      </c>
    </row>
    <row r="189" spans="1:17" x14ac:dyDescent="0.35">
      <c r="A189">
        <v>145</v>
      </c>
      <c r="B189">
        <f t="shared" si="5"/>
        <v>16</v>
      </c>
      <c r="C189" t="str">
        <f t="shared" si="4"/>
        <v>14516</v>
      </c>
      <c r="D189" t="s">
        <v>1087</v>
      </c>
      <c r="E189">
        <v>46</v>
      </c>
      <c r="F189">
        <v>346</v>
      </c>
      <c r="G189">
        <v>2015</v>
      </c>
      <c r="H189" t="s">
        <v>2726</v>
      </c>
      <c r="I189" t="s">
        <v>1061</v>
      </c>
      <c r="J189" t="s">
        <v>1746</v>
      </c>
      <c r="K189">
        <v>8</v>
      </c>
      <c r="L189" s="506">
        <v>42055</v>
      </c>
      <c r="M189" s="507">
        <v>134000000</v>
      </c>
      <c r="N189" t="s">
        <v>3044</v>
      </c>
      <c r="O189" t="s">
        <v>3045</v>
      </c>
      <c r="P189" t="s">
        <v>3112</v>
      </c>
      <c r="Q189" t="s">
        <v>3113</v>
      </c>
    </row>
    <row r="190" spans="1:17" x14ac:dyDescent="0.35">
      <c r="A190">
        <v>145</v>
      </c>
      <c r="B190">
        <f t="shared" si="5"/>
        <v>17</v>
      </c>
      <c r="C190" t="str">
        <f t="shared" si="4"/>
        <v>14517</v>
      </c>
      <c r="D190" t="s">
        <v>1087</v>
      </c>
      <c r="E190">
        <v>46</v>
      </c>
      <c r="F190">
        <v>316</v>
      </c>
      <c r="G190">
        <v>2014</v>
      </c>
      <c r="H190" t="s">
        <v>2726</v>
      </c>
      <c r="I190" t="s">
        <v>1061</v>
      </c>
      <c r="J190" t="s">
        <v>1746</v>
      </c>
      <c r="K190">
        <v>1</v>
      </c>
      <c r="L190" s="506">
        <v>41714</v>
      </c>
      <c r="M190" s="507">
        <v>1132000</v>
      </c>
      <c r="N190" t="s">
        <v>2613</v>
      </c>
      <c r="O190" t="s">
        <v>2612</v>
      </c>
      <c r="P190" t="s">
        <v>1061</v>
      </c>
      <c r="Q190" t="s">
        <v>2727</v>
      </c>
    </row>
    <row r="191" spans="1:17" x14ac:dyDescent="0.35">
      <c r="A191">
        <v>145</v>
      </c>
      <c r="B191">
        <f t="shared" si="5"/>
        <v>18</v>
      </c>
      <c r="C191" t="str">
        <f t="shared" si="4"/>
        <v>14518</v>
      </c>
      <c r="D191" t="s">
        <v>1087</v>
      </c>
      <c r="E191">
        <v>46</v>
      </c>
      <c r="F191">
        <v>317</v>
      </c>
      <c r="G191">
        <v>2014</v>
      </c>
      <c r="H191" t="s">
        <v>2726</v>
      </c>
      <c r="I191" t="s">
        <v>1061</v>
      </c>
      <c r="J191" t="s">
        <v>1746</v>
      </c>
      <c r="K191">
        <v>2</v>
      </c>
      <c r="L191" s="506">
        <v>41717</v>
      </c>
      <c r="M191" s="507">
        <v>4421000</v>
      </c>
      <c r="N191" t="s">
        <v>2613</v>
      </c>
      <c r="O191" t="s">
        <v>2612</v>
      </c>
      <c r="P191" t="s">
        <v>1061</v>
      </c>
      <c r="Q191" t="s">
        <v>2728</v>
      </c>
    </row>
    <row r="192" spans="1:17" x14ac:dyDescent="0.35">
      <c r="A192">
        <v>145</v>
      </c>
      <c r="B192">
        <f t="shared" si="5"/>
        <v>19</v>
      </c>
      <c r="C192" t="str">
        <f t="shared" si="4"/>
        <v>14519</v>
      </c>
      <c r="D192" t="s">
        <v>1087</v>
      </c>
      <c r="E192">
        <v>46</v>
      </c>
      <c r="F192">
        <v>318</v>
      </c>
      <c r="G192">
        <v>2014</v>
      </c>
      <c r="H192" t="s">
        <v>2726</v>
      </c>
      <c r="I192" t="s">
        <v>1061</v>
      </c>
      <c r="J192" t="s">
        <v>1746</v>
      </c>
      <c r="K192">
        <v>3</v>
      </c>
      <c r="L192" s="506">
        <v>41962</v>
      </c>
      <c r="M192" s="507">
        <v>1645000</v>
      </c>
      <c r="N192" t="s">
        <v>2613</v>
      </c>
      <c r="O192" t="s">
        <v>2612</v>
      </c>
      <c r="P192" t="s">
        <v>1061</v>
      </c>
      <c r="Q192" t="s">
        <v>2729</v>
      </c>
    </row>
    <row r="193" spans="1:17" x14ac:dyDescent="0.35">
      <c r="A193">
        <v>145</v>
      </c>
      <c r="B193">
        <f t="shared" si="5"/>
        <v>20</v>
      </c>
      <c r="C193" t="str">
        <f t="shared" si="4"/>
        <v>14520</v>
      </c>
      <c r="D193" t="s">
        <v>1087</v>
      </c>
      <c r="E193">
        <v>46</v>
      </c>
      <c r="F193">
        <v>319</v>
      </c>
      <c r="G193">
        <v>2014</v>
      </c>
      <c r="H193" t="s">
        <v>2726</v>
      </c>
      <c r="I193" t="s">
        <v>1061</v>
      </c>
      <c r="J193" t="s">
        <v>1746</v>
      </c>
      <c r="K193">
        <v>4</v>
      </c>
      <c r="L193" s="506">
        <v>41983</v>
      </c>
      <c r="M193" s="507">
        <v>1650000</v>
      </c>
      <c r="N193" t="s">
        <v>2613</v>
      </c>
      <c r="O193" t="s">
        <v>2612</v>
      </c>
      <c r="P193" t="s">
        <v>1061</v>
      </c>
      <c r="Q193" t="s">
        <v>2730</v>
      </c>
    </row>
    <row r="194" spans="1:17" x14ac:dyDescent="0.35">
      <c r="A194">
        <v>148</v>
      </c>
      <c r="B194">
        <f t="shared" si="5"/>
        <v>1</v>
      </c>
      <c r="C194" t="str">
        <f t="shared" si="4"/>
        <v>1481</v>
      </c>
      <c r="D194" t="s">
        <v>1691</v>
      </c>
      <c r="E194">
        <v>213</v>
      </c>
      <c r="F194">
        <v>38</v>
      </c>
      <c r="G194">
        <v>2015</v>
      </c>
      <c r="H194" t="s">
        <v>207</v>
      </c>
      <c r="I194" t="s">
        <v>201</v>
      </c>
      <c r="J194" t="s">
        <v>1746</v>
      </c>
      <c r="K194">
        <v>1</v>
      </c>
      <c r="L194" s="506">
        <v>42125</v>
      </c>
      <c r="M194" s="507">
        <v>6700000</v>
      </c>
      <c r="N194" t="s">
        <v>2731</v>
      </c>
      <c r="O194" t="s">
        <v>2596</v>
      </c>
      <c r="P194" t="s">
        <v>201</v>
      </c>
      <c r="Q194" t="s">
        <v>2731</v>
      </c>
    </row>
    <row r="195" spans="1:17" x14ac:dyDescent="0.35">
      <c r="A195">
        <v>148</v>
      </c>
      <c r="B195">
        <f t="shared" si="5"/>
        <v>2</v>
      </c>
      <c r="C195" t="str">
        <f t="shared" si="4"/>
        <v>1482</v>
      </c>
      <c r="D195" t="s">
        <v>1691</v>
      </c>
      <c r="E195">
        <v>213</v>
      </c>
      <c r="F195">
        <v>39</v>
      </c>
      <c r="G195">
        <v>2015</v>
      </c>
      <c r="H195" t="s">
        <v>207</v>
      </c>
      <c r="I195" t="s">
        <v>201</v>
      </c>
      <c r="J195" t="s">
        <v>1746</v>
      </c>
      <c r="K195">
        <v>2</v>
      </c>
      <c r="L195" s="506">
        <v>42066</v>
      </c>
      <c r="M195" s="507">
        <v>3305190</v>
      </c>
      <c r="N195" t="s">
        <v>3130</v>
      </c>
      <c r="O195" t="s">
        <v>2596</v>
      </c>
      <c r="P195" t="s">
        <v>201</v>
      </c>
      <c r="Q195" t="s">
        <v>3131</v>
      </c>
    </row>
    <row r="196" spans="1:17" x14ac:dyDescent="0.35">
      <c r="A196">
        <v>148</v>
      </c>
      <c r="B196">
        <f t="shared" si="5"/>
        <v>3</v>
      </c>
      <c r="C196" t="str">
        <f t="shared" ref="C196:C259" si="6">CONCATENATE(A196,B196)</f>
        <v>1483</v>
      </c>
      <c r="D196" t="s">
        <v>1691</v>
      </c>
      <c r="E196">
        <v>213</v>
      </c>
      <c r="F196">
        <v>40</v>
      </c>
      <c r="G196">
        <v>2015</v>
      </c>
      <c r="H196" t="s">
        <v>207</v>
      </c>
      <c r="I196" t="s">
        <v>201</v>
      </c>
      <c r="J196" t="s">
        <v>1746</v>
      </c>
      <c r="K196">
        <v>3</v>
      </c>
      <c r="L196" s="506">
        <v>42066</v>
      </c>
      <c r="M196" s="507">
        <v>1293334</v>
      </c>
      <c r="N196" t="s">
        <v>3128</v>
      </c>
      <c r="O196" t="s">
        <v>2596</v>
      </c>
      <c r="P196" t="s">
        <v>201</v>
      </c>
      <c r="Q196" t="s">
        <v>3129</v>
      </c>
    </row>
    <row r="197" spans="1:17" x14ac:dyDescent="0.35">
      <c r="A197">
        <v>148</v>
      </c>
      <c r="B197">
        <f t="shared" ref="B197:B260" si="7">IF(A197=A196,B196+1,1)</f>
        <v>4</v>
      </c>
      <c r="C197" t="str">
        <f t="shared" si="6"/>
        <v>1484</v>
      </c>
      <c r="D197" t="s">
        <v>1691</v>
      </c>
      <c r="E197">
        <v>213</v>
      </c>
      <c r="F197">
        <v>30</v>
      </c>
      <c r="G197">
        <v>2014</v>
      </c>
      <c r="H197" t="s">
        <v>207</v>
      </c>
      <c r="I197" t="s">
        <v>201</v>
      </c>
      <c r="J197" t="s">
        <v>1746</v>
      </c>
      <c r="K197">
        <v>1</v>
      </c>
      <c r="L197" s="506">
        <v>41760</v>
      </c>
      <c r="M197" s="507">
        <v>5000000</v>
      </c>
      <c r="N197" t="s">
        <v>2731</v>
      </c>
      <c r="O197" t="s">
        <v>2596</v>
      </c>
      <c r="P197" t="s">
        <v>201</v>
      </c>
      <c r="Q197" t="s">
        <v>2731</v>
      </c>
    </row>
    <row r="198" spans="1:17" x14ac:dyDescent="0.35">
      <c r="A198">
        <v>148</v>
      </c>
      <c r="B198">
        <f t="shared" si="7"/>
        <v>5</v>
      </c>
      <c r="C198" t="str">
        <f t="shared" si="6"/>
        <v>1485</v>
      </c>
      <c r="D198" t="s">
        <v>1691</v>
      </c>
      <c r="E198">
        <v>213</v>
      </c>
      <c r="F198">
        <v>31</v>
      </c>
      <c r="G198">
        <v>2014</v>
      </c>
      <c r="H198" t="s">
        <v>207</v>
      </c>
      <c r="I198" t="s">
        <v>201</v>
      </c>
      <c r="J198" t="s">
        <v>1746</v>
      </c>
      <c r="K198">
        <v>2</v>
      </c>
      <c r="L198" s="506">
        <v>41760</v>
      </c>
      <c r="M198" s="507">
        <v>2455320</v>
      </c>
      <c r="N198" t="s">
        <v>2732</v>
      </c>
      <c r="O198" t="s">
        <v>2596</v>
      </c>
      <c r="P198" t="s">
        <v>201</v>
      </c>
      <c r="Q198" t="s">
        <v>2733</v>
      </c>
    </row>
    <row r="199" spans="1:17" x14ac:dyDescent="0.35">
      <c r="A199">
        <v>148</v>
      </c>
      <c r="B199">
        <f t="shared" si="7"/>
        <v>6</v>
      </c>
      <c r="C199" t="str">
        <f t="shared" si="6"/>
        <v>1486</v>
      </c>
      <c r="D199" t="s">
        <v>1691</v>
      </c>
      <c r="E199">
        <v>213</v>
      </c>
      <c r="F199">
        <v>32</v>
      </c>
      <c r="G199">
        <v>2014</v>
      </c>
      <c r="H199" t="s">
        <v>207</v>
      </c>
      <c r="I199" t="s">
        <v>201</v>
      </c>
      <c r="J199" t="s">
        <v>1746</v>
      </c>
      <c r="K199">
        <v>3</v>
      </c>
      <c r="L199" s="506">
        <v>41760</v>
      </c>
      <c r="M199" s="507">
        <v>1600000</v>
      </c>
      <c r="N199" t="s">
        <v>2734</v>
      </c>
      <c r="O199" t="s">
        <v>2596</v>
      </c>
      <c r="P199" t="s">
        <v>201</v>
      </c>
      <c r="Q199" t="s">
        <v>2735</v>
      </c>
    </row>
    <row r="200" spans="1:17" x14ac:dyDescent="0.35">
      <c r="A200">
        <v>148</v>
      </c>
      <c r="B200">
        <f t="shared" si="7"/>
        <v>7</v>
      </c>
      <c r="C200" t="str">
        <f t="shared" si="6"/>
        <v>1487</v>
      </c>
      <c r="D200" t="s">
        <v>1691</v>
      </c>
      <c r="E200">
        <v>213</v>
      </c>
      <c r="F200">
        <v>33</v>
      </c>
      <c r="G200">
        <v>2014</v>
      </c>
      <c r="H200" t="s">
        <v>207</v>
      </c>
      <c r="I200" t="s">
        <v>201</v>
      </c>
      <c r="J200" t="s">
        <v>1746</v>
      </c>
      <c r="K200">
        <v>4</v>
      </c>
      <c r="L200" s="506">
        <v>41760</v>
      </c>
      <c r="M200" s="507">
        <v>1078034</v>
      </c>
      <c r="N200" t="s">
        <v>2736</v>
      </c>
      <c r="O200" t="s">
        <v>2596</v>
      </c>
      <c r="P200" t="s">
        <v>201</v>
      </c>
      <c r="Q200" t="s">
        <v>2736</v>
      </c>
    </row>
    <row r="201" spans="1:17" x14ac:dyDescent="0.35">
      <c r="A201">
        <v>148</v>
      </c>
      <c r="B201">
        <f t="shared" si="7"/>
        <v>8</v>
      </c>
      <c r="C201" t="str">
        <f t="shared" si="6"/>
        <v>1488</v>
      </c>
      <c r="D201" t="s">
        <v>1691</v>
      </c>
      <c r="E201">
        <v>213</v>
      </c>
      <c r="F201">
        <v>34</v>
      </c>
      <c r="G201">
        <v>2014</v>
      </c>
      <c r="H201" t="s">
        <v>207</v>
      </c>
      <c r="I201" t="s">
        <v>201</v>
      </c>
      <c r="J201" t="s">
        <v>1746</v>
      </c>
      <c r="K201">
        <v>5</v>
      </c>
      <c r="L201" s="506">
        <v>41619</v>
      </c>
      <c r="M201" s="507">
        <v>1850000</v>
      </c>
      <c r="N201" t="s">
        <v>2737</v>
      </c>
      <c r="O201" t="s">
        <v>2596</v>
      </c>
      <c r="P201" t="s">
        <v>201</v>
      </c>
      <c r="Q201" t="s">
        <v>2737</v>
      </c>
    </row>
    <row r="202" spans="1:17" x14ac:dyDescent="0.35">
      <c r="A202">
        <v>149</v>
      </c>
      <c r="B202">
        <f t="shared" si="7"/>
        <v>1</v>
      </c>
      <c r="C202" t="str">
        <f t="shared" si="6"/>
        <v>1491</v>
      </c>
      <c r="D202" t="s">
        <v>1548</v>
      </c>
      <c r="E202">
        <v>30</v>
      </c>
      <c r="F202">
        <v>88</v>
      </c>
      <c r="G202">
        <v>2015</v>
      </c>
      <c r="H202" t="s">
        <v>2929</v>
      </c>
      <c r="I202" t="s">
        <v>1018</v>
      </c>
      <c r="J202" t="s">
        <v>1746</v>
      </c>
      <c r="K202">
        <v>1</v>
      </c>
      <c r="L202" s="506">
        <v>41897</v>
      </c>
      <c r="M202" s="507">
        <v>1685000</v>
      </c>
      <c r="N202" t="s">
        <v>3132</v>
      </c>
      <c r="O202" t="s">
        <v>3133</v>
      </c>
      <c r="P202" t="s">
        <v>3134</v>
      </c>
      <c r="Q202" t="s">
        <v>3135</v>
      </c>
    </row>
    <row r="203" spans="1:17" x14ac:dyDescent="0.35">
      <c r="A203">
        <v>151</v>
      </c>
      <c r="B203">
        <f t="shared" si="7"/>
        <v>1</v>
      </c>
      <c r="C203" t="str">
        <f t="shared" si="6"/>
        <v>1511</v>
      </c>
      <c r="D203" t="s">
        <v>2604</v>
      </c>
      <c r="E203">
        <v>48</v>
      </c>
      <c r="F203">
        <v>78</v>
      </c>
      <c r="G203">
        <v>2016</v>
      </c>
      <c r="H203" t="s">
        <v>810</v>
      </c>
      <c r="I203" t="s">
        <v>414</v>
      </c>
      <c r="J203" t="s">
        <v>1746</v>
      </c>
      <c r="K203">
        <v>1</v>
      </c>
      <c r="L203" s="506">
        <v>42606</v>
      </c>
      <c r="M203" s="507">
        <v>4141783</v>
      </c>
      <c r="N203" t="s">
        <v>3752</v>
      </c>
      <c r="O203" t="s">
        <v>3753</v>
      </c>
      <c r="P203" t="s">
        <v>2586</v>
      </c>
      <c r="Q203" t="s">
        <v>3754</v>
      </c>
    </row>
    <row r="204" spans="1:17" x14ac:dyDescent="0.35">
      <c r="A204">
        <v>151</v>
      </c>
      <c r="B204">
        <f t="shared" si="7"/>
        <v>2</v>
      </c>
      <c r="C204" t="str">
        <f t="shared" si="6"/>
        <v>1512</v>
      </c>
      <c r="D204" t="s">
        <v>2604</v>
      </c>
      <c r="E204">
        <v>48</v>
      </c>
      <c r="F204">
        <v>79</v>
      </c>
      <c r="G204">
        <v>2016</v>
      </c>
      <c r="H204" t="s">
        <v>810</v>
      </c>
      <c r="I204" t="s">
        <v>414</v>
      </c>
      <c r="J204" t="s">
        <v>1746</v>
      </c>
      <c r="K204">
        <v>2</v>
      </c>
      <c r="L204" s="506">
        <v>42606</v>
      </c>
      <c r="M204" s="507">
        <v>1500000</v>
      </c>
      <c r="N204" t="s">
        <v>3755</v>
      </c>
      <c r="O204" t="s">
        <v>3753</v>
      </c>
      <c r="P204" t="s">
        <v>2586</v>
      </c>
      <c r="Q204" t="s">
        <v>3756</v>
      </c>
    </row>
    <row r="205" spans="1:17" x14ac:dyDescent="0.35">
      <c r="A205">
        <v>151</v>
      </c>
      <c r="B205">
        <f t="shared" si="7"/>
        <v>3</v>
      </c>
      <c r="C205" t="str">
        <f t="shared" si="6"/>
        <v>1513</v>
      </c>
      <c r="D205" t="s">
        <v>2604</v>
      </c>
      <c r="E205">
        <v>48</v>
      </c>
      <c r="F205">
        <v>80</v>
      </c>
      <c r="G205">
        <v>2016</v>
      </c>
      <c r="H205" t="s">
        <v>810</v>
      </c>
      <c r="I205" t="s">
        <v>414</v>
      </c>
      <c r="J205" t="s">
        <v>1746</v>
      </c>
      <c r="K205">
        <v>3</v>
      </c>
      <c r="L205" s="506">
        <v>42606</v>
      </c>
      <c r="M205" s="507">
        <v>1580000</v>
      </c>
      <c r="N205" t="s">
        <v>3757</v>
      </c>
      <c r="O205" t="s">
        <v>3758</v>
      </c>
      <c r="P205" t="s">
        <v>2586</v>
      </c>
      <c r="Q205" t="s">
        <v>3759</v>
      </c>
    </row>
    <row r="206" spans="1:17" x14ac:dyDescent="0.35">
      <c r="A206">
        <v>151</v>
      </c>
      <c r="B206">
        <f t="shared" si="7"/>
        <v>4</v>
      </c>
      <c r="C206" t="str">
        <f t="shared" si="6"/>
        <v>1514</v>
      </c>
      <c r="D206" t="s">
        <v>2604</v>
      </c>
      <c r="E206">
        <v>48</v>
      </c>
      <c r="F206">
        <v>81</v>
      </c>
      <c r="G206">
        <v>2016</v>
      </c>
      <c r="H206" t="s">
        <v>810</v>
      </c>
      <c r="I206" t="s">
        <v>414</v>
      </c>
      <c r="J206" t="s">
        <v>1746</v>
      </c>
      <c r="K206">
        <v>4</v>
      </c>
      <c r="L206" s="506">
        <v>42669</v>
      </c>
      <c r="M206" s="507">
        <v>5500000</v>
      </c>
      <c r="N206" t="s">
        <v>3760</v>
      </c>
      <c r="O206" t="s">
        <v>3753</v>
      </c>
      <c r="P206" t="s">
        <v>2586</v>
      </c>
      <c r="Q206" t="s">
        <v>3761</v>
      </c>
    </row>
    <row r="207" spans="1:17" x14ac:dyDescent="0.35">
      <c r="A207">
        <v>151</v>
      </c>
      <c r="B207">
        <f t="shared" si="7"/>
        <v>5</v>
      </c>
      <c r="C207" t="str">
        <f t="shared" si="6"/>
        <v>1515</v>
      </c>
      <c r="D207" t="s">
        <v>2604</v>
      </c>
      <c r="E207">
        <v>48</v>
      </c>
      <c r="F207">
        <v>82</v>
      </c>
      <c r="G207">
        <v>2016</v>
      </c>
      <c r="H207" t="s">
        <v>810</v>
      </c>
      <c r="I207" t="s">
        <v>414</v>
      </c>
      <c r="J207" t="s">
        <v>1746</v>
      </c>
      <c r="K207">
        <v>5</v>
      </c>
      <c r="L207" s="506">
        <v>42424</v>
      </c>
      <c r="M207" s="507">
        <v>2700000</v>
      </c>
      <c r="N207" t="s">
        <v>3762</v>
      </c>
      <c r="O207" t="s">
        <v>3763</v>
      </c>
      <c r="P207" t="s">
        <v>2586</v>
      </c>
      <c r="Q207" t="s">
        <v>3764</v>
      </c>
    </row>
    <row r="208" spans="1:17" x14ac:dyDescent="0.35">
      <c r="A208">
        <v>151</v>
      </c>
      <c r="B208">
        <f t="shared" si="7"/>
        <v>6</v>
      </c>
      <c r="C208" t="str">
        <f t="shared" si="6"/>
        <v>1516</v>
      </c>
      <c r="D208" t="s">
        <v>2604</v>
      </c>
      <c r="E208">
        <v>48</v>
      </c>
      <c r="F208">
        <v>83</v>
      </c>
      <c r="G208">
        <v>2016</v>
      </c>
      <c r="H208" t="s">
        <v>810</v>
      </c>
      <c r="I208" t="s">
        <v>414</v>
      </c>
      <c r="J208" t="s">
        <v>1746</v>
      </c>
      <c r="K208">
        <v>6</v>
      </c>
      <c r="L208" s="506">
        <v>42718</v>
      </c>
      <c r="M208" s="507">
        <v>3565000</v>
      </c>
      <c r="N208" t="s">
        <v>3765</v>
      </c>
      <c r="O208" t="s">
        <v>3753</v>
      </c>
      <c r="P208" t="s">
        <v>2586</v>
      </c>
      <c r="Q208" t="s">
        <v>3765</v>
      </c>
    </row>
    <row r="209" spans="1:17" x14ac:dyDescent="0.35">
      <c r="A209">
        <v>151</v>
      </c>
      <c r="B209">
        <f t="shared" si="7"/>
        <v>7</v>
      </c>
      <c r="C209" t="str">
        <f t="shared" si="6"/>
        <v>1517</v>
      </c>
      <c r="D209" t="s">
        <v>2604</v>
      </c>
      <c r="E209">
        <v>48</v>
      </c>
      <c r="F209">
        <v>84</v>
      </c>
      <c r="G209">
        <v>2016</v>
      </c>
      <c r="H209" t="s">
        <v>810</v>
      </c>
      <c r="I209" t="s">
        <v>414</v>
      </c>
      <c r="J209" t="s">
        <v>1746</v>
      </c>
      <c r="K209">
        <v>7</v>
      </c>
      <c r="L209" s="506">
        <v>42487</v>
      </c>
      <c r="M209" s="507">
        <v>5500000</v>
      </c>
      <c r="N209" t="s">
        <v>3766</v>
      </c>
      <c r="O209" t="s">
        <v>3753</v>
      </c>
      <c r="P209" t="s">
        <v>2586</v>
      </c>
      <c r="Q209" t="s">
        <v>3767</v>
      </c>
    </row>
    <row r="210" spans="1:17" x14ac:dyDescent="0.35">
      <c r="A210">
        <v>151</v>
      </c>
      <c r="B210">
        <f t="shared" si="7"/>
        <v>8</v>
      </c>
      <c r="C210" t="str">
        <f t="shared" si="6"/>
        <v>1518</v>
      </c>
      <c r="D210" t="s">
        <v>2604</v>
      </c>
      <c r="E210">
        <v>48</v>
      </c>
      <c r="F210">
        <v>61</v>
      </c>
      <c r="G210">
        <v>2015</v>
      </c>
      <c r="H210" t="s">
        <v>810</v>
      </c>
      <c r="I210" t="s">
        <v>414</v>
      </c>
      <c r="J210" t="s">
        <v>1746</v>
      </c>
      <c r="K210">
        <v>1</v>
      </c>
      <c r="L210" s="506">
        <v>42340</v>
      </c>
      <c r="M210" s="507">
        <v>11650000</v>
      </c>
      <c r="N210" t="s">
        <v>3151</v>
      </c>
      <c r="O210" t="s">
        <v>2606</v>
      </c>
      <c r="P210" t="s">
        <v>2586</v>
      </c>
      <c r="Q210" t="s">
        <v>3151</v>
      </c>
    </row>
    <row r="211" spans="1:17" x14ac:dyDescent="0.35">
      <c r="A211">
        <v>151</v>
      </c>
      <c r="B211">
        <f t="shared" si="7"/>
        <v>9</v>
      </c>
      <c r="C211" t="str">
        <f t="shared" si="6"/>
        <v>1519</v>
      </c>
      <c r="D211" t="s">
        <v>2604</v>
      </c>
      <c r="E211">
        <v>48</v>
      </c>
      <c r="F211">
        <v>62</v>
      </c>
      <c r="G211">
        <v>2015</v>
      </c>
      <c r="H211" t="s">
        <v>810</v>
      </c>
      <c r="I211" t="s">
        <v>414</v>
      </c>
      <c r="J211" t="s">
        <v>1746</v>
      </c>
      <c r="K211">
        <v>2</v>
      </c>
      <c r="L211" s="506">
        <v>42116</v>
      </c>
      <c r="M211" s="507">
        <v>2420000</v>
      </c>
      <c r="N211" t="s">
        <v>3148</v>
      </c>
      <c r="O211" t="s">
        <v>2606</v>
      </c>
      <c r="P211" t="s">
        <v>3149</v>
      </c>
      <c r="Q211" t="s">
        <v>3150</v>
      </c>
    </row>
    <row r="212" spans="1:17" x14ac:dyDescent="0.35">
      <c r="A212">
        <v>151</v>
      </c>
      <c r="B212">
        <f t="shared" si="7"/>
        <v>10</v>
      </c>
      <c r="C212" t="str">
        <f t="shared" si="6"/>
        <v>15110</v>
      </c>
      <c r="D212" t="s">
        <v>2604</v>
      </c>
      <c r="E212">
        <v>48</v>
      </c>
      <c r="F212">
        <v>63</v>
      </c>
      <c r="G212">
        <v>2015</v>
      </c>
      <c r="H212" t="s">
        <v>810</v>
      </c>
      <c r="I212" t="s">
        <v>414</v>
      </c>
      <c r="J212" t="s">
        <v>1746</v>
      </c>
      <c r="K212">
        <v>3</v>
      </c>
      <c r="L212" s="506">
        <v>42179</v>
      </c>
      <c r="M212" s="507">
        <v>3300000</v>
      </c>
      <c r="N212" t="s">
        <v>3146</v>
      </c>
      <c r="O212" t="s">
        <v>2606</v>
      </c>
      <c r="P212" t="s">
        <v>2588</v>
      </c>
      <c r="Q212" t="s">
        <v>3147</v>
      </c>
    </row>
    <row r="213" spans="1:17" x14ac:dyDescent="0.35">
      <c r="A213">
        <v>151</v>
      </c>
      <c r="B213">
        <f t="shared" si="7"/>
        <v>11</v>
      </c>
      <c r="C213" t="str">
        <f t="shared" si="6"/>
        <v>15111</v>
      </c>
      <c r="D213" t="s">
        <v>2604</v>
      </c>
      <c r="E213">
        <v>48</v>
      </c>
      <c r="F213">
        <v>64</v>
      </c>
      <c r="G213">
        <v>2015</v>
      </c>
      <c r="H213" t="s">
        <v>810</v>
      </c>
      <c r="I213" t="s">
        <v>414</v>
      </c>
      <c r="J213" t="s">
        <v>1746</v>
      </c>
      <c r="K213">
        <v>4</v>
      </c>
      <c r="L213" s="506">
        <v>42305</v>
      </c>
      <c r="M213" s="507">
        <v>9624893</v>
      </c>
      <c r="N213" t="s">
        <v>3143</v>
      </c>
      <c r="O213" t="s">
        <v>3144</v>
      </c>
      <c r="P213" t="s">
        <v>2588</v>
      </c>
      <c r="Q213" t="s">
        <v>3145</v>
      </c>
    </row>
    <row r="214" spans="1:17" x14ac:dyDescent="0.35">
      <c r="A214">
        <v>151</v>
      </c>
      <c r="B214">
        <f t="shared" si="7"/>
        <v>12</v>
      </c>
      <c r="C214" t="str">
        <f t="shared" si="6"/>
        <v>15112</v>
      </c>
      <c r="D214" t="s">
        <v>2604</v>
      </c>
      <c r="E214">
        <v>48</v>
      </c>
      <c r="F214">
        <v>65</v>
      </c>
      <c r="G214">
        <v>2015</v>
      </c>
      <c r="H214" t="s">
        <v>810</v>
      </c>
      <c r="I214" t="s">
        <v>414</v>
      </c>
      <c r="J214" t="s">
        <v>1746</v>
      </c>
      <c r="K214">
        <v>5</v>
      </c>
      <c r="L214" s="506">
        <v>42053</v>
      </c>
      <c r="M214" s="507">
        <v>4595000</v>
      </c>
      <c r="N214" t="s">
        <v>3142</v>
      </c>
      <c r="O214" t="s">
        <v>2606</v>
      </c>
      <c r="P214" t="s">
        <v>2588</v>
      </c>
      <c r="Q214" t="s">
        <v>3142</v>
      </c>
    </row>
    <row r="215" spans="1:17" x14ac:dyDescent="0.35">
      <c r="A215">
        <v>151</v>
      </c>
      <c r="B215">
        <f t="shared" si="7"/>
        <v>13</v>
      </c>
      <c r="C215" t="str">
        <f t="shared" si="6"/>
        <v>15113</v>
      </c>
      <c r="D215" t="s">
        <v>2604</v>
      </c>
      <c r="E215">
        <v>48</v>
      </c>
      <c r="F215">
        <v>66</v>
      </c>
      <c r="G215">
        <v>2015</v>
      </c>
      <c r="H215" t="s">
        <v>810</v>
      </c>
      <c r="I215" t="s">
        <v>414</v>
      </c>
      <c r="J215" t="s">
        <v>1746</v>
      </c>
      <c r="K215">
        <v>6</v>
      </c>
      <c r="L215" s="506">
        <v>42340</v>
      </c>
      <c r="M215" s="507">
        <v>1383050</v>
      </c>
      <c r="N215" t="s">
        <v>3140</v>
      </c>
      <c r="O215" t="s">
        <v>2606</v>
      </c>
      <c r="P215" t="s">
        <v>2588</v>
      </c>
      <c r="Q215" t="s">
        <v>3141</v>
      </c>
    </row>
    <row r="216" spans="1:17" x14ac:dyDescent="0.35">
      <c r="A216">
        <v>151</v>
      </c>
      <c r="B216">
        <f t="shared" si="7"/>
        <v>14</v>
      </c>
      <c r="C216" t="str">
        <f t="shared" si="6"/>
        <v>15114</v>
      </c>
      <c r="D216" t="s">
        <v>2604</v>
      </c>
      <c r="E216">
        <v>48</v>
      </c>
      <c r="F216">
        <v>67</v>
      </c>
      <c r="G216">
        <v>2015</v>
      </c>
      <c r="H216" t="s">
        <v>810</v>
      </c>
      <c r="I216" t="s">
        <v>414</v>
      </c>
      <c r="J216" t="s">
        <v>1746</v>
      </c>
      <c r="K216">
        <v>7</v>
      </c>
      <c r="L216" s="506">
        <v>42355</v>
      </c>
      <c r="M216" s="507">
        <v>5334080</v>
      </c>
      <c r="N216" t="s">
        <v>3138</v>
      </c>
      <c r="O216" t="s">
        <v>2606</v>
      </c>
      <c r="P216" t="s">
        <v>2586</v>
      </c>
      <c r="Q216" t="s">
        <v>3139</v>
      </c>
    </row>
    <row r="217" spans="1:17" x14ac:dyDescent="0.35">
      <c r="A217">
        <v>151</v>
      </c>
      <c r="B217">
        <f t="shared" si="7"/>
        <v>15</v>
      </c>
      <c r="C217" t="str">
        <f t="shared" si="6"/>
        <v>15115</v>
      </c>
      <c r="D217" t="s">
        <v>2604</v>
      </c>
      <c r="E217">
        <v>48</v>
      </c>
      <c r="F217">
        <v>68</v>
      </c>
      <c r="G217">
        <v>2015</v>
      </c>
      <c r="H217" t="s">
        <v>810</v>
      </c>
      <c r="I217" t="s">
        <v>414</v>
      </c>
      <c r="J217" t="s">
        <v>1746</v>
      </c>
      <c r="K217">
        <v>8</v>
      </c>
      <c r="L217" s="506">
        <v>42053</v>
      </c>
      <c r="M217" s="507">
        <v>1500000</v>
      </c>
      <c r="N217" t="s">
        <v>3136</v>
      </c>
      <c r="O217" t="s">
        <v>2606</v>
      </c>
      <c r="P217" t="s">
        <v>2586</v>
      </c>
      <c r="Q217" t="s">
        <v>3137</v>
      </c>
    </row>
    <row r="218" spans="1:17" x14ac:dyDescent="0.35">
      <c r="A218">
        <v>151</v>
      </c>
      <c r="B218">
        <f t="shared" si="7"/>
        <v>16</v>
      </c>
      <c r="C218" t="str">
        <f t="shared" si="6"/>
        <v>15116</v>
      </c>
      <c r="D218" t="s">
        <v>2604</v>
      </c>
      <c r="E218">
        <v>48</v>
      </c>
      <c r="F218">
        <v>49</v>
      </c>
      <c r="G218">
        <v>2014</v>
      </c>
      <c r="H218" t="s">
        <v>810</v>
      </c>
      <c r="I218" t="s">
        <v>414</v>
      </c>
      <c r="J218" t="s">
        <v>1746</v>
      </c>
      <c r="K218">
        <v>1</v>
      </c>
      <c r="L218" s="506">
        <v>41695</v>
      </c>
      <c r="M218" s="507">
        <v>4583846</v>
      </c>
      <c r="N218" t="s">
        <v>2605</v>
      </c>
      <c r="O218" t="s">
        <v>2606</v>
      </c>
      <c r="P218" t="s">
        <v>2586</v>
      </c>
      <c r="Q218" t="s">
        <v>2738</v>
      </c>
    </row>
    <row r="219" spans="1:17" x14ac:dyDescent="0.35">
      <c r="A219">
        <v>151</v>
      </c>
      <c r="B219">
        <f t="shared" si="7"/>
        <v>17</v>
      </c>
      <c r="C219" t="str">
        <f t="shared" si="6"/>
        <v>15117</v>
      </c>
      <c r="D219" t="s">
        <v>2604</v>
      </c>
      <c r="E219">
        <v>48</v>
      </c>
      <c r="F219">
        <v>50</v>
      </c>
      <c r="G219">
        <v>2014</v>
      </c>
      <c r="H219" t="s">
        <v>810</v>
      </c>
      <c r="I219" t="s">
        <v>414</v>
      </c>
      <c r="J219" t="s">
        <v>1746</v>
      </c>
      <c r="K219">
        <v>2</v>
      </c>
      <c r="L219" s="506">
        <v>41877</v>
      </c>
      <c r="M219" s="507">
        <v>6486329</v>
      </c>
      <c r="N219" t="s">
        <v>2605</v>
      </c>
      <c r="O219" t="s">
        <v>2606</v>
      </c>
      <c r="P219" t="s">
        <v>2586</v>
      </c>
      <c r="Q219" t="s">
        <v>2739</v>
      </c>
    </row>
    <row r="220" spans="1:17" x14ac:dyDescent="0.35">
      <c r="A220">
        <v>151</v>
      </c>
      <c r="B220">
        <f t="shared" si="7"/>
        <v>18</v>
      </c>
      <c r="C220" t="str">
        <f t="shared" si="6"/>
        <v>15118</v>
      </c>
      <c r="D220" t="s">
        <v>2604</v>
      </c>
      <c r="E220">
        <v>48</v>
      </c>
      <c r="F220">
        <v>51</v>
      </c>
      <c r="G220">
        <v>2014</v>
      </c>
      <c r="H220" t="s">
        <v>810</v>
      </c>
      <c r="I220" t="s">
        <v>414</v>
      </c>
      <c r="J220" t="s">
        <v>1746</v>
      </c>
      <c r="K220">
        <v>3</v>
      </c>
      <c r="L220" s="506">
        <v>41990</v>
      </c>
      <c r="M220" s="507">
        <v>2897657</v>
      </c>
      <c r="N220" t="s">
        <v>2740</v>
      </c>
      <c r="O220" t="s">
        <v>2606</v>
      </c>
      <c r="P220" t="s">
        <v>2586</v>
      </c>
      <c r="Q220" t="s">
        <v>2741</v>
      </c>
    </row>
    <row r="221" spans="1:17" x14ac:dyDescent="0.35">
      <c r="A221">
        <v>151</v>
      </c>
      <c r="B221">
        <f t="shared" si="7"/>
        <v>19</v>
      </c>
      <c r="C221" t="str">
        <f t="shared" si="6"/>
        <v>15119</v>
      </c>
      <c r="D221" t="s">
        <v>2604</v>
      </c>
      <c r="E221">
        <v>48</v>
      </c>
      <c r="F221">
        <v>52</v>
      </c>
      <c r="G221">
        <v>2014</v>
      </c>
      <c r="H221" t="s">
        <v>810</v>
      </c>
      <c r="I221" t="s">
        <v>414</v>
      </c>
      <c r="J221" t="s">
        <v>1746</v>
      </c>
      <c r="K221">
        <v>4</v>
      </c>
      <c r="L221" s="506">
        <v>41990</v>
      </c>
      <c r="M221" s="507">
        <v>5334080</v>
      </c>
      <c r="N221" t="s">
        <v>2605</v>
      </c>
      <c r="O221" t="s">
        <v>2606</v>
      </c>
      <c r="P221" t="s">
        <v>2586</v>
      </c>
      <c r="Q221" t="s">
        <v>2742</v>
      </c>
    </row>
    <row r="222" spans="1:17" x14ac:dyDescent="0.35">
      <c r="A222">
        <v>151</v>
      </c>
      <c r="B222">
        <f t="shared" si="7"/>
        <v>20</v>
      </c>
      <c r="C222" t="str">
        <f t="shared" si="6"/>
        <v>15120</v>
      </c>
      <c r="D222" t="s">
        <v>2604</v>
      </c>
      <c r="E222">
        <v>48</v>
      </c>
      <c r="F222">
        <v>53</v>
      </c>
      <c r="G222">
        <v>2014</v>
      </c>
      <c r="H222" t="s">
        <v>810</v>
      </c>
      <c r="I222" t="s">
        <v>414</v>
      </c>
      <c r="J222" t="s">
        <v>1746</v>
      </c>
      <c r="K222">
        <v>5</v>
      </c>
      <c r="L222" s="506">
        <v>41695</v>
      </c>
      <c r="M222" s="507">
        <v>14900000</v>
      </c>
      <c r="N222" t="s">
        <v>2605</v>
      </c>
      <c r="O222" t="s">
        <v>2606</v>
      </c>
      <c r="P222" t="s">
        <v>2586</v>
      </c>
      <c r="Q222" t="s">
        <v>2743</v>
      </c>
    </row>
    <row r="223" spans="1:17" x14ac:dyDescent="0.35">
      <c r="A223">
        <v>152</v>
      </c>
      <c r="B223">
        <f t="shared" si="7"/>
        <v>1</v>
      </c>
      <c r="C223" t="str">
        <f t="shared" si="6"/>
        <v>1521</v>
      </c>
      <c r="D223" t="s">
        <v>228</v>
      </c>
      <c r="E223">
        <v>140</v>
      </c>
      <c r="F223">
        <v>7</v>
      </c>
      <c r="G223">
        <v>2016</v>
      </c>
      <c r="H223" t="s">
        <v>228</v>
      </c>
      <c r="I223" t="s">
        <v>229</v>
      </c>
      <c r="J223" t="s">
        <v>1746</v>
      </c>
      <c r="K223">
        <v>1</v>
      </c>
      <c r="L223" s="506">
        <v>42450</v>
      </c>
      <c r="M223" s="507">
        <v>1449167</v>
      </c>
      <c r="N223" t="s">
        <v>228</v>
      </c>
      <c r="O223" t="s">
        <v>2745</v>
      </c>
      <c r="P223" t="s">
        <v>229</v>
      </c>
      <c r="Q223" t="s">
        <v>3768</v>
      </c>
    </row>
    <row r="224" spans="1:17" x14ac:dyDescent="0.35">
      <c r="A224">
        <v>152</v>
      </c>
      <c r="B224">
        <f t="shared" si="7"/>
        <v>2</v>
      </c>
      <c r="C224" t="str">
        <f t="shared" si="6"/>
        <v>1522</v>
      </c>
      <c r="D224" t="s">
        <v>228</v>
      </c>
      <c r="E224">
        <v>140</v>
      </c>
      <c r="F224">
        <v>6</v>
      </c>
      <c r="G224">
        <v>2014</v>
      </c>
      <c r="H224" t="s">
        <v>228</v>
      </c>
      <c r="I224" t="s">
        <v>229</v>
      </c>
      <c r="J224" t="s">
        <v>1746</v>
      </c>
      <c r="K224">
        <v>1</v>
      </c>
      <c r="L224" s="506">
        <v>41897</v>
      </c>
      <c r="M224" s="507">
        <v>8400000</v>
      </c>
      <c r="N224" t="s">
        <v>2744</v>
      </c>
      <c r="O224" t="s">
        <v>2745</v>
      </c>
      <c r="P224" t="s">
        <v>229</v>
      </c>
      <c r="Q224" t="s">
        <v>2746</v>
      </c>
    </row>
    <row r="225" spans="1:17" x14ac:dyDescent="0.35">
      <c r="A225">
        <v>157</v>
      </c>
      <c r="B225">
        <f t="shared" si="7"/>
        <v>1</v>
      </c>
      <c r="C225" t="str">
        <f t="shared" si="6"/>
        <v>1571</v>
      </c>
      <c r="D225" t="s">
        <v>1800</v>
      </c>
      <c r="E225">
        <v>39</v>
      </c>
      <c r="F225">
        <v>6</v>
      </c>
      <c r="G225">
        <v>2016</v>
      </c>
      <c r="H225" t="s">
        <v>1800</v>
      </c>
      <c r="I225" t="s">
        <v>820</v>
      </c>
      <c r="J225" t="s">
        <v>1746</v>
      </c>
      <c r="K225">
        <v>1</v>
      </c>
      <c r="L225" s="506">
        <v>42186</v>
      </c>
      <c r="M225" s="507">
        <v>1230216</v>
      </c>
      <c r="N225" t="s">
        <v>1800</v>
      </c>
      <c r="O225" t="s">
        <v>3769</v>
      </c>
      <c r="P225" t="s">
        <v>3770</v>
      </c>
      <c r="Q225" t="s">
        <v>3771</v>
      </c>
    </row>
    <row r="226" spans="1:17" x14ac:dyDescent="0.35">
      <c r="A226">
        <v>161</v>
      </c>
      <c r="B226">
        <f t="shared" si="7"/>
        <v>1</v>
      </c>
      <c r="C226" t="str">
        <f t="shared" si="6"/>
        <v>1611</v>
      </c>
      <c r="D226" t="s">
        <v>818</v>
      </c>
      <c r="E226">
        <v>119</v>
      </c>
      <c r="F226">
        <v>13</v>
      </c>
      <c r="G226">
        <v>2016</v>
      </c>
      <c r="H226" t="s">
        <v>818</v>
      </c>
      <c r="I226" t="s">
        <v>819</v>
      </c>
      <c r="J226" t="s">
        <v>1746</v>
      </c>
      <c r="K226">
        <v>1</v>
      </c>
      <c r="L226" s="506">
        <v>42642</v>
      </c>
      <c r="M226" s="507">
        <v>22300000</v>
      </c>
      <c r="N226" t="s">
        <v>818</v>
      </c>
      <c r="O226" t="s">
        <v>3772</v>
      </c>
      <c r="P226" t="s">
        <v>819</v>
      </c>
      <c r="Q226" t="s">
        <v>3773</v>
      </c>
    </row>
    <row r="227" spans="1:17" x14ac:dyDescent="0.35">
      <c r="A227">
        <v>163</v>
      </c>
      <c r="B227">
        <f t="shared" si="7"/>
        <v>1</v>
      </c>
      <c r="C227" t="str">
        <f t="shared" si="6"/>
        <v>1631</v>
      </c>
      <c r="D227" t="s">
        <v>2578</v>
      </c>
      <c r="E227">
        <v>74</v>
      </c>
      <c r="F227">
        <v>342</v>
      </c>
      <c r="G227">
        <v>2016</v>
      </c>
      <c r="H227" t="s">
        <v>807</v>
      </c>
      <c r="I227" t="s">
        <v>414</v>
      </c>
      <c r="J227" t="s">
        <v>1746</v>
      </c>
      <c r="K227">
        <v>1</v>
      </c>
      <c r="L227" s="506">
        <v>42577</v>
      </c>
      <c r="M227" s="507">
        <v>3874816</v>
      </c>
      <c r="N227" t="s">
        <v>807</v>
      </c>
      <c r="O227" t="s">
        <v>3774</v>
      </c>
      <c r="P227" t="s">
        <v>3775</v>
      </c>
      <c r="Q227" t="s">
        <v>3776</v>
      </c>
    </row>
    <row r="228" spans="1:17" x14ac:dyDescent="0.35">
      <c r="A228">
        <v>163</v>
      </c>
      <c r="B228">
        <f t="shared" si="7"/>
        <v>2</v>
      </c>
      <c r="C228" t="str">
        <f t="shared" si="6"/>
        <v>1632</v>
      </c>
      <c r="D228" t="s">
        <v>2578</v>
      </c>
      <c r="E228">
        <v>74</v>
      </c>
      <c r="F228">
        <v>343</v>
      </c>
      <c r="G228">
        <v>2016</v>
      </c>
      <c r="H228" t="s">
        <v>807</v>
      </c>
      <c r="I228" t="s">
        <v>414</v>
      </c>
      <c r="J228" t="s">
        <v>1746</v>
      </c>
      <c r="K228">
        <v>2</v>
      </c>
      <c r="L228" s="506">
        <v>42590</v>
      </c>
      <c r="M228" s="507">
        <v>1066407</v>
      </c>
      <c r="N228" t="s">
        <v>807</v>
      </c>
      <c r="O228" t="s">
        <v>3777</v>
      </c>
      <c r="P228" t="s">
        <v>414</v>
      </c>
      <c r="Q228" t="s">
        <v>3778</v>
      </c>
    </row>
    <row r="229" spans="1:17" x14ac:dyDescent="0.35">
      <c r="A229">
        <v>163</v>
      </c>
      <c r="B229">
        <f t="shared" si="7"/>
        <v>3</v>
      </c>
      <c r="C229" t="str">
        <f t="shared" si="6"/>
        <v>1633</v>
      </c>
      <c r="D229" t="s">
        <v>2578</v>
      </c>
      <c r="E229">
        <v>74</v>
      </c>
      <c r="F229">
        <v>344</v>
      </c>
      <c r="G229">
        <v>2016</v>
      </c>
      <c r="H229" t="s">
        <v>807</v>
      </c>
      <c r="I229" t="s">
        <v>414</v>
      </c>
      <c r="J229" t="s">
        <v>1746</v>
      </c>
      <c r="K229">
        <v>3</v>
      </c>
      <c r="L229" s="506">
        <v>42590</v>
      </c>
      <c r="M229" s="507">
        <v>1600000</v>
      </c>
      <c r="N229" t="s">
        <v>807</v>
      </c>
      <c r="O229" t="s">
        <v>3774</v>
      </c>
      <c r="P229" t="s">
        <v>3775</v>
      </c>
      <c r="Q229" t="s">
        <v>3779</v>
      </c>
    </row>
    <row r="230" spans="1:17" x14ac:dyDescent="0.35">
      <c r="A230">
        <v>163</v>
      </c>
      <c r="B230">
        <f t="shared" si="7"/>
        <v>4</v>
      </c>
      <c r="C230" t="str">
        <f t="shared" si="6"/>
        <v>1634</v>
      </c>
      <c r="D230" t="s">
        <v>2578</v>
      </c>
      <c r="E230">
        <v>74</v>
      </c>
      <c r="F230">
        <v>345</v>
      </c>
      <c r="G230">
        <v>2016</v>
      </c>
      <c r="H230" t="s">
        <v>807</v>
      </c>
      <c r="I230" t="s">
        <v>414</v>
      </c>
      <c r="J230" t="s">
        <v>1746</v>
      </c>
      <c r="K230">
        <v>4</v>
      </c>
      <c r="L230" s="506">
        <v>42437</v>
      </c>
      <c r="M230" s="507">
        <v>7800000</v>
      </c>
      <c r="N230" t="s">
        <v>807</v>
      </c>
      <c r="O230" t="s">
        <v>3780</v>
      </c>
      <c r="P230" t="s">
        <v>2586</v>
      </c>
      <c r="Q230" t="s">
        <v>3781</v>
      </c>
    </row>
    <row r="231" spans="1:17" x14ac:dyDescent="0.35">
      <c r="A231">
        <v>163</v>
      </c>
      <c r="B231">
        <f t="shared" si="7"/>
        <v>5</v>
      </c>
      <c r="C231" t="str">
        <f t="shared" si="6"/>
        <v>1635</v>
      </c>
      <c r="D231" t="s">
        <v>2578</v>
      </c>
      <c r="E231">
        <v>74</v>
      </c>
      <c r="F231">
        <v>318</v>
      </c>
      <c r="G231">
        <v>2015</v>
      </c>
      <c r="H231" t="s">
        <v>807</v>
      </c>
      <c r="I231" t="s">
        <v>414</v>
      </c>
      <c r="J231" t="s">
        <v>1746</v>
      </c>
      <c r="K231">
        <v>1</v>
      </c>
      <c r="L231" s="506">
        <v>42122</v>
      </c>
      <c r="M231" s="507">
        <v>1741452</v>
      </c>
      <c r="N231" t="s">
        <v>807</v>
      </c>
      <c r="O231" t="s">
        <v>2587</v>
      </c>
      <c r="P231" t="s">
        <v>2586</v>
      </c>
      <c r="Q231" t="s">
        <v>3160</v>
      </c>
    </row>
    <row r="232" spans="1:17" x14ac:dyDescent="0.35">
      <c r="A232">
        <v>163</v>
      </c>
      <c r="B232">
        <f t="shared" si="7"/>
        <v>6</v>
      </c>
      <c r="C232" t="str">
        <f t="shared" si="6"/>
        <v>1636</v>
      </c>
      <c r="D232" t="s">
        <v>2578</v>
      </c>
      <c r="E232">
        <v>74</v>
      </c>
      <c r="F232">
        <v>319</v>
      </c>
      <c r="G232">
        <v>2015</v>
      </c>
      <c r="H232" t="s">
        <v>807</v>
      </c>
      <c r="I232" t="s">
        <v>414</v>
      </c>
      <c r="J232" t="s">
        <v>1746</v>
      </c>
      <c r="K232">
        <v>2</v>
      </c>
      <c r="L232" s="506">
        <v>42150</v>
      </c>
      <c r="M232" s="507">
        <v>1007372</v>
      </c>
      <c r="N232" t="s">
        <v>3156</v>
      </c>
      <c r="O232" t="s">
        <v>3157</v>
      </c>
      <c r="P232" t="s">
        <v>3158</v>
      </c>
      <c r="Q232" t="s">
        <v>3159</v>
      </c>
    </row>
    <row r="233" spans="1:17" x14ac:dyDescent="0.35">
      <c r="A233">
        <v>163</v>
      </c>
      <c r="B233">
        <f t="shared" si="7"/>
        <v>7</v>
      </c>
      <c r="C233" t="str">
        <f t="shared" si="6"/>
        <v>1637</v>
      </c>
      <c r="D233" t="s">
        <v>2578</v>
      </c>
      <c r="E233">
        <v>74</v>
      </c>
      <c r="F233">
        <v>320</v>
      </c>
      <c r="G233">
        <v>2015</v>
      </c>
      <c r="H233" t="s">
        <v>807</v>
      </c>
      <c r="I233" t="s">
        <v>414</v>
      </c>
      <c r="J233" t="s">
        <v>1746</v>
      </c>
      <c r="K233">
        <v>3</v>
      </c>
      <c r="L233" s="506">
        <v>42122</v>
      </c>
      <c r="M233" s="507">
        <v>2600000</v>
      </c>
      <c r="N233" t="s">
        <v>807</v>
      </c>
      <c r="O233" t="s">
        <v>2587</v>
      </c>
      <c r="P233" t="s">
        <v>2586</v>
      </c>
      <c r="Q233" t="s">
        <v>3155</v>
      </c>
    </row>
    <row r="234" spans="1:17" x14ac:dyDescent="0.35">
      <c r="A234">
        <v>163</v>
      </c>
      <c r="B234">
        <f t="shared" si="7"/>
        <v>8</v>
      </c>
      <c r="C234" t="str">
        <f t="shared" si="6"/>
        <v>1638</v>
      </c>
      <c r="D234" t="s">
        <v>2578</v>
      </c>
      <c r="E234">
        <v>74</v>
      </c>
      <c r="F234">
        <v>321</v>
      </c>
      <c r="G234">
        <v>2015</v>
      </c>
      <c r="H234" t="s">
        <v>807</v>
      </c>
      <c r="I234" t="s">
        <v>414</v>
      </c>
      <c r="J234" t="s">
        <v>1746</v>
      </c>
      <c r="K234">
        <v>4</v>
      </c>
      <c r="L234" s="506">
        <v>42059</v>
      </c>
      <c r="M234" s="507">
        <v>3132598</v>
      </c>
      <c r="N234" t="s">
        <v>807</v>
      </c>
      <c r="O234" t="s">
        <v>2587</v>
      </c>
      <c r="P234" t="s">
        <v>2586</v>
      </c>
      <c r="Q234" t="s">
        <v>3154</v>
      </c>
    </row>
    <row r="235" spans="1:17" x14ac:dyDescent="0.35">
      <c r="A235">
        <v>163</v>
      </c>
      <c r="B235">
        <f t="shared" si="7"/>
        <v>9</v>
      </c>
      <c r="C235" t="str">
        <f t="shared" si="6"/>
        <v>1639</v>
      </c>
      <c r="D235" t="s">
        <v>2578</v>
      </c>
      <c r="E235">
        <v>74</v>
      </c>
      <c r="F235">
        <v>322</v>
      </c>
      <c r="G235">
        <v>2015</v>
      </c>
      <c r="H235" t="s">
        <v>807</v>
      </c>
      <c r="I235" t="s">
        <v>414</v>
      </c>
      <c r="J235" t="s">
        <v>1746</v>
      </c>
      <c r="K235">
        <v>5</v>
      </c>
      <c r="L235" s="506">
        <v>42360</v>
      </c>
      <c r="M235" s="507">
        <v>1600000</v>
      </c>
      <c r="N235" t="s">
        <v>807</v>
      </c>
      <c r="O235" t="s">
        <v>2587</v>
      </c>
      <c r="P235" t="s">
        <v>414</v>
      </c>
      <c r="Q235" t="s">
        <v>3153</v>
      </c>
    </row>
    <row r="236" spans="1:17" x14ac:dyDescent="0.35">
      <c r="A236">
        <v>163</v>
      </c>
      <c r="B236">
        <f t="shared" si="7"/>
        <v>10</v>
      </c>
      <c r="C236" t="str">
        <f t="shared" si="6"/>
        <v>16310</v>
      </c>
      <c r="D236" t="s">
        <v>2578</v>
      </c>
      <c r="E236">
        <v>74</v>
      </c>
      <c r="F236">
        <v>323</v>
      </c>
      <c r="G236">
        <v>2015</v>
      </c>
      <c r="H236" t="s">
        <v>807</v>
      </c>
      <c r="I236" t="s">
        <v>414</v>
      </c>
      <c r="J236" t="s">
        <v>1746</v>
      </c>
      <c r="K236">
        <v>6</v>
      </c>
      <c r="L236" s="506">
        <v>42241</v>
      </c>
      <c r="M236" s="507">
        <v>4104000</v>
      </c>
      <c r="N236" t="s">
        <v>807</v>
      </c>
      <c r="O236" t="s">
        <v>2587</v>
      </c>
      <c r="P236" t="s">
        <v>414</v>
      </c>
      <c r="Q236" t="s">
        <v>3152</v>
      </c>
    </row>
    <row r="237" spans="1:17" x14ac:dyDescent="0.35">
      <c r="A237">
        <v>163</v>
      </c>
      <c r="B237">
        <f t="shared" si="7"/>
        <v>11</v>
      </c>
      <c r="C237" t="str">
        <f t="shared" si="6"/>
        <v>16311</v>
      </c>
      <c r="D237" t="s">
        <v>2578</v>
      </c>
      <c r="E237">
        <v>74</v>
      </c>
      <c r="F237">
        <v>289</v>
      </c>
      <c r="G237">
        <v>2014</v>
      </c>
      <c r="H237" t="s">
        <v>807</v>
      </c>
      <c r="I237" t="s">
        <v>414</v>
      </c>
      <c r="J237" t="s">
        <v>1746</v>
      </c>
      <c r="K237">
        <v>1</v>
      </c>
      <c r="L237" s="506">
        <v>41699</v>
      </c>
      <c r="M237" s="507">
        <v>5920601</v>
      </c>
      <c r="N237" t="s">
        <v>807</v>
      </c>
      <c r="O237" t="s">
        <v>2747</v>
      </c>
      <c r="P237" t="s">
        <v>2586</v>
      </c>
      <c r="Q237" t="s">
        <v>2748</v>
      </c>
    </row>
    <row r="238" spans="1:17" x14ac:dyDescent="0.35">
      <c r="A238">
        <v>163</v>
      </c>
      <c r="B238">
        <f t="shared" si="7"/>
        <v>12</v>
      </c>
      <c r="C238" t="str">
        <f t="shared" si="6"/>
        <v>16312</v>
      </c>
      <c r="D238" t="s">
        <v>2578</v>
      </c>
      <c r="E238">
        <v>74</v>
      </c>
      <c r="F238">
        <v>290</v>
      </c>
      <c r="G238">
        <v>2014</v>
      </c>
      <c r="H238" t="s">
        <v>807</v>
      </c>
      <c r="I238" t="s">
        <v>414</v>
      </c>
      <c r="J238" t="s">
        <v>1746</v>
      </c>
      <c r="K238">
        <v>2</v>
      </c>
      <c r="L238" s="506">
        <v>41982</v>
      </c>
      <c r="M238" s="507">
        <v>24500000</v>
      </c>
      <c r="N238" t="s">
        <v>807</v>
      </c>
      <c r="O238" t="s">
        <v>2585</v>
      </c>
      <c r="P238" t="s">
        <v>414</v>
      </c>
      <c r="Q238" t="s">
        <v>2749</v>
      </c>
    </row>
    <row r="239" spans="1:17" x14ac:dyDescent="0.35">
      <c r="A239">
        <v>163</v>
      </c>
      <c r="B239">
        <f t="shared" si="7"/>
        <v>13</v>
      </c>
      <c r="C239" t="str">
        <f t="shared" si="6"/>
        <v>16313</v>
      </c>
      <c r="D239" t="s">
        <v>2578</v>
      </c>
      <c r="E239">
        <v>74</v>
      </c>
      <c r="F239">
        <v>291</v>
      </c>
      <c r="G239">
        <v>2014</v>
      </c>
      <c r="H239" t="s">
        <v>807</v>
      </c>
      <c r="I239" t="s">
        <v>414</v>
      </c>
      <c r="J239" t="s">
        <v>1746</v>
      </c>
      <c r="K239">
        <v>3</v>
      </c>
      <c r="L239" s="506">
        <v>41982</v>
      </c>
      <c r="M239" s="507">
        <v>7428000</v>
      </c>
      <c r="N239" t="s">
        <v>807</v>
      </c>
      <c r="O239" t="s">
        <v>2585</v>
      </c>
      <c r="P239" t="s">
        <v>414</v>
      </c>
      <c r="Q239" t="s">
        <v>2750</v>
      </c>
    </row>
    <row r="240" spans="1:17" x14ac:dyDescent="0.35">
      <c r="A240">
        <v>163</v>
      </c>
      <c r="B240">
        <f t="shared" si="7"/>
        <v>14</v>
      </c>
      <c r="C240" t="str">
        <f t="shared" si="6"/>
        <v>16314</v>
      </c>
      <c r="D240" t="s">
        <v>2578</v>
      </c>
      <c r="E240">
        <v>74</v>
      </c>
      <c r="F240">
        <v>292</v>
      </c>
      <c r="G240">
        <v>2014</v>
      </c>
      <c r="H240" t="s">
        <v>807</v>
      </c>
      <c r="I240" t="s">
        <v>414</v>
      </c>
      <c r="J240" t="s">
        <v>1746</v>
      </c>
      <c r="K240">
        <v>4</v>
      </c>
      <c r="L240" s="506">
        <v>41751</v>
      </c>
      <c r="M240" s="507">
        <v>1500000</v>
      </c>
      <c r="N240" t="s">
        <v>807</v>
      </c>
      <c r="O240" t="s">
        <v>2585</v>
      </c>
      <c r="P240" t="s">
        <v>414</v>
      </c>
      <c r="Q240" t="s">
        <v>2751</v>
      </c>
    </row>
    <row r="241" spans="1:17" x14ac:dyDescent="0.35">
      <c r="A241">
        <v>164</v>
      </c>
      <c r="B241">
        <f t="shared" si="7"/>
        <v>1</v>
      </c>
      <c r="C241" t="str">
        <f t="shared" si="6"/>
        <v>1641</v>
      </c>
      <c r="D241" t="s">
        <v>2578</v>
      </c>
      <c r="E241">
        <v>74</v>
      </c>
      <c r="F241">
        <v>293</v>
      </c>
      <c r="G241">
        <v>2014</v>
      </c>
      <c r="H241" t="s">
        <v>492</v>
      </c>
      <c r="I241" t="s">
        <v>493</v>
      </c>
      <c r="J241" t="s">
        <v>1746</v>
      </c>
      <c r="K241">
        <v>1</v>
      </c>
      <c r="L241" s="506">
        <v>41820</v>
      </c>
      <c r="M241" s="507">
        <v>2134546</v>
      </c>
      <c r="N241" t="s">
        <v>492</v>
      </c>
      <c r="O241" t="s">
        <v>2589</v>
      </c>
      <c r="P241" t="s">
        <v>2590</v>
      </c>
      <c r="Q241" t="s">
        <v>2752</v>
      </c>
    </row>
    <row r="242" spans="1:17" x14ac:dyDescent="0.35">
      <c r="A242">
        <v>167</v>
      </c>
      <c r="B242">
        <f t="shared" si="7"/>
        <v>1</v>
      </c>
      <c r="C242" t="str">
        <f t="shared" si="6"/>
        <v>1671</v>
      </c>
      <c r="D242" t="s">
        <v>1691</v>
      </c>
      <c r="E242">
        <v>213</v>
      </c>
      <c r="F242">
        <v>35</v>
      </c>
      <c r="G242">
        <v>2014</v>
      </c>
      <c r="H242" t="s">
        <v>2515</v>
      </c>
      <c r="I242" t="s">
        <v>1782</v>
      </c>
      <c r="J242" t="s">
        <v>1746</v>
      </c>
      <c r="K242">
        <v>1</v>
      </c>
      <c r="L242" s="506">
        <v>41598</v>
      </c>
      <c r="M242" s="507">
        <v>1669000</v>
      </c>
      <c r="N242" t="s">
        <v>2753</v>
      </c>
      <c r="O242" t="s">
        <v>2754</v>
      </c>
      <c r="P242" t="s">
        <v>1782</v>
      </c>
      <c r="Q242" t="s">
        <v>2755</v>
      </c>
    </row>
    <row r="243" spans="1:17" x14ac:dyDescent="0.35">
      <c r="A243">
        <v>168</v>
      </c>
      <c r="B243">
        <f t="shared" si="7"/>
        <v>1</v>
      </c>
      <c r="C243" t="str">
        <f t="shared" si="6"/>
        <v>1681</v>
      </c>
      <c r="D243" t="s">
        <v>1792</v>
      </c>
      <c r="E243">
        <v>82</v>
      </c>
      <c r="F243">
        <v>24</v>
      </c>
      <c r="G243">
        <v>2016</v>
      </c>
      <c r="H243" t="s">
        <v>1792</v>
      </c>
      <c r="I243" t="s">
        <v>1793</v>
      </c>
      <c r="J243" t="s">
        <v>1746</v>
      </c>
      <c r="K243">
        <v>1</v>
      </c>
      <c r="L243" s="506">
        <v>42522</v>
      </c>
      <c r="M243" s="507">
        <v>8000000</v>
      </c>
      <c r="N243" t="s">
        <v>3782</v>
      </c>
      <c r="O243" t="s">
        <v>3783</v>
      </c>
      <c r="P243" t="s">
        <v>3784</v>
      </c>
      <c r="Q243" t="s">
        <v>3785</v>
      </c>
    </row>
    <row r="244" spans="1:17" x14ac:dyDescent="0.35">
      <c r="A244">
        <v>168</v>
      </c>
      <c r="B244">
        <f t="shared" si="7"/>
        <v>2</v>
      </c>
      <c r="C244" t="str">
        <f t="shared" si="6"/>
        <v>1682</v>
      </c>
      <c r="D244" t="s">
        <v>1792</v>
      </c>
      <c r="E244">
        <v>82</v>
      </c>
      <c r="F244">
        <v>23</v>
      </c>
      <c r="G244">
        <v>2015</v>
      </c>
      <c r="H244" t="s">
        <v>1792</v>
      </c>
      <c r="I244" t="s">
        <v>1793</v>
      </c>
      <c r="J244" t="s">
        <v>1746</v>
      </c>
      <c r="K244">
        <v>1</v>
      </c>
      <c r="L244" s="506">
        <v>42050</v>
      </c>
      <c r="M244" s="507">
        <v>3000000</v>
      </c>
      <c r="N244" t="s">
        <v>3161</v>
      </c>
      <c r="O244" t="s">
        <v>3162</v>
      </c>
      <c r="P244" t="s">
        <v>1793</v>
      </c>
      <c r="Q244" t="s">
        <v>3163</v>
      </c>
    </row>
    <row r="245" spans="1:17" x14ac:dyDescent="0.35">
      <c r="A245">
        <v>176</v>
      </c>
      <c r="B245">
        <f t="shared" si="7"/>
        <v>1</v>
      </c>
      <c r="C245" t="str">
        <f t="shared" si="6"/>
        <v>1761</v>
      </c>
      <c r="D245" t="s">
        <v>1505</v>
      </c>
      <c r="E245">
        <v>208</v>
      </c>
      <c r="F245">
        <v>10</v>
      </c>
      <c r="G245">
        <v>2015</v>
      </c>
      <c r="H245" t="s">
        <v>965</v>
      </c>
      <c r="I245" t="s">
        <v>966</v>
      </c>
      <c r="J245" t="s">
        <v>1746</v>
      </c>
      <c r="K245">
        <v>1</v>
      </c>
      <c r="L245" s="506">
        <v>41712</v>
      </c>
      <c r="M245" s="507">
        <v>11000000</v>
      </c>
      <c r="N245" t="s">
        <v>965</v>
      </c>
      <c r="O245" t="s">
        <v>3164</v>
      </c>
      <c r="P245" t="s">
        <v>966</v>
      </c>
      <c r="Q245" t="s">
        <v>3165</v>
      </c>
    </row>
    <row r="246" spans="1:17" x14ac:dyDescent="0.35">
      <c r="A246">
        <v>180</v>
      </c>
      <c r="B246">
        <f t="shared" si="7"/>
        <v>1</v>
      </c>
      <c r="C246" t="str">
        <f t="shared" si="6"/>
        <v>1801</v>
      </c>
      <c r="D246" t="s">
        <v>2603</v>
      </c>
      <c r="E246">
        <v>44</v>
      </c>
      <c r="F246">
        <v>96</v>
      </c>
      <c r="G246">
        <v>2016</v>
      </c>
      <c r="H246" t="s">
        <v>412</v>
      </c>
      <c r="I246" t="s">
        <v>413</v>
      </c>
      <c r="J246" t="s">
        <v>1746</v>
      </c>
      <c r="K246">
        <v>1</v>
      </c>
      <c r="L246" s="506">
        <v>42339</v>
      </c>
      <c r="M246" s="507">
        <v>2100000</v>
      </c>
      <c r="N246" t="s">
        <v>3786</v>
      </c>
      <c r="O246" t="s">
        <v>3787</v>
      </c>
      <c r="P246" t="s">
        <v>413</v>
      </c>
      <c r="Q246" t="s">
        <v>3734</v>
      </c>
    </row>
    <row r="247" spans="1:17" x14ac:dyDescent="0.35">
      <c r="A247">
        <v>185</v>
      </c>
      <c r="B247">
        <f t="shared" si="7"/>
        <v>1</v>
      </c>
      <c r="C247" t="str">
        <f t="shared" si="6"/>
        <v>1851</v>
      </c>
      <c r="D247" t="s">
        <v>2597</v>
      </c>
      <c r="E247">
        <v>43</v>
      </c>
      <c r="F247">
        <v>303</v>
      </c>
      <c r="G247">
        <v>2016</v>
      </c>
      <c r="H247" t="s">
        <v>1321</v>
      </c>
      <c r="I247" t="s">
        <v>138</v>
      </c>
      <c r="J247" t="s">
        <v>1746</v>
      </c>
      <c r="K247">
        <v>1</v>
      </c>
      <c r="L247" s="506">
        <v>42643</v>
      </c>
      <c r="M247" s="507">
        <v>1750001</v>
      </c>
      <c r="N247" t="s">
        <v>3788</v>
      </c>
      <c r="O247" t="s">
        <v>2600</v>
      </c>
      <c r="P247" t="s">
        <v>138</v>
      </c>
      <c r="Q247" t="s">
        <v>3789</v>
      </c>
    </row>
    <row r="248" spans="1:17" x14ac:dyDescent="0.35">
      <c r="A248">
        <v>185</v>
      </c>
      <c r="B248">
        <f t="shared" si="7"/>
        <v>2</v>
      </c>
      <c r="C248" t="str">
        <f t="shared" si="6"/>
        <v>1852</v>
      </c>
      <c r="D248" t="s">
        <v>2597</v>
      </c>
      <c r="E248">
        <v>43</v>
      </c>
      <c r="F248">
        <v>304</v>
      </c>
      <c r="G248">
        <v>2016</v>
      </c>
      <c r="H248" t="s">
        <v>1321</v>
      </c>
      <c r="I248" t="s">
        <v>138</v>
      </c>
      <c r="J248" t="s">
        <v>1746</v>
      </c>
      <c r="K248">
        <v>2</v>
      </c>
      <c r="L248" s="506">
        <v>42713</v>
      </c>
      <c r="M248" s="507">
        <v>2701596</v>
      </c>
      <c r="N248" t="s">
        <v>3790</v>
      </c>
      <c r="O248" t="s">
        <v>2600</v>
      </c>
      <c r="P248" t="s">
        <v>138</v>
      </c>
      <c r="Q248" t="s">
        <v>3791</v>
      </c>
    </row>
    <row r="249" spans="1:17" x14ac:dyDescent="0.35">
      <c r="A249">
        <v>185</v>
      </c>
      <c r="B249">
        <f t="shared" si="7"/>
        <v>3</v>
      </c>
      <c r="C249" t="str">
        <f t="shared" si="6"/>
        <v>1853</v>
      </c>
      <c r="D249" t="s">
        <v>2597</v>
      </c>
      <c r="E249">
        <v>43</v>
      </c>
      <c r="F249">
        <v>305</v>
      </c>
      <c r="G249">
        <v>2016</v>
      </c>
      <c r="H249" t="s">
        <v>1321</v>
      </c>
      <c r="I249" t="s">
        <v>138</v>
      </c>
      <c r="J249" t="s">
        <v>1746</v>
      </c>
      <c r="K249">
        <v>3</v>
      </c>
      <c r="L249" s="506">
        <v>42734</v>
      </c>
      <c r="M249" s="507">
        <v>1295000</v>
      </c>
      <c r="N249" t="s">
        <v>3792</v>
      </c>
      <c r="O249" t="s">
        <v>2600</v>
      </c>
      <c r="P249" t="s">
        <v>138</v>
      </c>
      <c r="Q249" t="s">
        <v>3793</v>
      </c>
    </row>
    <row r="250" spans="1:17" x14ac:dyDescent="0.35">
      <c r="A250">
        <v>185</v>
      </c>
      <c r="B250">
        <f t="shared" si="7"/>
        <v>4</v>
      </c>
      <c r="C250" t="str">
        <f t="shared" si="6"/>
        <v>1854</v>
      </c>
      <c r="D250" t="s">
        <v>2597</v>
      </c>
      <c r="E250">
        <v>43</v>
      </c>
      <c r="F250">
        <v>291</v>
      </c>
      <c r="G250">
        <v>2015</v>
      </c>
      <c r="H250" t="s">
        <v>1321</v>
      </c>
      <c r="I250" t="s">
        <v>138</v>
      </c>
      <c r="J250" t="s">
        <v>1746</v>
      </c>
      <c r="K250">
        <v>1</v>
      </c>
      <c r="L250" s="506">
        <v>42116</v>
      </c>
      <c r="M250" s="507">
        <v>20800000</v>
      </c>
      <c r="N250" t="s">
        <v>3166</v>
      </c>
      <c r="O250" t="s">
        <v>2601</v>
      </c>
      <c r="P250" t="s">
        <v>138</v>
      </c>
      <c r="Q250" t="s">
        <v>3167</v>
      </c>
    </row>
    <row r="251" spans="1:17" x14ac:dyDescent="0.35">
      <c r="A251">
        <v>185</v>
      </c>
      <c r="B251">
        <f t="shared" si="7"/>
        <v>5</v>
      </c>
      <c r="C251" t="str">
        <f t="shared" si="6"/>
        <v>1855</v>
      </c>
      <c r="D251" t="s">
        <v>2597</v>
      </c>
      <c r="E251">
        <v>43</v>
      </c>
      <c r="F251">
        <v>266</v>
      </c>
      <c r="G251">
        <v>2014</v>
      </c>
      <c r="H251" t="s">
        <v>1321</v>
      </c>
      <c r="I251" t="s">
        <v>138</v>
      </c>
      <c r="J251" t="s">
        <v>1746</v>
      </c>
      <c r="K251">
        <v>1</v>
      </c>
      <c r="L251" s="506">
        <v>41683</v>
      </c>
      <c r="M251" s="507">
        <v>3900000</v>
      </c>
      <c r="N251" t="s">
        <v>2756</v>
      </c>
      <c r="O251" t="s">
        <v>2601</v>
      </c>
      <c r="P251" t="s">
        <v>138</v>
      </c>
      <c r="Q251" t="s">
        <v>2757</v>
      </c>
    </row>
    <row r="252" spans="1:17" x14ac:dyDescent="0.35">
      <c r="A252">
        <v>185</v>
      </c>
      <c r="B252">
        <f t="shared" si="7"/>
        <v>6</v>
      </c>
      <c r="C252" t="str">
        <f t="shared" si="6"/>
        <v>1856</v>
      </c>
      <c r="D252" t="s">
        <v>2597</v>
      </c>
      <c r="E252">
        <v>43</v>
      </c>
      <c r="F252">
        <v>267</v>
      </c>
      <c r="G252">
        <v>2014</v>
      </c>
      <c r="H252" t="s">
        <v>1321</v>
      </c>
      <c r="I252" t="s">
        <v>138</v>
      </c>
      <c r="J252" t="s">
        <v>1746</v>
      </c>
      <c r="K252">
        <v>2</v>
      </c>
      <c r="L252" s="506">
        <v>41669</v>
      </c>
      <c r="M252" s="507">
        <v>2324225</v>
      </c>
      <c r="N252" t="s">
        <v>2758</v>
      </c>
      <c r="O252" t="s">
        <v>2600</v>
      </c>
      <c r="P252" t="s">
        <v>138</v>
      </c>
      <c r="Q252" t="s">
        <v>2759</v>
      </c>
    </row>
    <row r="253" spans="1:17" x14ac:dyDescent="0.35">
      <c r="A253">
        <v>185</v>
      </c>
      <c r="B253">
        <f t="shared" si="7"/>
        <v>7</v>
      </c>
      <c r="C253" t="str">
        <f t="shared" si="6"/>
        <v>1857</v>
      </c>
      <c r="D253" t="s">
        <v>2597</v>
      </c>
      <c r="E253">
        <v>43</v>
      </c>
      <c r="F253">
        <v>268</v>
      </c>
      <c r="G253">
        <v>2014</v>
      </c>
      <c r="H253" t="s">
        <v>1321</v>
      </c>
      <c r="I253" t="s">
        <v>138</v>
      </c>
      <c r="J253" t="s">
        <v>1746</v>
      </c>
      <c r="K253">
        <v>3</v>
      </c>
      <c r="L253" s="506">
        <v>41737</v>
      </c>
      <c r="M253" s="507">
        <v>1701465</v>
      </c>
      <c r="N253" t="s">
        <v>2760</v>
      </c>
      <c r="O253" t="s">
        <v>2600</v>
      </c>
      <c r="P253" t="s">
        <v>138</v>
      </c>
      <c r="Q253" t="s">
        <v>2761</v>
      </c>
    </row>
    <row r="254" spans="1:17" x14ac:dyDescent="0.35">
      <c r="A254">
        <v>185</v>
      </c>
      <c r="B254">
        <f t="shared" si="7"/>
        <v>8</v>
      </c>
      <c r="C254" t="str">
        <f t="shared" si="6"/>
        <v>1858</v>
      </c>
      <c r="D254" t="s">
        <v>2597</v>
      </c>
      <c r="E254">
        <v>43</v>
      </c>
      <c r="F254">
        <v>269</v>
      </c>
      <c r="G254">
        <v>2014</v>
      </c>
      <c r="H254" t="s">
        <v>1321</v>
      </c>
      <c r="I254" t="s">
        <v>138</v>
      </c>
      <c r="J254" t="s">
        <v>1746</v>
      </c>
      <c r="K254">
        <v>4</v>
      </c>
      <c r="L254" s="506">
        <v>41681</v>
      </c>
      <c r="M254" s="507">
        <v>1751500</v>
      </c>
      <c r="N254" t="s">
        <v>2762</v>
      </c>
      <c r="O254" t="s">
        <v>2600</v>
      </c>
      <c r="P254" t="s">
        <v>138</v>
      </c>
      <c r="Q254" t="s">
        <v>2763</v>
      </c>
    </row>
    <row r="255" spans="1:17" x14ac:dyDescent="0.35">
      <c r="A255">
        <v>185</v>
      </c>
      <c r="B255">
        <f t="shared" si="7"/>
        <v>9</v>
      </c>
      <c r="C255" t="str">
        <f t="shared" si="6"/>
        <v>1859</v>
      </c>
      <c r="D255" t="s">
        <v>2597</v>
      </c>
      <c r="E255">
        <v>43</v>
      </c>
      <c r="F255">
        <v>270</v>
      </c>
      <c r="G255">
        <v>2014</v>
      </c>
      <c r="H255" t="s">
        <v>1321</v>
      </c>
      <c r="I255" t="s">
        <v>138</v>
      </c>
      <c r="J255" t="s">
        <v>1746</v>
      </c>
      <c r="K255">
        <v>5</v>
      </c>
      <c r="L255" s="506">
        <v>41681</v>
      </c>
      <c r="M255" s="507">
        <v>1166500</v>
      </c>
      <c r="N255" t="s">
        <v>2764</v>
      </c>
      <c r="O255" t="s">
        <v>2600</v>
      </c>
      <c r="P255" t="s">
        <v>138</v>
      </c>
      <c r="Q255" t="s">
        <v>2765</v>
      </c>
    </row>
    <row r="256" spans="1:17" x14ac:dyDescent="0.35">
      <c r="A256">
        <v>185</v>
      </c>
      <c r="B256">
        <f t="shared" si="7"/>
        <v>10</v>
      </c>
      <c r="C256" t="str">
        <f t="shared" si="6"/>
        <v>18510</v>
      </c>
      <c r="D256" t="s">
        <v>2597</v>
      </c>
      <c r="E256">
        <v>43</v>
      </c>
      <c r="F256">
        <v>271</v>
      </c>
      <c r="G256">
        <v>2014</v>
      </c>
      <c r="H256" t="s">
        <v>1321</v>
      </c>
      <c r="I256" t="s">
        <v>138</v>
      </c>
      <c r="J256" t="s">
        <v>1746</v>
      </c>
      <c r="K256">
        <v>6</v>
      </c>
      <c r="L256" s="506">
        <v>41818</v>
      </c>
      <c r="M256" s="507">
        <v>1243460</v>
      </c>
      <c r="N256" t="s">
        <v>2766</v>
      </c>
      <c r="O256" t="s">
        <v>2600</v>
      </c>
      <c r="P256" t="s">
        <v>138</v>
      </c>
      <c r="Q256" t="s">
        <v>2767</v>
      </c>
    </row>
    <row r="257" spans="1:17" x14ac:dyDescent="0.35">
      <c r="A257">
        <v>185</v>
      </c>
      <c r="B257">
        <f t="shared" si="7"/>
        <v>11</v>
      </c>
      <c r="C257" t="str">
        <f t="shared" si="6"/>
        <v>18511</v>
      </c>
      <c r="D257" t="s">
        <v>2597</v>
      </c>
      <c r="E257">
        <v>43</v>
      </c>
      <c r="F257">
        <v>272</v>
      </c>
      <c r="G257">
        <v>2014</v>
      </c>
      <c r="H257" t="s">
        <v>1321</v>
      </c>
      <c r="I257" t="s">
        <v>138</v>
      </c>
      <c r="J257" t="s">
        <v>1746</v>
      </c>
      <c r="K257">
        <v>7</v>
      </c>
      <c r="L257" s="506">
        <v>41992</v>
      </c>
      <c r="M257" s="507">
        <v>1800000</v>
      </c>
      <c r="N257" t="s">
        <v>2768</v>
      </c>
      <c r="O257" t="s">
        <v>2600</v>
      </c>
      <c r="P257" t="s">
        <v>138</v>
      </c>
      <c r="Q257" t="s">
        <v>2769</v>
      </c>
    </row>
    <row r="258" spans="1:17" x14ac:dyDescent="0.35">
      <c r="A258">
        <v>185</v>
      </c>
      <c r="B258">
        <f t="shared" si="7"/>
        <v>12</v>
      </c>
      <c r="C258" t="str">
        <f t="shared" si="6"/>
        <v>18512</v>
      </c>
      <c r="D258" t="s">
        <v>2597</v>
      </c>
      <c r="E258">
        <v>43</v>
      </c>
      <c r="F258">
        <v>273</v>
      </c>
      <c r="G258">
        <v>2014</v>
      </c>
      <c r="H258" t="s">
        <v>1321</v>
      </c>
      <c r="I258" t="s">
        <v>138</v>
      </c>
      <c r="J258" t="s">
        <v>1746</v>
      </c>
      <c r="K258">
        <v>8</v>
      </c>
      <c r="L258" s="506">
        <v>42003</v>
      </c>
      <c r="M258" s="507">
        <v>1439484</v>
      </c>
      <c r="N258" t="s">
        <v>2770</v>
      </c>
      <c r="O258" t="s">
        <v>2600</v>
      </c>
      <c r="P258" t="s">
        <v>138</v>
      </c>
      <c r="Q258" t="s">
        <v>2771</v>
      </c>
    </row>
    <row r="259" spans="1:17" x14ac:dyDescent="0.35">
      <c r="A259">
        <v>185</v>
      </c>
      <c r="B259">
        <f t="shared" si="7"/>
        <v>13</v>
      </c>
      <c r="C259" t="str">
        <f t="shared" si="6"/>
        <v>18513</v>
      </c>
      <c r="D259" t="s">
        <v>2597</v>
      </c>
      <c r="E259">
        <v>43</v>
      </c>
      <c r="F259">
        <v>274</v>
      </c>
      <c r="G259">
        <v>2014</v>
      </c>
      <c r="H259" t="s">
        <v>1321</v>
      </c>
      <c r="I259" t="s">
        <v>138</v>
      </c>
      <c r="J259" t="s">
        <v>1746</v>
      </c>
      <c r="K259">
        <v>9</v>
      </c>
      <c r="L259" s="506">
        <v>41708</v>
      </c>
      <c r="M259" s="507">
        <v>2428542</v>
      </c>
      <c r="N259" t="s">
        <v>2772</v>
      </c>
      <c r="O259" t="s">
        <v>2600</v>
      </c>
      <c r="P259" t="s">
        <v>138</v>
      </c>
      <c r="Q259" t="s">
        <v>2773</v>
      </c>
    </row>
    <row r="260" spans="1:17" x14ac:dyDescent="0.35">
      <c r="A260">
        <v>186</v>
      </c>
      <c r="B260">
        <f t="shared" si="7"/>
        <v>1</v>
      </c>
      <c r="C260" t="str">
        <f t="shared" ref="C260:C271" si="8">CONCATENATE(A260,B260)</f>
        <v>1861</v>
      </c>
      <c r="D260" t="s">
        <v>2597</v>
      </c>
      <c r="E260">
        <v>43</v>
      </c>
      <c r="F260">
        <v>275</v>
      </c>
      <c r="G260">
        <v>2014</v>
      </c>
      <c r="H260" t="s">
        <v>983</v>
      </c>
      <c r="I260" t="s">
        <v>984</v>
      </c>
      <c r="J260" t="s">
        <v>1746</v>
      </c>
      <c r="K260">
        <v>1</v>
      </c>
      <c r="L260" s="506">
        <v>41862</v>
      </c>
      <c r="M260" s="507">
        <v>1039412</v>
      </c>
      <c r="N260" t="s">
        <v>2774</v>
      </c>
      <c r="O260" t="s">
        <v>2775</v>
      </c>
      <c r="P260" t="s">
        <v>984</v>
      </c>
      <c r="Q260" t="s">
        <v>2776</v>
      </c>
    </row>
    <row r="261" spans="1:17" x14ac:dyDescent="0.35">
      <c r="A261">
        <v>186</v>
      </c>
      <c r="B261">
        <f t="shared" ref="B261:B271" si="9">IF(A261=A260,B260+1,1)</f>
        <v>2</v>
      </c>
      <c r="C261" t="str">
        <f t="shared" si="8"/>
        <v>1862</v>
      </c>
      <c r="D261" t="s">
        <v>2597</v>
      </c>
      <c r="E261">
        <v>43</v>
      </c>
      <c r="F261">
        <v>276</v>
      </c>
      <c r="G261">
        <v>2014</v>
      </c>
      <c r="H261" t="s">
        <v>983</v>
      </c>
      <c r="I261" t="s">
        <v>984</v>
      </c>
      <c r="J261" t="s">
        <v>1746</v>
      </c>
      <c r="K261">
        <v>2</v>
      </c>
      <c r="L261" s="506">
        <v>41968</v>
      </c>
      <c r="M261" s="507">
        <v>1920200</v>
      </c>
      <c r="N261" t="s">
        <v>2777</v>
      </c>
      <c r="O261" t="s">
        <v>2775</v>
      </c>
      <c r="P261" t="s">
        <v>984</v>
      </c>
      <c r="Q261" t="s">
        <v>2778</v>
      </c>
    </row>
    <row r="262" spans="1:17" x14ac:dyDescent="0.35">
      <c r="A262">
        <v>187</v>
      </c>
      <c r="B262">
        <f t="shared" si="9"/>
        <v>1</v>
      </c>
      <c r="C262" t="str">
        <f t="shared" si="8"/>
        <v>1871</v>
      </c>
      <c r="D262" t="s">
        <v>2603</v>
      </c>
      <c r="E262">
        <v>44</v>
      </c>
      <c r="F262">
        <v>97</v>
      </c>
      <c r="G262">
        <v>2016</v>
      </c>
      <c r="H262" t="s">
        <v>978</v>
      </c>
      <c r="I262" t="s">
        <v>979</v>
      </c>
      <c r="J262" t="s">
        <v>1746</v>
      </c>
      <c r="K262">
        <v>1</v>
      </c>
      <c r="L262" s="506">
        <v>42339</v>
      </c>
      <c r="M262" s="507">
        <v>1300000</v>
      </c>
      <c r="N262" t="s">
        <v>3794</v>
      </c>
      <c r="O262" t="s">
        <v>3795</v>
      </c>
      <c r="P262" t="s">
        <v>979</v>
      </c>
      <c r="Q262" t="s">
        <v>3734</v>
      </c>
    </row>
    <row r="263" spans="1:17" x14ac:dyDescent="0.35">
      <c r="A263">
        <v>211</v>
      </c>
      <c r="B263">
        <f t="shared" si="9"/>
        <v>1</v>
      </c>
      <c r="C263" t="str">
        <f t="shared" si="8"/>
        <v>2111</v>
      </c>
      <c r="D263" t="s">
        <v>209</v>
      </c>
      <c r="E263">
        <v>204</v>
      </c>
      <c r="F263">
        <v>13</v>
      </c>
      <c r="G263">
        <v>2015</v>
      </c>
      <c r="H263" t="s">
        <v>1327</v>
      </c>
      <c r="I263" t="s">
        <v>138</v>
      </c>
      <c r="J263" t="s">
        <v>1746</v>
      </c>
      <c r="K263">
        <v>1</v>
      </c>
      <c r="L263" s="506">
        <v>42276</v>
      </c>
      <c r="M263" s="507">
        <v>4045936</v>
      </c>
      <c r="N263" t="s">
        <v>3175</v>
      </c>
      <c r="O263" t="s">
        <v>2620</v>
      </c>
      <c r="P263" t="s">
        <v>138</v>
      </c>
      <c r="Q263" t="s">
        <v>3176</v>
      </c>
    </row>
    <row r="264" spans="1:17" x14ac:dyDescent="0.35">
      <c r="A264">
        <v>211</v>
      </c>
      <c r="B264">
        <f t="shared" si="9"/>
        <v>2</v>
      </c>
      <c r="C264" t="str">
        <f t="shared" si="8"/>
        <v>2112</v>
      </c>
      <c r="D264" t="s">
        <v>209</v>
      </c>
      <c r="E264">
        <v>204</v>
      </c>
      <c r="F264">
        <v>14</v>
      </c>
      <c r="G264">
        <v>2015</v>
      </c>
      <c r="H264" t="s">
        <v>1327</v>
      </c>
      <c r="I264" t="s">
        <v>138</v>
      </c>
      <c r="J264" t="s">
        <v>1746</v>
      </c>
      <c r="K264">
        <v>2</v>
      </c>
      <c r="L264" s="506">
        <v>42144</v>
      </c>
      <c r="M264" s="507">
        <v>1090567</v>
      </c>
      <c r="N264" t="s">
        <v>3168</v>
      </c>
      <c r="O264" t="s">
        <v>2620</v>
      </c>
      <c r="P264" t="s">
        <v>138</v>
      </c>
      <c r="Q264" t="s">
        <v>3174</v>
      </c>
    </row>
    <row r="265" spans="1:17" x14ac:dyDescent="0.35">
      <c r="A265">
        <v>211</v>
      </c>
      <c r="B265">
        <f t="shared" si="9"/>
        <v>3</v>
      </c>
      <c r="C265" t="str">
        <f t="shared" si="8"/>
        <v>2113</v>
      </c>
      <c r="D265" t="s">
        <v>209</v>
      </c>
      <c r="E265">
        <v>204</v>
      </c>
      <c r="F265">
        <v>15</v>
      </c>
      <c r="G265">
        <v>2015</v>
      </c>
      <c r="H265" t="s">
        <v>1327</v>
      </c>
      <c r="I265" t="s">
        <v>138</v>
      </c>
      <c r="J265" t="s">
        <v>1746</v>
      </c>
      <c r="K265">
        <v>3</v>
      </c>
      <c r="L265" s="506">
        <v>42096</v>
      </c>
      <c r="M265" s="507">
        <v>6537529</v>
      </c>
      <c r="N265" t="s">
        <v>3168</v>
      </c>
      <c r="O265" t="s">
        <v>2620</v>
      </c>
      <c r="P265" t="s">
        <v>138</v>
      </c>
      <c r="Q265" t="s">
        <v>3171</v>
      </c>
    </row>
    <row r="266" spans="1:17" x14ac:dyDescent="0.35">
      <c r="A266">
        <v>211</v>
      </c>
      <c r="B266">
        <f t="shared" si="9"/>
        <v>4</v>
      </c>
      <c r="C266" t="str">
        <f t="shared" si="8"/>
        <v>2114</v>
      </c>
      <c r="D266" t="s">
        <v>209</v>
      </c>
      <c r="E266">
        <v>204</v>
      </c>
      <c r="F266">
        <v>16</v>
      </c>
      <c r="G266">
        <v>2015</v>
      </c>
      <c r="H266" t="s">
        <v>1327</v>
      </c>
      <c r="I266" t="s">
        <v>138</v>
      </c>
      <c r="J266" t="s">
        <v>1746</v>
      </c>
      <c r="K266">
        <v>4</v>
      </c>
      <c r="L266" s="506">
        <v>42269</v>
      </c>
      <c r="M266" s="507">
        <v>3000000</v>
      </c>
      <c r="N266" t="s">
        <v>3168</v>
      </c>
      <c r="O266" t="s">
        <v>2620</v>
      </c>
      <c r="P266" t="s">
        <v>3172</v>
      </c>
      <c r="Q266" t="s">
        <v>3173</v>
      </c>
    </row>
    <row r="267" spans="1:17" x14ac:dyDescent="0.35">
      <c r="A267">
        <v>211</v>
      </c>
      <c r="B267">
        <f t="shared" si="9"/>
        <v>5</v>
      </c>
      <c r="C267" t="str">
        <f t="shared" si="8"/>
        <v>2115</v>
      </c>
      <c r="D267" t="s">
        <v>209</v>
      </c>
      <c r="E267">
        <v>204</v>
      </c>
      <c r="F267">
        <v>17</v>
      </c>
      <c r="G267">
        <v>2015</v>
      </c>
      <c r="H267" t="s">
        <v>1327</v>
      </c>
      <c r="I267" t="s">
        <v>138</v>
      </c>
      <c r="J267" t="s">
        <v>1746</v>
      </c>
      <c r="K267">
        <v>5</v>
      </c>
      <c r="L267" s="506">
        <v>42094</v>
      </c>
      <c r="M267" s="507">
        <v>2100000</v>
      </c>
      <c r="N267" t="s">
        <v>3168</v>
      </c>
      <c r="O267" t="s">
        <v>2620</v>
      </c>
      <c r="P267" t="s">
        <v>138</v>
      </c>
      <c r="Q267" t="s">
        <v>3171</v>
      </c>
    </row>
    <row r="268" spans="1:17" x14ac:dyDescent="0.35">
      <c r="A268">
        <v>211</v>
      </c>
      <c r="B268">
        <f t="shared" si="9"/>
        <v>6</v>
      </c>
      <c r="C268" t="str">
        <f t="shared" si="8"/>
        <v>2116</v>
      </c>
      <c r="D268" t="s">
        <v>209</v>
      </c>
      <c r="E268">
        <v>204</v>
      </c>
      <c r="F268">
        <v>18</v>
      </c>
      <c r="G268">
        <v>2015</v>
      </c>
      <c r="H268" t="s">
        <v>1327</v>
      </c>
      <c r="I268" t="s">
        <v>138</v>
      </c>
      <c r="J268" t="s">
        <v>1746</v>
      </c>
      <c r="K268">
        <v>6</v>
      </c>
      <c r="L268" s="498">
        <v>42208</v>
      </c>
      <c r="M268">
        <v>2569982</v>
      </c>
      <c r="N268" t="s">
        <v>3168</v>
      </c>
      <c r="O268" t="s">
        <v>2620</v>
      </c>
      <c r="P268" t="s">
        <v>138</v>
      </c>
      <c r="Q268" t="s">
        <v>3170</v>
      </c>
    </row>
    <row r="269" spans="1:17" x14ac:dyDescent="0.35">
      <c r="A269">
        <v>211</v>
      </c>
      <c r="B269">
        <f t="shared" si="9"/>
        <v>7</v>
      </c>
      <c r="C269" t="str">
        <f t="shared" si="8"/>
        <v>2117</v>
      </c>
      <c r="D269" t="s">
        <v>209</v>
      </c>
      <c r="E269">
        <v>204</v>
      </c>
      <c r="F269">
        <v>19</v>
      </c>
      <c r="G269">
        <v>2015</v>
      </c>
      <c r="H269" t="s">
        <v>1327</v>
      </c>
      <c r="I269" t="s">
        <v>138</v>
      </c>
      <c r="J269" t="s">
        <v>1746</v>
      </c>
      <c r="K269">
        <v>7</v>
      </c>
      <c r="L269" s="498">
        <v>42094</v>
      </c>
      <c r="M269">
        <v>2963313</v>
      </c>
      <c r="N269" t="s">
        <v>3168</v>
      </c>
      <c r="O269" t="s">
        <v>2620</v>
      </c>
      <c r="P269" t="s">
        <v>138</v>
      </c>
      <c r="Q269" t="s">
        <v>3169</v>
      </c>
    </row>
    <row r="270" spans="1:17" x14ac:dyDescent="0.35">
      <c r="A270">
        <v>259</v>
      </c>
      <c r="B270">
        <f t="shared" si="9"/>
        <v>1</v>
      </c>
      <c r="C270" t="str">
        <f t="shared" si="8"/>
        <v>2591</v>
      </c>
      <c r="D270" t="s">
        <v>2210</v>
      </c>
      <c r="E270">
        <v>228</v>
      </c>
      <c r="F270">
        <v>1</v>
      </c>
      <c r="G270">
        <v>2015</v>
      </c>
      <c r="H270" t="s">
        <v>2210</v>
      </c>
      <c r="I270" t="s">
        <v>2987</v>
      </c>
      <c r="J270" t="s">
        <v>1746</v>
      </c>
      <c r="K270">
        <v>1</v>
      </c>
      <c r="L270" s="498">
        <v>42255</v>
      </c>
      <c r="M270">
        <v>3200000</v>
      </c>
      <c r="N270" t="s">
        <v>2210</v>
      </c>
      <c r="O270" t="s">
        <v>2988</v>
      </c>
      <c r="P270" t="s">
        <v>2987</v>
      </c>
      <c r="Q270" t="s">
        <v>3177</v>
      </c>
    </row>
    <row r="271" spans="1:17" x14ac:dyDescent="0.35">
      <c r="A271">
        <v>260</v>
      </c>
      <c r="B271">
        <f t="shared" si="9"/>
        <v>1</v>
      </c>
      <c r="C271" t="str">
        <f t="shared" si="8"/>
        <v>2601</v>
      </c>
      <c r="D271" t="s">
        <v>1505</v>
      </c>
      <c r="E271">
        <v>208</v>
      </c>
      <c r="F271">
        <v>14</v>
      </c>
      <c r="G271">
        <v>2016</v>
      </c>
      <c r="H271" t="s">
        <v>3796</v>
      </c>
      <c r="I271" t="s">
        <v>1767</v>
      </c>
      <c r="J271" t="s">
        <v>1746</v>
      </c>
      <c r="K271">
        <v>1</v>
      </c>
      <c r="L271" s="498">
        <v>42064</v>
      </c>
      <c r="M271">
        <v>3953419</v>
      </c>
      <c r="N271" t="s">
        <v>3797</v>
      </c>
      <c r="O271" t="s">
        <v>3798</v>
      </c>
      <c r="P271" t="s">
        <v>3799</v>
      </c>
      <c r="Q271" t="s">
        <v>3800</v>
      </c>
    </row>
    <row r="272" spans="1:17" x14ac:dyDescent="0.35">
      <c r="A272"/>
      <c r="B272" s="486">
        <f>MAX(B3:B271)</f>
        <v>20</v>
      </c>
      <c r="C272" s="491" t="str">
        <f>CONCATENATE(A272,B272)</f>
        <v>20</v>
      </c>
      <c r="D272"/>
      <c r="E272"/>
      <c r="F272"/>
      <c r="G272"/>
      <c r="H272"/>
      <c r="I272"/>
      <c r="J272"/>
      <c r="K272"/>
      <c r="L272" s="498"/>
      <c r="M272"/>
      <c r="N272"/>
      <c r="O272"/>
      <c r="P272"/>
      <c r="Q272"/>
    </row>
    <row r="273" spans="1:17" x14ac:dyDescent="0.35">
      <c r="A273"/>
      <c r="B273"/>
      <c r="C273"/>
      <c r="D273"/>
      <c r="E273"/>
      <c r="F273"/>
      <c r="G273"/>
      <c r="H273"/>
      <c r="I273"/>
      <c r="J273"/>
      <c r="K273"/>
      <c r="L273" s="498"/>
      <c r="M273"/>
      <c r="N273"/>
      <c r="O273"/>
      <c r="P273"/>
      <c r="Q273"/>
    </row>
    <row r="274" spans="1:17" x14ac:dyDescent="0.35">
      <c r="A274"/>
      <c r="B274"/>
      <c r="C274"/>
      <c r="D274"/>
      <c r="E274"/>
      <c r="F274"/>
      <c r="G274"/>
      <c r="H274"/>
      <c r="I274"/>
      <c r="J274"/>
      <c r="K274"/>
      <c r="L274" s="498"/>
      <c r="M274"/>
      <c r="N274"/>
      <c r="O274"/>
      <c r="P274"/>
      <c r="Q274"/>
    </row>
    <row r="275" spans="1:17" x14ac:dyDescent="0.35">
      <c r="A275"/>
      <c r="B275"/>
      <c r="C275"/>
      <c r="D275"/>
      <c r="E275"/>
      <c r="F275"/>
      <c r="G275"/>
      <c r="H275"/>
      <c r="I275"/>
      <c r="J275"/>
      <c r="K275"/>
      <c r="L275" s="498"/>
      <c r="M275"/>
      <c r="N275"/>
      <c r="O275"/>
      <c r="P275"/>
      <c r="Q275"/>
    </row>
    <row r="276" spans="1:17" x14ac:dyDescent="0.35">
      <c r="A276"/>
      <c r="B276"/>
      <c r="C276"/>
      <c r="D276"/>
      <c r="E276"/>
      <c r="F276"/>
      <c r="G276"/>
      <c r="H276"/>
      <c r="I276"/>
      <c r="J276"/>
      <c r="K276"/>
      <c r="L276" s="498"/>
      <c r="M276"/>
      <c r="N276"/>
      <c r="O276"/>
      <c r="P276"/>
      <c r="Q276"/>
    </row>
  </sheetData>
  <sheetProtection algorithmName="SHA-512" hashValue="UXrHBQ1qgI1nave2llbaPANkfJNw6Tkrztibk8WBP1nHfYkDLGwyxFidXkJY1yQlWe2YcSMtlqtNPw4Za3/jGQ==" saltValue="E9E8ltMjtxRWy0Ldudvm9A==" spinCount="100000" sheet="1" objects="1" scenarios="1"/>
  <autoFilter ref="A2:Q269" xr:uid="{00000000-0009-0000-0000-00000B000000}">
    <sortState xmlns:xlrd2="http://schemas.microsoft.com/office/spreadsheetml/2017/richdata2" ref="A2:Q271">
      <sortCondition ref="A1:A271"/>
    </sortState>
  </autoFilter>
  <conditionalFormatting sqref="C1:C2 E1 G1 I1 K1 M1 O1 Q1 C278:C1048576">
    <cfRule type="duplicateValues" dxfId="3" priority="3"/>
    <cfRule type="duplicateValues" dxfId="2" priority="4"/>
  </conditionalFormatting>
  <conditionalFormatting sqref="C272">
    <cfRule type="duplicateValues" dxfId="1" priority="1"/>
    <cfRule type="duplicateValues" dxfId="0" priority="2"/>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S69"/>
  <sheetViews>
    <sheetView zoomScaleNormal="100" workbookViewId="0"/>
  </sheetViews>
  <sheetFormatPr defaultColWidth="8.81640625" defaultRowHeight="12.5" x14ac:dyDescent="0.25"/>
  <cols>
    <col min="1" max="1" width="8.81640625" style="384"/>
    <col min="2" max="2" width="41" style="384" customWidth="1"/>
    <col min="3" max="3" width="8.81640625" style="380"/>
    <col min="4" max="4" width="8.81640625" style="384"/>
    <col min="5" max="5" width="22.7265625" style="384" customWidth="1"/>
    <col min="6" max="6" width="8.81640625" style="380"/>
    <col min="7" max="7" width="36.453125" style="410" customWidth="1"/>
    <col min="8" max="8" width="8.81640625" style="380"/>
    <col min="9" max="9" width="39.7265625" style="384" customWidth="1"/>
    <col min="10" max="10" width="8.81640625" style="380"/>
    <col min="11" max="12" width="8.81640625" style="384"/>
    <col min="13" max="13" width="27.7265625" style="386" customWidth="1"/>
    <col min="14" max="14" width="8.81640625" style="386"/>
    <col min="15" max="15" width="32.26953125" style="386" customWidth="1"/>
    <col min="16" max="16" width="8.81640625" style="386"/>
    <col min="17" max="16384" width="8.81640625" style="384"/>
  </cols>
  <sheetData>
    <row r="1" spans="2:19" ht="13" x14ac:dyDescent="0.3">
      <c r="B1" s="408" t="s">
        <v>2275</v>
      </c>
      <c r="D1" s="386"/>
      <c r="E1" s="409"/>
      <c r="S1" s="386"/>
    </row>
    <row r="2" spans="2:19" ht="13" x14ac:dyDescent="0.3">
      <c r="B2" s="408" t="s">
        <v>2276</v>
      </c>
      <c r="D2" s="383"/>
      <c r="F2" s="411"/>
      <c r="S2" s="386"/>
    </row>
    <row r="3" spans="2:19" x14ac:dyDescent="0.25">
      <c r="B3" s="391"/>
      <c r="D3" s="383"/>
      <c r="F3" s="411"/>
      <c r="S3" s="386"/>
    </row>
    <row r="4" spans="2:19" ht="13" x14ac:dyDescent="0.3">
      <c r="B4" s="412"/>
      <c r="C4" s="413"/>
      <c r="D4" s="383"/>
      <c r="E4" s="414" t="s">
        <v>2277</v>
      </c>
      <c r="F4" s="415"/>
      <c r="G4" s="416" t="s">
        <v>2278</v>
      </c>
      <c r="H4" s="417"/>
      <c r="I4" s="377" t="s">
        <v>2279</v>
      </c>
      <c r="J4" s="378"/>
      <c r="M4" s="418"/>
      <c r="N4" s="418"/>
      <c r="O4" s="418"/>
      <c r="P4" s="419"/>
      <c r="Q4" s="410"/>
      <c r="S4" s="386"/>
    </row>
    <row r="5" spans="2:19" x14ac:dyDescent="0.25">
      <c r="B5" s="420"/>
      <c r="C5" s="421"/>
      <c r="D5" s="383"/>
      <c r="E5" s="379" t="s">
        <v>908</v>
      </c>
      <c r="F5" s="380">
        <v>54</v>
      </c>
      <c r="G5" s="381" t="s">
        <v>2280</v>
      </c>
      <c r="H5" s="382">
        <v>166</v>
      </c>
      <c r="I5" s="383" t="s">
        <v>2281</v>
      </c>
      <c r="J5" s="382">
        <v>183</v>
      </c>
      <c r="M5" s="389"/>
      <c r="N5" s="422"/>
      <c r="O5" s="389"/>
      <c r="P5" s="419"/>
      <c r="Q5" s="410"/>
      <c r="S5" s="386"/>
    </row>
    <row r="6" spans="2:19" x14ac:dyDescent="0.25">
      <c r="B6" s="420"/>
      <c r="C6" s="421"/>
      <c r="D6" s="386"/>
      <c r="E6" s="379" t="s">
        <v>907</v>
      </c>
      <c r="F6" s="380">
        <v>58</v>
      </c>
      <c r="G6" s="381" t="s">
        <v>2282</v>
      </c>
      <c r="H6" s="382">
        <v>167</v>
      </c>
      <c r="I6" s="385" t="s">
        <v>2283</v>
      </c>
      <c r="J6" s="382">
        <v>184</v>
      </c>
      <c r="M6" s="389"/>
      <c r="N6" s="422"/>
      <c r="O6" s="389"/>
      <c r="P6" s="419"/>
      <c r="Q6" s="410"/>
      <c r="S6" s="386"/>
    </row>
    <row r="7" spans="2:19" x14ac:dyDescent="0.25">
      <c r="B7" s="391"/>
      <c r="D7" s="386"/>
      <c r="E7" s="379" t="s">
        <v>2284</v>
      </c>
      <c r="F7" s="380">
        <v>164</v>
      </c>
      <c r="G7" s="381" t="s">
        <v>2285</v>
      </c>
      <c r="H7" s="382">
        <v>168</v>
      </c>
      <c r="I7" s="384" t="s">
        <v>2286</v>
      </c>
      <c r="J7" s="382">
        <v>185</v>
      </c>
      <c r="M7" s="389"/>
      <c r="N7" s="422"/>
      <c r="O7" s="1540"/>
      <c r="P7" s="422"/>
      <c r="Q7" s="423"/>
      <c r="S7" s="386"/>
    </row>
    <row r="8" spans="2:19" x14ac:dyDescent="0.25">
      <c r="B8" s="391"/>
      <c r="D8" s="386"/>
      <c r="E8" s="379" t="s">
        <v>2287</v>
      </c>
      <c r="F8" s="380">
        <v>165</v>
      </c>
      <c r="G8" s="381" t="s">
        <v>2288</v>
      </c>
      <c r="H8" s="382">
        <v>169</v>
      </c>
      <c r="I8" s="385" t="s">
        <v>2289</v>
      </c>
      <c r="J8" s="382">
        <v>63</v>
      </c>
      <c r="K8" s="386"/>
      <c r="L8" s="386"/>
      <c r="M8" s="389"/>
      <c r="N8" s="422"/>
      <c r="O8" s="1540"/>
      <c r="P8" s="419"/>
      <c r="Q8" s="410"/>
      <c r="S8" s="386"/>
    </row>
    <row r="9" spans="2:19" x14ac:dyDescent="0.25">
      <c r="B9" s="391"/>
      <c r="D9" s="386"/>
      <c r="E9" s="381" t="s">
        <v>2290</v>
      </c>
      <c r="F9" s="380">
        <v>120</v>
      </c>
      <c r="G9" s="387" t="s">
        <v>2291</v>
      </c>
      <c r="H9" s="388">
        <v>123</v>
      </c>
      <c r="I9" s="385" t="s">
        <v>2292</v>
      </c>
      <c r="J9" s="382">
        <v>64</v>
      </c>
      <c r="K9" s="386"/>
      <c r="L9" s="386"/>
      <c r="M9" s="389"/>
      <c r="N9" s="422"/>
      <c r="O9" s="419"/>
      <c r="P9" s="419"/>
      <c r="Q9" s="410"/>
      <c r="S9" s="386"/>
    </row>
    <row r="10" spans="2:19" ht="13" x14ac:dyDescent="0.3">
      <c r="B10" s="414" t="s">
        <v>2293</v>
      </c>
      <c r="C10" s="417"/>
      <c r="D10" s="386"/>
      <c r="G10" s="387" t="s">
        <v>2294</v>
      </c>
      <c r="H10" s="388">
        <v>170</v>
      </c>
      <c r="I10" s="389" t="s">
        <v>2295</v>
      </c>
      <c r="J10" s="382">
        <v>53</v>
      </c>
      <c r="K10" s="386"/>
      <c r="L10" s="386"/>
      <c r="M10" s="419"/>
      <c r="N10" s="419"/>
      <c r="O10" s="419"/>
      <c r="P10" s="419"/>
      <c r="Q10" s="410"/>
      <c r="S10" s="386"/>
    </row>
    <row r="11" spans="2:19" x14ac:dyDescent="0.25">
      <c r="B11" s="391" t="s">
        <v>2296</v>
      </c>
      <c r="C11" s="380">
        <v>200</v>
      </c>
      <c r="D11" s="386"/>
      <c r="G11" s="387"/>
      <c r="H11" s="388"/>
      <c r="I11" s="384" t="s">
        <v>2297</v>
      </c>
      <c r="J11" s="382">
        <v>186</v>
      </c>
      <c r="M11" s="419"/>
      <c r="N11" s="419"/>
      <c r="O11" s="419"/>
      <c r="P11" s="419"/>
      <c r="Q11" s="410"/>
      <c r="S11" s="386"/>
    </row>
    <row r="12" spans="2:19" ht="13" x14ac:dyDescent="0.3">
      <c r="B12" s="391" t="s">
        <v>2298</v>
      </c>
      <c r="C12" s="380">
        <v>201</v>
      </c>
      <c r="D12" s="386"/>
      <c r="G12" s="424"/>
      <c r="H12" s="382"/>
      <c r="I12" s="389" t="s">
        <v>932</v>
      </c>
      <c r="J12" s="382">
        <v>57</v>
      </c>
      <c r="K12" s="386"/>
      <c r="L12" s="386"/>
      <c r="M12" s="418"/>
      <c r="N12" s="418"/>
      <c r="O12" s="418"/>
      <c r="P12" s="418"/>
      <c r="Q12" s="410"/>
      <c r="S12" s="386"/>
    </row>
    <row r="13" spans="2:19" x14ac:dyDescent="0.25">
      <c r="B13" s="391"/>
      <c r="D13" s="386"/>
      <c r="G13" s="425"/>
      <c r="H13" s="426"/>
      <c r="I13" s="383" t="s">
        <v>2299</v>
      </c>
      <c r="J13" s="382">
        <v>187</v>
      </c>
      <c r="K13" s="386"/>
      <c r="L13" s="386"/>
      <c r="M13" s="427"/>
      <c r="N13" s="419"/>
      <c r="O13" s="389"/>
      <c r="P13" s="389"/>
      <c r="Q13" s="410"/>
      <c r="S13" s="386"/>
    </row>
    <row r="14" spans="2:19" ht="13" x14ac:dyDescent="0.3">
      <c r="B14" s="428" t="s">
        <v>2300</v>
      </c>
      <c r="C14" s="429"/>
      <c r="D14" s="386"/>
      <c r="G14" s="430" t="s">
        <v>2301</v>
      </c>
      <c r="H14" s="382"/>
      <c r="I14" s="384" t="s">
        <v>2302</v>
      </c>
      <c r="J14" s="382">
        <v>188</v>
      </c>
      <c r="M14" s="385"/>
      <c r="N14" s="419"/>
      <c r="O14" s="389"/>
      <c r="P14" s="419"/>
      <c r="Q14" s="410"/>
      <c r="S14" s="386"/>
    </row>
    <row r="15" spans="2:19" x14ac:dyDescent="0.25">
      <c r="B15" s="383" t="s">
        <v>2303</v>
      </c>
      <c r="C15" s="411">
        <v>55</v>
      </c>
      <c r="D15" s="386"/>
      <c r="G15" s="394" t="s">
        <v>2304</v>
      </c>
      <c r="H15" s="382">
        <v>171</v>
      </c>
      <c r="I15" s="384" t="s">
        <v>2305</v>
      </c>
      <c r="J15" s="382">
        <v>189</v>
      </c>
      <c r="M15" s="385"/>
      <c r="N15" s="419"/>
      <c r="O15" s="385"/>
      <c r="P15" s="422"/>
      <c r="Q15" s="410"/>
      <c r="S15" s="386"/>
    </row>
    <row r="16" spans="2:19" x14ac:dyDescent="0.25">
      <c r="B16" s="383" t="s">
        <v>2306</v>
      </c>
      <c r="C16" s="411">
        <v>203</v>
      </c>
      <c r="D16" s="386"/>
      <c r="G16" s="379" t="s">
        <v>912</v>
      </c>
      <c r="H16" s="382">
        <v>92</v>
      </c>
      <c r="I16" s="385" t="s">
        <v>2307</v>
      </c>
      <c r="J16" s="382">
        <v>59</v>
      </c>
      <c r="M16" s="419"/>
      <c r="N16" s="419"/>
      <c r="O16" s="419"/>
      <c r="P16" s="419"/>
      <c r="Q16" s="410"/>
      <c r="S16" s="386"/>
    </row>
    <row r="17" spans="1:19" x14ac:dyDescent="0.25">
      <c r="B17" s="383"/>
      <c r="C17" s="411"/>
      <c r="D17" s="386"/>
      <c r="G17" s="390" t="s">
        <v>2308</v>
      </c>
      <c r="H17" s="382">
        <v>93</v>
      </c>
      <c r="I17" s="385" t="s">
        <v>2309</v>
      </c>
      <c r="J17" s="382">
        <v>60</v>
      </c>
      <c r="M17" s="419"/>
      <c r="N17" s="419"/>
      <c r="O17" s="419"/>
      <c r="P17" s="419"/>
      <c r="Q17" s="410"/>
      <c r="S17" s="386"/>
    </row>
    <row r="18" spans="1:19" ht="13" x14ac:dyDescent="0.25">
      <c r="B18" s="431" t="s">
        <v>2310</v>
      </c>
      <c r="C18" s="432"/>
      <c r="D18" s="386"/>
      <c r="G18" s="390" t="s">
        <v>2311</v>
      </c>
      <c r="H18" s="382">
        <v>95</v>
      </c>
      <c r="I18" s="391" t="s">
        <v>2312</v>
      </c>
      <c r="J18" s="382">
        <v>190</v>
      </c>
      <c r="M18" s="419"/>
      <c r="N18" s="419"/>
      <c r="O18" s="419"/>
      <c r="P18" s="419"/>
      <c r="Q18" s="410"/>
      <c r="S18" s="386"/>
    </row>
    <row r="19" spans="1:19" x14ac:dyDescent="0.25">
      <c r="B19" s="392" t="s">
        <v>2313</v>
      </c>
      <c r="C19" s="421">
        <v>204</v>
      </c>
      <c r="D19" s="386"/>
      <c r="G19" s="393" t="s">
        <v>2314</v>
      </c>
      <c r="H19" s="382">
        <v>94</v>
      </c>
      <c r="I19" s="391" t="s">
        <v>2315</v>
      </c>
      <c r="J19" s="382">
        <v>191</v>
      </c>
      <c r="M19" s="419"/>
      <c r="N19" s="419"/>
      <c r="O19" s="419"/>
      <c r="P19" s="419"/>
      <c r="Q19" s="410"/>
      <c r="S19" s="386"/>
    </row>
    <row r="20" spans="1:19" x14ac:dyDescent="0.25">
      <c r="B20" s="392" t="s">
        <v>2316</v>
      </c>
      <c r="C20" s="421">
        <v>205</v>
      </c>
      <c r="D20" s="386"/>
      <c r="G20" s="381" t="s">
        <v>2317</v>
      </c>
      <c r="H20" s="382">
        <v>172</v>
      </c>
      <c r="I20" s="385" t="s">
        <v>928</v>
      </c>
      <c r="J20" s="382">
        <v>89</v>
      </c>
      <c r="M20" s="419"/>
      <c r="N20" s="419"/>
      <c r="O20" s="419"/>
      <c r="P20" s="419"/>
      <c r="Q20" s="410"/>
      <c r="S20" s="386"/>
    </row>
    <row r="21" spans="1:19" x14ac:dyDescent="0.25">
      <c r="B21" s="392" t="s">
        <v>2318</v>
      </c>
      <c r="C21" s="421">
        <v>206</v>
      </c>
      <c r="D21" s="386"/>
      <c r="G21" s="381" t="s">
        <v>2319</v>
      </c>
      <c r="H21" s="382">
        <v>56</v>
      </c>
      <c r="I21" s="385" t="s">
        <v>2320</v>
      </c>
      <c r="J21" s="388">
        <v>192</v>
      </c>
      <c r="M21" s="419"/>
      <c r="N21" s="419"/>
      <c r="O21" s="419"/>
      <c r="P21" s="419"/>
      <c r="Q21" s="410"/>
      <c r="S21" s="386"/>
    </row>
    <row r="22" spans="1:19" x14ac:dyDescent="0.25">
      <c r="B22" s="392" t="s">
        <v>2321</v>
      </c>
      <c r="C22" s="421">
        <v>207</v>
      </c>
      <c r="D22" s="386"/>
      <c r="G22" s="394" t="s">
        <v>2322</v>
      </c>
      <c r="H22" s="382">
        <v>108</v>
      </c>
      <c r="I22" s="385" t="s">
        <v>2323</v>
      </c>
      <c r="J22" s="382">
        <v>67</v>
      </c>
      <c r="O22" s="419"/>
      <c r="P22" s="419"/>
      <c r="Q22" s="410"/>
      <c r="S22" s="386"/>
    </row>
    <row r="23" spans="1:19" x14ac:dyDescent="0.25">
      <c r="B23" s="433"/>
      <c r="C23" s="421"/>
      <c r="D23" s="386"/>
      <c r="G23" s="390" t="s">
        <v>916</v>
      </c>
      <c r="H23" s="382">
        <v>97</v>
      </c>
      <c r="I23" s="385" t="s">
        <v>2324</v>
      </c>
      <c r="J23" s="382">
        <v>68</v>
      </c>
      <c r="S23" s="386"/>
    </row>
    <row r="24" spans="1:19" ht="13" x14ac:dyDescent="0.3">
      <c r="B24" s="433"/>
      <c r="C24" s="421"/>
      <c r="E24" s="406"/>
      <c r="F24" s="434"/>
      <c r="G24" s="390" t="s">
        <v>2325</v>
      </c>
      <c r="H24" s="382">
        <v>173</v>
      </c>
      <c r="I24" s="391" t="s">
        <v>2326</v>
      </c>
      <c r="J24" s="382">
        <v>61</v>
      </c>
    </row>
    <row r="25" spans="1:19" s="406" customFormat="1" ht="13" x14ac:dyDescent="0.3">
      <c r="A25" s="412"/>
      <c r="B25" s="433"/>
      <c r="C25" s="421"/>
      <c r="E25" s="384"/>
      <c r="F25" s="380"/>
      <c r="G25" s="379" t="s">
        <v>917</v>
      </c>
      <c r="H25" s="382">
        <v>98</v>
      </c>
      <c r="I25" s="391" t="s">
        <v>2327</v>
      </c>
      <c r="J25" s="382">
        <v>62</v>
      </c>
      <c r="K25" s="386"/>
      <c r="L25" s="386"/>
      <c r="M25" s="386"/>
      <c r="N25" s="386"/>
      <c r="O25" s="386"/>
      <c r="P25" s="386"/>
      <c r="Q25" s="384"/>
      <c r="R25" s="384"/>
    </row>
    <row r="26" spans="1:19" ht="13.15" customHeight="1" x14ac:dyDescent="0.3">
      <c r="A26" s="386"/>
      <c r="B26" s="395" t="s">
        <v>2328</v>
      </c>
      <c r="C26" s="396"/>
      <c r="G26" s="379" t="s">
        <v>885</v>
      </c>
      <c r="H26" s="382">
        <v>174</v>
      </c>
      <c r="I26" s="384" t="s">
        <v>920</v>
      </c>
      <c r="J26" s="382">
        <v>102</v>
      </c>
      <c r="K26" s="386"/>
      <c r="L26" s="386"/>
    </row>
    <row r="27" spans="1:19" ht="27" customHeight="1" x14ac:dyDescent="0.25">
      <c r="A27" s="386"/>
      <c r="B27" s="397" t="s">
        <v>2329</v>
      </c>
      <c r="C27" s="398">
        <v>208</v>
      </c>
      <c r="G27" s="379" t="s">
        <v>918</v>
      </c>
      <c r="H27" s="382">
        <v>100</v>
      </c>
      <c r="I27" s="384" t="s">
        <v>2330</v>
      </c>
      <c r="J27" s="382">
        <v>193</v>
      </c>
      <c r="K27" s="386"/>
      <c r="L27" s="386"/>
    </row>
    <row r="28" spans="1:19" ht="27" customHeight="1" x14ac:dyDescent="0.25">
      <c r="A28" s="386"/>
      <c r="B28" s="397" t="s">
        <v>2331</v>
      </c>
      <c r="C28" s="398">
        <v>209</v>
      </c>
      <c r="G28" s="393" t="s">
        <v>2332</v>
      </c>
      <c r="H28" s="382">
        <v>175</v>
      </c>
      <c r="I28" s="391" t="s">
        <v>2333</v>
      </c>
      <c r="J28" s="382">
        <v>65</v>
      </c>
      <c r="K28" s="386"/>
      <c r="L28" s="386"/>
    </row>
    <row r="29" spans="1:19" ht="13.15" customHeight="1" x14ac:dyDescent="0.25">
      <c r="A29" s="386"/>
      <c r="B29" s="397"/>
      <c r="C29" s="398"/>
      <c r="G29" s="390" t="s">
        <v>919</v>
      </c>
      <c r="H29" s="382">
        <v>101</v>
      </c>
      <c r="I29" s="391" t="s">
        <v>2334</v>
      </c>
      <c r="J29" s="382">
        <v>66</v>
      </c>
      <c r="K29" s="386"/>
      <c r="L29" s="386"/>
    </row>
    <row r="30" spans="1:19" ht="13.15" customHeight="1" x14ac:dyDescent="0.25">
      <c r="A30" s="386"/>
      <c r="B30" s="395" t="s">
        <v>2335</v>
      </c>
      <c r="C30" s="399"/>
      <c r="G30" s="393" t="s">
        <v>2336</v>
      </c>
      <c r="H30" s="382">
        <v>176</v>
      </c>
      <c r="I30" s="385" t="s">
        <v>2337</v>
      </c>
      <c r="J30" s="382">
        <v>69</v>
      </c>
      <c r="K30" s="385"/>
      <c r="L30" s="419"/>
      <c r="M30" s="385"/>
      <c r="N30" s="389"/>
    </row>
    <row r="31" spans="1:19" ht="30.65" customHeight="1" x14ac:dyDescent="0.25">
      <c r="A31" s="386"/>
      <c r="B31" s="400" t="s">
        <v>2338</v>
      </c>
      <c r="C31" s="398">
        <v>210</v>
      </c>
      <c r="G31" s="390" t="s">
        <v>2339</v>
      </c>
      <c r="H31" s="388">
        <v>105</v>
      </c>
      <c r="I31" s="385" t="s">
        <v>2340</v>
      </c>
      <c r="J31" s="382">
        <v>70</v>
      </c>
      <c r="K31" s="427"/>
      <c r="L31" s="419"/>
      <c r="M31" s="385"/>
      <c r="N31" s="389"/>
    </row>
    <row r="32" spans="1:19" ht="30.65" customHeight="1" x14ac:dyDescent="0.25">
      <c r="A32" s="386"/>
      <c r="B32" s="400" t="s">
        <v>2341</v>
      </c>
      <c r="C32" s="398">
        <v>211</v>
      </c>
      <c r="G32" s="393" t="s">
        <v>2342</v>
      </c>
      <c r="H32" s="382">
        <v>177</v>
      </c>
      <c r="J32" s="382"/>
      <c r="K32" s="427"/>
      <c r="L32" s="419"/>
      <c r="M32" s="385"/>
      <c r="N32" s="389"/>
    </row>
    <row r="33" spans="1:14" ht="13.15" customHeight="1" x14ac:dyDescent="0.25">
      <c r="A33" s="386"/>
      <c r="B33" s="420"/>
      <c r="C33" s="421"/>
      <c r="G33" s="393" t="s">
        <v>2343</v>
      </c>
      <c r="H33" s="382">
        <v>178</v>
      </c>
      <c r="J33" s="382"/>
      <c r="K33" s="427"/>
      <c r="L33" s="419"/>
      <c r="M33" s="385"/>
      <c r="N33" s="389"/>
    </row>
    <row r="34" spans="1:14" ht="13.15" customHeight="1" x14ac:dyDescent="0.3">
      <c r="A34" s="386"/>
      <c r="B34" s="401"/>
      <c r="C34" s="402"/>
      <c r="D34" s="386"/>
      <c r="G34" s="379" t="s">
        <v>2344</v>
      </c>
      <c r="H34" s="382">
        <v>179</v>
      </c>
      <c r="J34" s="382"/>
      <c r="K34" s="427"/>
      <c r="L34" s="419"/>
      <c r="M34" s="385"/>
      <c r="N34" s="389"/>
    </row>
    <row r="35" spans="1:14" ht="13.15" customHeight="1" x14ac:dyDescent="0.25">
      <c r="A35" s="386"/>
      <c r="B35" s="403"/>
      <c r="C35" s="404"/>
      <c r="D35" s="386"/>
      <c r="G35" s="393" t="s">
        <v>2345</v>
      </c>
      <c r="H35" s="382">
        <v>180</v>
      </c>
      <c r="J35" s="382"/>
      <c r="K35" s="427"/>
      <c r="L35" s="419"/>
      <c r="M35" s="385"/>
      <c r="N35" s="389"/>
    </row>
    <row r="36" spans="1:14" ht="13.15" customHeight="1" x14ac:dyDescent="0.25">
      <c r="A36" s="386"/>
      <c r="B36" s="403"/>
      <c r="C36" s="405"/>
      <c r="D36" s="386"/>
      <c r="G36" s="393" t="s">
        <v>2346</v>
      </c>
      <c r="H36" s="382">
        <v>181</v>
      </c>
      <c r="J36" s="382"/>
      <c r="K36" s="389"/>
      <c r="L36" s="419"/>
      <c r="M36" s="385"/>
      <c r="N36" s="389"/>
    </row>
    <row r="37" spans="1:14" x14ac:dyDescent="0.25">
      <c r="A37" s="386"/>
      <c r="B37" s="420"/>
      <c r="C37" s="421"/>
      <c r="G37" s="393" t="s">
        <v>2347</v>
      </c>
      <c r="H37" s="382">
        <v>122</v>
      </c>
      <c r="J37" s="382"/>
      <c r="K37" s="427"/>
      <c r="L37" s="419"/>
    </row>
    <row r="38" spans="1:14" ht="13.15" customHeight="1" x14ac:dyDescent="0.25">
      <c r="A38" s="386"/>
      <c r="B38" s="420"/>
      <c r="C38" s="421"/>
      <c r="G38" s="393" t="s">
        <v>2348</v>
      </c>
      <c r="H38" s="382">
        <v>110</v>
      </c>
      <c r="J38" s="382"/>
      <c r="K38" s="386"/>
      <c r="L38" s="386"/>
    </row>
    <row r="39" spans="1:14" ht="13.15" customHeight="1" x14ac:dyDescent="0.25">
      <c r="A39" s="386"/>
      <c r="B39" s="420"/>
      <c r="C39" s="421"/>
      <c r="G39" s="393" t="s">
        <v>921</v>
      </c>
      <c r="H39" s="382">
        <v>103</v>
      </c>
      <c r="J39" s="382"/>
      <c r="K39" s="386"/>
      <c r="L39" s="386"/>
    </row>
    <row r="40" spans="1:14" ht="13.15" customHeight="1" x14ac:dyDescent="0.25">
      <c r="A40" s="386"/>
      <c r="B40" s="420"/>
      <c r="C40" s="421"/>
      <c r="G40" s="424" t="s">
        <v>922</v>
      </c>
      <c r="H40" s="382">
        <v>104</v>
      </c>
      <c r="J40" s="382"/>
      <c r="K40" s="386"/>
      <c r="L40" s="386"/>
    </row>
    <row r="41" spans="1:14" ht="13.15" customHeight="1" x14ac:dyDescent="0.25">
      <c r="A41" s="386"/>
      <c r="B41" s="420"/>
      <c r="C41" s="421"/>
      <c r="G41" s="393" t="s">
        <v>2349</v>
      </c>
      <c r="H41" s="382">
        <v>182</v>
      </c>
      <c r="J41" s="382"/>
      <c r="K41" s="386"/>
      <c r="L41" s="386"/>
    </row>
    <row r="42" spans="1:14" x14ac:dyDescent="0.25">
      <c r="A42" s="383"/>
      <c r="B42" s="420"/>
      <c r="C42" s="421"/>
      <c r="G42" s="424"/>
      <c r="H42" s="382"/>
      <c r="J42" s="382"/>
      <c r="K42" s="385"/>
      <c r="L42" s="419"/>
    </row>
    <row r="43" spans="1:14" x14ac:dyDescent="0.25">
      <c r="A43" s="383"/>
      <c r="B43" s="420"/>
      <c r="C43" s="421"/>
      <c r="G43" s="424"/>
      <c r="H43" s="382"/>
      <c r="J43" s="382"/>
      <c r="K43" s="389"/>
      <c r="L43" s="419"/>
    </row>
    <row r="44" spans="1:14" ht="13" x14ac:dyDescent="0.3">
      <c r="A44" s="383"/>
      <c r="B44" s="420"/>
      <c r="C44" s="421"/>
      <c r="G44" s="379"/>
      <c r="H44" s="382"/>
      <c r="I44" s="406"/>
      <c r="J44" s="407"/>
      <c r="K44" s="385"/>
      <c r="L44" s="386"/>
    </row>
    <row r="45" spans="1:14" ht="41.25" customHeight="1" x14ac:dyDescent="0.25">
      <c r="A45" s="383"/>
      <c r="B45" s="385"/>
      <c r="C45" s="435"/>
      <c r="G45" s="379"/>
      <c r="H45" s="382"/>
      <c r="J45" s="382"/>
      <c r="K45" s="386"/>
      <c r="L45" s="386"/>
    </row>
    <row r="46" spans="1:14" x14ac:dyDescent="0.25">
      <c r="A46" s="383"/>
      <c r="B46" s="386"/>
      <c r="C46" s="435"/>
      <c r="G46" s="384"/>
      <c r="K46" s="386"/>
      <c r="L46" s="386"/>
    </row>
    <row r="47" spans="1:14" x14ac:dyDescent="0.25">
      <c r="A47" s="383"/>
      <c r="G47" s="384"/>
      <c r="K47" s="386"/>
      <c r="L47" s="386"/>
    </row>
    <row r="48" spans="1:14" x14ac:dyDescent="0.25">
      <c r="A48" s="383"/>
      <c r="G48" s="384"/>
      <c r="K48" s="386"/>
      <c r="L48" s="386"/>
    </row>
    <row r="49" spans="1:12" x14ac:dyDescent="0.25">
      <c r="A49" s="383"/>
      <c r="G49" s="384"/>
      <c r="K49" s="386"/>
      <c r="L49" s="386"/>
    </row>
    <row r="50" spans="1:12" x14ac:dyDescent="0.25">
      <c r="A50" s="383"/>
      <c r="G50" s="384"/>
      <c r="K50" s="386"/>
      <c r="L50" s="386"/>
    </row>
    <row r="51" spans="1:12" x14ac:dyDescent="0.25">
      <c r="A51" s="383"/>
      <c r="G51" s="384"/>
    </row>
    <row r="52" spans="1:12" ht="13.15" customHeight="1" x14ac:dyDescent="0.25">
      <c r="A52" s="383"/>
      <c r="G52" s="384"/>
    </row>
    <row r="53" spans="1:12" ht="13.15" customHeight="1" x14ac:dyDescent="0.25">
      <c r="A53" s="383"/>
      <c r="G53" s="384"/>
    </row>
    <row r="54" spans="1:12" ht="13.15" customHeight="1" x14ac:dyDescent="0.25">
      <c r="A54" s="383"/>
      <c r="G54" s="384"/>
    </row>
    <row r="55" spans="1:12" ht="14.5" customHeight="1" x14ac:dyDescent="0.25">
      <c r="A55" s="383"/>
      <c r="G55" s="384"/>
    </row>
    <row r="56" spans="1:12" x14ac:dyDescent="0.25">
      <c r="A56" s="386"/>
      <c r="G56" s="384"/>
    </row>
    <row r="57" spans="1:12" x14ac:dyDescent="0.25">
      <c r="G57" s="384"/>
    </row>
    <row r="58" spans="1:12" x14ac:dyDescent="0.25">
      <c r="G58" s="384"/>
    </row>
    <row r="59" spans="1:12" x14ac:dyDescent="0.25">
      <c r="G59" s="384"/>
    </row>
    <row r="60" spans="1:12" x14ac:dyDescent="0.25">
      <c r="G60" s="384"/>
      <c r="K60" s="386"/>
      <c r="L60" s="386"/>
    </row>
    <row r="61" spans="1:12" x14ac:dyDescent="0.25">
      <c r="G61" s="384"/>
    </row>
    <row r="62" spans="1:12" x14ac:dyDescent="0.25">
      <c r="G62" s="384"/>
    </row>
    <row r="63" spans="1:12" x14ac:dyDescent="0.25">
      <c r="G63" s="384"/>
    </row>
    <row r="64" spans="1:12" x14ac:dyDescent="0.25">
      <c r="G64" s="384"/>
    </row>
    <row r="65" spans="7:10" x14ac:dyDescent="0.25">
      <c r="G65" s="384"/>
      <c r="I65" s="386"/>
      <c r="J65" s="435"/>
    </row>
    <row r="66" spans="7:10" x14ac:dyDescent="0.25">
      <c r="G66" s="384"/>
    </row>
    <row r="67" spans="7:10" x14ac:dyDescent="0.25">
      <c r="G67" s="384"/>
    </row>
    <row r="68" spans="7:10" x14ac:dyDescent="0.25">
      <c r="G68" s="384"/>
    </row>
    <row r="69" spans="7:10" x14ac:dyDescent="0.25">
      <c r="G69" s="384"/>
    </row>
  </sheetData>
  <sheetProtection algorithmName="SHA-512" hashValue="awTRVVxb28AyFo6VziFtOYQ6UyHoPR+oh8nEKi58Wm5OgMYTBzlFcOrWTYUmc7DGy3xWeNOWbAGiatTq8PieUg==" saltValue="X9hHRZidYBhl2FWfGe8xkg==" spinCount="100000" sheet="1" objects="1" scenarios="1"/>
  <mergeCells count="1">
    <mergeCell ref="O7:O8"/>
  </mergeCells>
  <dataValidations count="1">
    <dataValidation allowBlank="1" showInputMessage="1" showErrorMessage="1" promptTitle="Description" prompt="Please enter a brief Description of the Project" sqref="C44" xr:uid="{00000000-0002-0000-0C00-000000000000}"/>
  </dataValidations>
  <pageMargins left="0.45" right="0.45" top="0.75" bottom="0.75" header="0.3" footer="0.3"/>
  <pageSetup scale="7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dimension ref="A1:AM153"/>
  <sheetViews>
    <sheetView zoomScaleNormal="100" workbookViewId="0"/>
  </sheetViews>
  <sheetFormatPr defaultRowHeight="12.5" x14ac:dyDescent="0.25"/>
  <cols>
    <col min="1" max="1" width="9.1796875" customWidth="1"/>
    <col min="2" max="2" width="18.81640625" customWidth="1"/>
    <col min="3" max="54" width="9.1796875" customWidth="1"/>
  </cols>
  <sheetData>
    <row r="1" spans="1:39" x14ac:dyDescent="0.25">
      <c r="A1">
        <v>1</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c r="AE1">
        <v>31</v>
      </c>
      <c r="AF1">
        <v>32</v>
      </c>
      <c r="AG1">
        <v>33</v>
      </c>
      <c r="AH1">
        <v>34</v>
      </c>
      <c r="AI1">
        <v>35</v>
      </c>
      <c r="AJ1">
        <v>36</v>
      </c>
      <c r="AK1">
        <v>37</v>
      </c>
      <c r="AL1">
        <v>38</v>
      </c>
      <c r="AM1">
        <v>39</v>
      </c>
    </row>
    <row r="2" spans="1:39" s="497" customFormat="1" x14ac:dyDescent="0.25">
      <c r="A2" s="476" t="s">
        <v>942</v>
      </c>
      <c r="B2" s="476" t="s">
        <v>943</v>
      </c>
      <c r="C2" s="476" t="s">
        <v>944</v>
      </c>
      <c r="D2" s="476" t="s">
        <v>945</v>
      </c>
      <c r="E2" s="476" t="s">
        <v>946</v>
      </c>
      <c r="F2" s="476" t="s">
        <v>947</v>
      </c>
      <c r="G2" s="476" t="s">
        <v>948</v>
      </c>
      <c r="H2" s="476" t="s">
        <v>949</v>
      </c>
      <c r="I2" s="476" t="s">
        <v>950</v>
      </c>
      <c r="J2" s="476" t="s">
        <v>951</v>
      </c>
      <c r="K2" s="476" t="s">
        <v>2531</v>
      </c>
      <c r="L2" s="476" t="s">
        <v>2532</v>
      </c>
      <c r="M2" s="476" t="s">
        <v>2533</v>
      </c>
      <c r="N2" s="476" t="s">
        <v>2534</v>
      </c>
      <c r="O2" s="476" t="s">
        <v>2535</v>
      </c>
      <c r="P2" s="476" t="s">
        <v>2536</v>
      </c>
      <c r="Q2" s="476" t="s">
        <v>2537</v>
      </c>
      <c r="R2" s="476" t="s">
        <v>2538</v>
      </c>
      <c r="S2" s="476" t="s">
        <v>2539</v>
      </c>
      <c r="T2" s="476" t="s">
        <v>2540</v>
      </c>
      <c r="U2" s="476" t="s">
        <v>2541</v>
      </c>
      <c r="V2" s="476" t="s">
        <v>2542</v>
      </c>
      <c r="W2" s="476" t="s">
        <v>2543</v>
      </c>
      <c r="X2" s="476" t="s">
        <v>2544</v>
      </c>
      <c r="Y2" s="476" t="s">
        <v>2545</v>
      </c>
      <c r="Z2" s="476" t="s">
        <v>2546</v>
      </c>
      <c r="AA2" s="476" t="s">
        <v>2547</v>
      </c>
      <c r="AB2" s="476" t="s">
        <v>2548</v>
      </c>
      <c r="AC2" s="476" t="s">
        <v>2549</v>
      </c>
      <c r="AD2" s="476" t="s">
        <v>2550</v>
      </c>
      <c r="AE2" s="476" t="s">
        <v>2981</v>
      </c>
      <c r="AF2" s="476" t="s">
        <v>2982</v>
      </c>
      <c r="AG2" s="476" t="s">
        <v>2551</v>
      </c>
      <c r="AH2" s="476" t="s">
        <v>2552</v>
      </c>
      <c r="AI2" s="476" t="s">
        <v>2553</v>
      </c>
      <c r="AJ2" s="476" t="s">
        <v>2554</v>
      </c>
      <c r="AK2" s="476" t="s">
        <v>2555</v>
      </c>
      <c r="AL2" s="476" t="s">
        <v>2556</v>
      </c>
      <c r="AM2" s="476" t="s">
        <v>2557</v>
      </c>
    </row>
    <row r="3" spans="1:39" x14ac:dyDescent="0.25">
      <c r="A3">
        <v>1</v>
      </c>
      <c r="B3">
        <v>527030</v>
      </c>
      <c r="C3">
        <v>540828</v>
      </c>
      <c r="D3">
        <v>546938</v>
      </c>
      <c r="E3">
        <v>6220066</v>
      </c>
      <c r="F3">
        <v>7834862</v>
      </c>
      <c r="G3">
        <v>7119</v>
      </c>
      <c r="H3">
        <v>772</v>
      </c>
      <c r="I3">
        <v>361</v>
      </c>
      <c r="J3">
        <v>8252</v>
      </c>
      <c r="K3">
        <v>1005523</v>
      </c>
      <c r="L3">
        <v>14.25</v>
      </c>
      <c r="M3">
        <v>25506</v>
      </c>
      <c r="N3">
        <v>0.67</v>
      </c>
      <c r="O3" t="s">
        <v>3178</v>
      </c>
      <c r="P3" t="s">
        <v>3178</v>
      </c>
      <c r="Q3">
        <v>6840</v>
      </c>
      <c r="R3">
        <v>0.05</v>
      </c>
      <c r="S3" t="s">
        <v>3178</v>
      </c>
      <c r="T3" t="s">
        <v>3178</v>
      </c>
      <c r="U3">
        <v>125957</v>
      </c>
      <c r="V3">
        <v>1.44</v>
      </c>
      <c r="W3">
        <v>49138</v>
      </c>
      <c r="X3">
        <v>0.35</v>
      </c>
      <c r="Y3">
        <v>6000</v>
      </c>
      <c r="Z3">
        <v>0.05</v>
      </c>
      <c r="AA3">
        <v>42579</v>
      </c>
      <c r="AB3">
        <v>0.75</v>
      </c>
      <c r="AC3">
        <v>91795</v>
      </c>
      <c r="AD3">
        <v>1.05</v>
      </c>
      <c r="AE3">
        <v>145091</v>
      </c>
      <c r="AF3">
        <v>2.39</v>
      </c>
      <c r="AG3">
        <v>293391</v>
      </c>
      <c r="AH3">
        <v>4.9000000000000004</v>
      </c>
      <c r="AI3">
        <v>1517617</v>
      </c>
      <c r="AJ3">
        <v>40.270000000000003</v>
      </c>
      <c r="AK3">
        <v>3309437</v>
      </c>
      <c r="AL3">
        <v>66.17</v>
      </c>
      <c r="AM3">
        <v>20</v>
      </c>
    </row>
    <row r="4" spans="1:39" x14ac:dyDescent="0.25">
      <c r="A4">
        <v>2</v>
      </c>
      <c r="B4">
        <v>426952876</v>
      </c>
      <c r="C4">
        <v>94394949</v>
      </c>
      <c r="D4">
        <v>186362091</v>
      </c>
      <c r="E4">
        <v>325939475</v>
      </c>
      <c r="F4">
        <v>1033649391</v>
      </c>
      <c r="G4">
        <v>228990</v>
      </c>
      <c r="H4">
        <v>59297</v>
      </c>
      <c r="I4">
        <v>14312</v>
      </c>
      <c r="J4">
        <v>302599</v>
      </c>
      <c r="K4">
        <v>154264892</v>
      </c>
      <c r="L4">
        <v>1556.21</v>
      </c>
      <c r="M4">
        <v>2329155</v>
      </c>
      <c r="N4">
        <v>45.51</v>
      </c>
      <c r="O4">
        <v>32313</v>
      </c>
      <c r="P4">
        <v>0.19</v>
      </c>
      <c r="Q4">
        <v>3952659</v>
      </c>
      <c r="R4">
        <v>33.229999999999997</v>
      </c>
      <c r="S4">
        <v>9720323</v>
      </c>
      <c r="T4">
        <v>211.95</v>
      </c>
      <c r="U4">
        <v>8271477</v>
      </c>
      <c r="V4">
        <v>57.73</v>
      </c>
      <c r="W4">
        <v>59018417</v>
      </c>
      <c r="X4">
        <v>181.88</v>
      </c>
      <c r="Y4">
        <v>1412634</v>
      </c>
      <c r="Z4">
        <v>11.21</v>
      </c>
      <c r="AA4">
        <v>4459687</v>
      </c>
      <c r="AB4">
        <v>58.39</v>
      </c>
      <c r="AC4">
        <v>14305095</v>
      </c>
      <c r="AD4">
        <v>178.3</v>
      </c>
      <c r="AE4">
        <v>17312570</v>
      </c>
      <c r="AF4">
        <v>216.68</v>
      </c>
      <c r="AG4">
        <v>2825777</v>
      </c>
      <c r="AH4">
        <v>62.17</v>
      </c>
      <c r="AI4">
        <v>102975897</v>
      </c>
      <c r="AJ4">
        <v>1686.71</v>
      </c>
      <c r="AK4">
        <v>380880896</v>
      </c>
      <c r="AL4">
        <v>4300.16</v>
      </c>
      <c r="AM4">
        <v>952</v>
      </c>
    </row>
    <row r="5" spans="1:39" x14ac:dyDescent="0.25">
      <c r="A5">
        <v>3</v>
      </c>
      <c r="B5">
        <v>7566777</v>
      </c>
      <c r="C5">
        <v>1105839</v>
      </c>
      <c r="D5">
        <v>1275586</v>
      </c>
      <c r="E5" t="s">
        <v>3178</v>
      </c>
      <c r="F5">
        <v>9948202</v>
      </c>
      <c r="G5">
        <v>20103</v>
      </c>
      <c r="H5">
        <v>1219</v>
      </c>
      <c r="I5">
        <v>324</v>
      </c>
      <c r="J5">
        <v>21646</v>
      </c>
      <c r="K5">
        <v>739587</v>
      </c>
      <c r="L5">
        <v>11.09</v>
      </c>
      <c r="M5">
        <v>183539</v>
      </c>
      <c r="N5">
        <v>3.94</v>
      </c>
      <c r="O5" t="s">
        <v>3178</v>
      </c>
      <c r="P5" t="s">
        <v>3178</v>
      </c>
      <c r="Q5">
        <v>159660</v>
      </c>
      <c r="R5">
        <v>1.59</v>
      </c>
      <c r="S5" t="s">
        <v>3178</v>
      </c>
      <c r="T5" t="s">
        <v>3178</v>
      </c>
      <c r="U5" t="s">
        <v>3178</v>
      </c>
      <c r="V5" t="s">
        <v>3178</v>
      </c>
      <c r="W5">
        <v>192877</v>
      </c>
      <c r="X5">
        <v>0.56999999999999995</v>
      </c>
      <c r="Y5">
        <v>310425</v>
      </c>
      <c r="Z5">
        <v>2.34</v>
      </c>
      <c r="AA5">
        <v>110848</v>
      </c>
      <c r="AB5">
        <v>1.95</v>
      </c>
      <c r="AC5">
        <v>225428</v>
      </c>
      <c r="AD5">
        <v>4.6500000000000004</v>
      </c>
      <c r="AE5">
        <v>130564</v>
      </c>
      <c r="AF5">
        <v>1.89</v>
      </c>
      <c r="AG5">
        <v>166755</v>
      </c>
      <c r="AH5">
        <v>2.81</v>
      </c>
      <c r="AI5">
        <v>954037</v>
      </c>
      <c r="AJ5">
        <v>20.399999999999999</v>
      </c>
      <c r="AK5">
        <v>3173720</v>
      </c>
      <c r="AL5">
        <v>51.23</v>
      </c>
      <c r="AM5">
        <v>14</v>
      </c>
    </row>
    <row r="6" spans="1:39" x14ac:dyDescent="0.25">
      <c r="A6">
        <v>4</v>
      </c>
      <c r="B6">
        <v>32359053</v>
      </c>
      <c r="C6">
        <v>7867297</v>
      </c>
      <c r="D6">
        <v>10319817</v>
      </c>
      <c r="E6">
        <v>23033194</v>
      </c>
      <c r="F6">
        <v>73579361</v>
      </c>
      <c r="G6">
        <v>62784</v>
      </c>
      <c r="H6">
        <v>7572</v>
      </c>
      <c r="I6">
        <v>2175</v>
      </c>
      <c r="J6">
        <v>72531</v>
      </c>
      <c r="K6">
        <v>4798273</v>
      </c>
      <c r="L6">
        <v>59.91</v>
      </c>
      <c r="M6">
        <v>939133</v>
      </c>
      <c r="N6">
        <v>25.71</v>
      </c>
      <c r="O6" t="s">
        <v>3178</v>
      </c>
      <c r="P6" t="s">
        <v>3178</v>
      </c>
      <c r="Q6">
        <v>1204138</v>
      </c>
      <c r="R6">
        <v>9.7200000000000006</v>
      </c>
      <c r="S6">
        <v>219887</v>
      </c>
      <c r="T6">
        <v>7.54</v>
      </c>
      <c r="U6">
        <v>580910</v>
      </c>
      <c r="V6">
        <v>4.42</v>
      </c>
      <c r="W6">
        <v>3830932</v>
      </c>
      <c r="X6">
        <v>15.48</v>
      </c>
      <c r="Y6" t="s">
        <v>3178</v>
      </c>
      <c r="Z6" t="s">
        <v>3178</v>
      </c>
      <c r="AA6">
        <v>123477</v>
      </c>
      <c r="AB6">
        <v>1.9</v>
      </c>
      <c r="AC6">
        <v>397876</v>
      </c>
      <c r="AD6">
        <v>5.0199999999999996</v>
      </c>
      <c r="AE6">
        <v>683850</v>
      </c>
      <c r="AF6">
        <v>11.93</v>
      </c>
      <c r="AG6">
        <v>416752</v>
      </c>
      <c r="AH6">
        <v>8.59</v>
      </c>
      <c r="AI6">
        <v>8081512</v>
      </c>
      <c r="AJ6">
        <v>144.78</v>
      </c>
      <c r="AK6">
        <v>21276740</v>
      </c>
      <c r="AL6">
        <v>295</v>
      </c>
      <c r="AM6">
        <v>25</v>
      </c>
    </row>
    <row r="7" spans="1:39" x14ac:dyDescent="0.25">
      <c r="A7">
        <v>5</v>
      </c>
      <c r="B7">
        <v>11027556</v>
      </c>
      <c r="C7">
        <v>1145068</v>
      </c>
      <c r="D7">
        <v>1172399</v>
      </c>
      <c r="E7">
        <v>271255</v>
      </c>
      <c r="F7">
        <v>13616278</v>
      </c>
      <c r="G7">
        <v>23846</v>
      </c>
      <c r="H7">
        <v>1764</v>
      </c>
      <c r="I7">
        <v>344</v>
      </c>
      <c r="J7">
        <v>25954</v>
      </c>
      <c r="K7">
        <v>1145005</v>
      </c>
      <c r="L7">
        <v>13.45</v>
      </c>
      <c r="M7">
        <v>593964</v>
      </c>
      <c r="N7">
        <v>12.46</v>
      </c>
      <c r="O7" t="s">
        <v>3178</v>
      </c>
      <c r="P7" t="s">
        <v>3178</v>
      </c>
      <c r="Q7">
        <v>73738</v>
      </c>
      <c r="R7">
        <v>0.59</v>
      </c>
      <c r="S7">
        <v>76848</v>
      </c>
      <c r="T7">
        <v>2.69</v>
      </c>
      <c r="U7" t="s">
        <v>3178</v>
      </c>
      <c r="V7" t="s">
        <v>3178</v>
      </c>
      <c r="W7">
        <v>657417</v>
      </c>
      <c r="X7">
        <v>2.5499999999999998</v>
      </c>
      <c r="Y7">
        <v>700649</v>
      </c>
      <c r="Z7">
        <v>5.5</v>
      </c>
      <c r="AA7">
        <v>21212</v>
      </c>
      <c r="AB7">
        <v>0.28999999999999998</v>
      </c>
      <c r="AC7">
        <v>75895</v>
      </c>
      <c r="AD7">
        <v>0.84</v>
      </c>
      <c r="AE7">
        <v>326485</v>
      </c>
      <c r="AF7">
        <v>4.4000000000000004</v>
      </c>
      <c r="AG7">
        <v>299199</v>
      </c>
      <c r="AH7">
        <v>4.99</v>
      </c>
      <c r="AI7">
        <v>923854</v>
      </c>
      <c r="AJ7">
        <v>19.55</v>
      </c>
      <c r="AK7">
        <v>4894266</v>
      </c>
      <c r="AL7">
        <v>67.31</v>
      </c>
      <c r="AM7">
        <v>17</v>
      </c>
    </row>
    <row r="8" spans="1:39" x14ac:dyDescent="0.25">
      <c r="A8">
        <v>6</v>
      </c>
      <c r="B8">
        <v>662367</v>
      </c>
      <c r="C8">
        <v>596794</v>
      </c>
      <c r="D8">
        <v>327006</v>
      </c>
      <c r="E8">
        <v>4762967</v>
      </c>
      <c r="F8">
        <v>6349134</v>
      </c>
      <c r="G8">
        <v>5160</v>
      </c>
      <c r="H8">
        <v>809</v>
      </c>
      <c r="I8">
        <v>124</v>
      </c>
      <c r="J8">
        <v>6093</v>
      </c>
      <c r="K8">
        <v>820720</v>
      </c>
      <c r="L8">
        <v>12.27</v>
      </c>
      <c r="M8">
        <v>113291</v>
      </c>
      <c r="N8">
        <v>2.67</v>
      </c>
      <c r="O8" t="s">
        <v>3178</v>
      </c>
      <c r="P8" t="s">
        <v>3178</v>
      </c>
      <c r="Q8">
        <v>190184</v>
      </c>
      <c r="R8">
        <v>1.4</v>
      </c>
      <c r="S8">
        <v>13394</v>
      </c>
      <c r="T8">
        <v>0.51</v>
      </c>
      <c r="U8">
        <v>93997</v>
      </c>
      <c r="V8">
        <v>1</v>
      </c>
      <c r="W8">
        <v>724797</v>
      </c>
      <c r="X8">
        <v>2.15</v>
      </c>
      <c r="Y8" t="s">
        <v>3178</v>
      </c>
      <c r="Z8" t="s">
        <v>3178</v>
      </c>
      <c r="AA8" t="s">
        <v>3178</v>
      </c>
      <c r="AB8" t="s">
        <v>3178</v>
      </c>
      <c r="AC8" t="s">
        <v>3178</v>
      </c>
      <c r="AD8" t="s">
        <v>3178</v>
      </c>
      <c r="AE8">
        <v>98692</v>
      </c>
      <c r="AF8">
        <v>1.7</v>
      </c>
      <c r="AG8">
        <v>204929</v>
      </c>
      <c r="AH8">
        <v>3.96</v>
      </c>
      <c r="AI8">
        <v>857659</v>
      </c>
      <c r="AJ8">
        <v>24.66</v>
      </c>
      <c r="AK8">
        <v>3117663</v>
      </c>
      <c r="AL8">
        <v>50.32</v>
      </c>
      <c r="AM8">
        <v>15</v>
      </c>
    </row>
    <row r="9" spans="1:39" x14ac:dyDescent="0.25">
      <c r="A9">
        <v>7</v>
      </c>
      <c r="B9">
        <v>4086616</v>
      </c>
      <c r="C9">
        <v>2433177</v>
      </c>
      <c r="D9">
        <v>1293088</v>
      </c>
      <c r="E9">
        <v>8800585</v>
      </c>
      <c r="F9">
        <v>16613466</v>
      </c>
      <c r="G9">
        <v>25839</v>
      </c>
      <c r="H9">
        <v>1881</v>
      </c>
      <c r="I9">
        <v>384</v>
      </c>
      <c r="J9">
        <v>28104</v>
      </c>
      <c r="K9">
        <v>1406372</v>
      </c>
      <c r="L9">
        <v>15.87</v>
      </c>
      <c r="M9">
        <v>62591</v>
      </c>
      <c r="N9">
        <v>1.24</v>
      </c>
      <c r="O9">
        <v>97247</v>
      </c>
      <c r="P9">
        <v>1</v>
      </c>
      <c r="Q9">
        <v>179409</v>
      </c>
      <c r="R9">
        <v>1.74</v>
      </c>
      <c r="S9">
        <v>497914</v>
      </c>
      <c r="T9">
        <v>13.83</v>
      </c>
      <c r="U9">
        <v>44801</v>
      </c>
      <c r="V9">
        <v>0.35</v>
      </c>
      <c r="W9">
        <v>728440</v>
      </c>
      <c r="X9">
        <v>2.8</v>
      </c>
      <c r="Y9">
        <v>604851</v>
      </c>
      <c r="Z9">
        <v>3.9</v>
      </c>
      <c r="AA9">
        <v>34148</v>
      </c>
      <c r="AB9">
        <v>0.44</v>
      </c>
      <c r="AC9">
        <v>183367</v>
      </c>
      <c r="AD9">
        <v>2.23</v>
      </c>
      <c r="AE9">
        <v>161998</v>
      </c>
      <c r="AF9">
        <v>2.2799999999999998</v>
      </c>
      <c r="AG9">
        <v>296009</v>
      </c>
      <c r="AH9">
        <v>5.36</v>
      </c>
      <c r="AI9">
        <v>1989743</v>
      </c>
      <c r="AJ9">
        <v>37.56</v>
      </c>
      <c r="AK9">
        <v>6286890</v>
      </c>
      <c r="AL9">
        <v>88.6</v>
      </c>
      <c r="AM9">
        <v>20</v>
      </c>
    </row>
    <row r="10" spans="1:39" x14ac:dyDescent="0.25">
      <c r="A10">
        <v>10</v>
      </c>
      <c r="B10">
        <v>5738807</v>
      </c>
      <c r="C10" t="s">
        <v>3178</v>
      </c>
      <c r="D10" t="s">
        <v>3178</v>
      </c>
      <c r="E10" t="s">
        <v>3178</v>
      </c>
      <c r="F10">
        <v>5738807</v>
      </c>
      <c r="G10">
        <v>5660</v>
      </c>
      <c r="H10" t="s">
        <v>3178</v>
      </c>
      <c r="I10" t="s">
        <v>3178</v>
      </c>
      <c r="J10">
        <v>5660</v>
      </c>
      <c r="K10">
        <v>16801898</v>
      </c>
      <c r="L10">
        <v>173.57</v>
      </c>
      <c r="M10">
        <v>146563</v>
      </c>
      <c r="N10">
        <v>2.56</v>
      </c>
      <c r="O10" t="s">
        <v>3178</v>
      </c>
      <c r="P10" t="s">
        <v>3178</v>
      </c>
      <c r="Q10" t="s">
        <v>3178</v>
      </c>
      <c r="R10" t="s">
        <v>3178</v>
      </c>
      <c r="S10">
        <v>3368384</v>
      </c>
      <c r="T10">
        <v>83.73</v>
      </c>
      <c r="U10">
        <v>1098261</v>
      </c>
      <c r="V10">
        <v>8.14</v>
      </c>
      <c r="W10" t="s">
        <v>3178</v>
      </c>
      <c r="X10" t="s">
        <v>3178</v>
      </c>
      <c r="Y10" t="s">
        <v>3178</v>
      </c>
      <c r="Z10" t="s">
        <v>3178</v>
      </c>
      <c r="AA10">
        <v>614983</v>
      </c>
      <c r="AB10">
        <v>8.2200000000000006</v>
      </c>
      <c r="AC10">
        <v>440292</v>
      </c>
      <c r="AD10">
        <v>5.5</v>
      </c>
      <c r="AE10">
        <v>282185</v>
      </c>
      <c r="AF10">
        <v>2.78</v>
      </c>
      <c r="AG10">
        <v>216371</v>
      </c>
      <c r="AH10">
        <v>4.37</v>
      </c>
      <c r="AI10">
        <v>13266140</v>
      </c>
      <c r="AJ10">
        <v>208.18</v>
      </c>
      <c r="AK10">
        <v>36235077</v>
      </c>
      <c r="AL10">
        <v>497.05</v>
      </c>
      <c r="AM10">
        <v>254</v>
      </c>
    </row>
    <row r="11" spans="1:39" x14ac:dyDescent="0.25">
      <c r="A11">
        <v>11</v>
      </c>
      <c r="B11">
        <v>38732840</v>
      </c>
      <c r="C11">
        <v>17200556</v>
      </c>
      <c r="D11">
        <v>27193474</v>
      </c>
      <c r="E11">
        <v>40847490</v>
      </c>
      <c r="F11">
        <v>123974360</v>
      </c>
      <c r="G11">
        <v>22406</v>
      </c>
      <c r="H11">
        <v>18542</v>
      </c>
      <c r="I11">
        <v>5615</v>
      </c>
      <c r="J11">
        <v>46563</v>
      </c>
      <c r="K11">
        <v>9891912</v>
      </c>
      <c r="L11">
        <v>105.82</v>
      </c>
      <c r="M11" t="s">
        <v>3178</v>
      </c>
      <c r="N11" t="s">
        <v>3178</v>
      </c>
      <c r="O11">
        <v>1305339</v>
      </c>
      <c r="P11">
        <v>7.3</v>
      </c>
      <c r="Q11">
        <v>83284</v>
      </c>
      <c r="R11">
        <v>0.83</v>
      </c>
      <c r="S11">
        <v>315695</v>
      </c>
      <c r="T11">
        <v>8.42</v>
      </c>
      <c r="U11">
        <v>819770</v>
      </c>
      <c r="V11">
        <v>6.19</v>
      </c>
      <c r="W11">
        <v>1486988</v>
      </c>
      <c r="X11">
        <v>3.87</v>
      </c>
      <c r="Y11" t="s">
        <v>3178</v>
      </c>
      <c r="Z11" t="s">
        <v>3178</v>
      </c>
      <c r="AA11">
        <v>305422</v>
      </c>
      <c r="AB11">
        <v>4.08</v>
      </c>
      <c r="AC11">
        <v>898971</v>
      </c>
      <c r="AD11">
        <v>11.28</v>
      </c>
      <c r="AE11">
        <v>1725605</v>
      </c>
      <c r="AF11">
        <v>21.43</v>
      </c>
      <c r="AG11">
        <v>992458</v>
      </c>
      <c r="AH11">
        <v>17.05</v>
      </c>
      <c r="AI11">
        <v>9709864</v>
      </c>
      <c r="AJ11">
        <v>146.29</v>
      </c>
      <c r="AK11">
        <v>27535308</v>
      </c>
      <c r="AL11">
        <v>332.56</v>
      </c>
      <c r="AM11">
        <v>65</v>
      </c>
    </row>
    <row r="12" spans="1:39" x14ac:dyDescent="0.25">
      <c r="A12">
        <v>13</v>
      </c>
      <c r="B12">
        <v>30760161</v>
      </c>
      <c r="C12">
        <v>16227941</v>
      </c>
      <c r="D12">
        <v>18889272</v>
      </c>
      <c r="E12">
        <v>58920999</v>
      </c>
      <c r="F12">
        <v>124798373</v>
      </c>
      <c r="G12">
        <v>40137</v>
      </c>
      <c r="H12">
        <v>18773</v>
      </c>
      <c r="I12">
        <v>3311</v>
      </c>
      <c r="J12">
        <v>62221</v>
      </c>
      <c r="K12">
        <v>13925803</v>
      </c>
      <c r="L12">
        <v>129.91</v>
      </c>
      <c r="M12" t="s">
        <v>3178</v>
      </c>
      <c r="N12" t="s">
        <v>3178</v>
      </c>
      <c r="O12" t="s">
        <v>3178</v>
      </c>
      <c r="P12" t="s">
        <v>3178</v>
      </c>
      <c r="Q12" t="s">
        <v>3178</v>
      </c>
      <c r="R12" t="s">
        <v>3178</v>
      </c>
      <c r="S12" t="s">
        <v>3178</v>
      </c>
      <c r="T12" t="s">
        <v>3178</v>
      </c>
      <c r="U12">
        <v>911397</v>
      </c>
      <c r="V12">
        <v>6.27</v>
      </c>
      <c r="W12">
        <v>3378839</v>
      </c>
      <c r="X12">
        <v>8.09</v>
      </c>
      <c r="Y12" t="s">
        <v>3178</v>
      </c>
      <c r="Z12" t="s">
        <v>3178</v>
      </c>
      <c r="AA12">
        <v>162629</v>
      </c>
      <c r="AB12">
        <v>2.2200000000000002</v>
      </c>
      <c r="AC12">
        <v>627591</v>
      </c>
      <c r="AD12">
        <v>8.65</v>
      </c>
      <c r="AE12">
        <v>1788321</v>
      </c>
      <c r="AF12">
        <v>22.86</v>
      </c>
      <c r="AG12">
        <v>602672</v>
      </c>
      <c r="AH12">
        <v>10.24</v>
      </c>
      <c r="AI12">
        <v>10945833</v>
      </c>
      <c r="AJ12">
        <v>188.32</v>
      </c>
      <c r="AK12">
        <v>32343085</v>
      </c>
      <c r="AL12">
        <v>376.56</v>
      </c>
      <c r="AM12">
        <v>86</v>
      </c>
    </row>
    <row r="13" spans="1:39" x14ac:dyDescent="0.25">
      <c r="A13">
        <v>14</v>
      </c>
      <c r="B13">
        <v>6997457</v>
      </c>
      <c r="C13">
        <v>1250824</v>
      </c>
      <c r="D13">
        <v>946405</v>
      </c>
      <c r="E13">
        <v>2892175</v>
      </c>
      <c r="F13">
        <v>12086861</v>
      </c>
      <c r="G13">
        <v>14031</v>
      </c>
      <c r="H13">
        <v>1047</v>
      </c>
      <c r="I13">
        <v>120</v>
      </c>
      <c r="J13">
        <v>15198</v>
      </c>
      <c r="K13">
        <v>1432616</v>
      </c>
      <c r="L13">
        <v>22.13</v>
      </c>
      <c r="M13">
        <v>59689</v>
      </c>
      <c r="N13">
        <v>1.17</v>
      </c>
      <c r="O13">
        <v>181227</v>
      </c>
      <c r="P13">
        <v>0.96</v>
      </c>
      <c r="Q13" t="s">
        <v>3178</v>
      </c>
      <c r="R13" t="s">
        <v>3178</v>
      </c>
      <c r="S13">
        <v>125121</v>
      </c>
      <c r="T13">
        <v>4.8600000000000003</v>
      </c>
      <c r="U13">
        <v>180880</v>
      </c>
      <c r="V13">
        <v>1.51</v>
      </c>
      <c r="W13">
        <v>75497</v>
      </c>
      <c r="X13">
        <v>0.85</v>
      </c>
      <c r="Y13" t="s">
        <v>3178</v>
      </c>
      <c r="Z13" t="s">
        <v>3178</v>
      </c>
      <c r="AA13">
        <v>146988</v>
      </c>
      <c r="AB13">
        <v>1.85</v>
      </c>
      <c r="AC13">
        <v>218503</v>
      </c>
      <c r="AD13">
        <v>2.69</v>
      </c>
      <c r="AE13">
        <v>223333</v>
      </c>
      <c r="AF13">
        <v>3.13</v>
      </c>
      <c r="AG13">
        <v>251149</v>
      </c>
      <c r="AH13">
        <v>4.59</v>
      </c>
      <c r="AI13">
        <v>1501108</v>
      </c>
      <c r="AJ13">
        <v>31.54</v>
      </c>
      <c r="AK13">
        <v>4396111</v>
      </c>
      <c r="AL13">
        <v>75.28</v>
      </c>
      <c r="AM13">
        <v>25</v>
      </c>
    </row>
    <row r="14" spans="1:39" x14ac:dyDescent="0.25">
      <c r="A14">
        <v>15</v>
      </c>
      <c r="B14">
        <v>1891022</v>
      </c>
      <c r="C14">
        <v>3180711</v>
      </c>
      <c r="D14">
        <v>3973011</v>
      </c>
      <c r="E14">
        <v>24599577</v>
      </c>
      <c r="F14">
        <v>33644321</v>
      </c>
      <c r="G14">
        <v>21589</v>
      </c>
      <c r="H14">
        <v>3948</v>
      </c>
      <c r="I14">
        <v>414</v>
      </c>
      <c r="J14">
        <v>25951</v>
      </c>
      <c r="K14">
        <v>3650919</v>
      </c>
      <c r="L14">
        <v>45.23</v>
      </c>
      <c r="M14">
        <v>324662</v>
      </c>
      <c r="N14">
        <v>7.55</v>
      </c>
      <c r="O14">
        <v>80800</v>
      </c>
      <c r="P14">
        <v>0.42</v>
      </c>
      <c r="Q14">
        <v>306990</v>
      </c>
      <c r="R14">
        <v>2.5499999999999998</v>
      </c>
      <c r="S14">
        <v>256946</v>
      </c>
      <c r="T14">
        <v>7.59</v>
      </c>
      <c r="U14">
        <v>469801</v>
      </c>
      <c r="V14">
        <v>3.35</v>
      </c>
      <c r="W14">
        <v>2865186</v>
      </c>
      <c r="X14">
        <v>7.96</v>
      </c>
      <c r="Y14">
        <v>252069</v>
      </c>
      <c r="Z14">
        <v>1.64</v>
      </c>
      <c r="AA14">
        <v>143055</v>
      </c>
      <c r="AB14">
        <v>2.12</v>
      </c>
      <c r="AC14">
        <v>382616</v>
      </c>
      <c r="AD14">
        <v>4.51</v>
      </c>
      <c r="AE14">
        <v>454030</v>
      </c>
      <c r="AF14">
        <v>6.71</v>
      </c>
      <c r="AG14">
        <v>178684</v>
      </c>
      <c r="AH14">
        <v>3.14</v>
      </c>
      <c r="AI14">
        <v>2293664</v>
      </c>
      <c r="AJ14">
        <v>44.69</v>
      </c>
      <c r="AK14">
        <v>11659422</v>
      </c>
      <c r="AL14">
        <v>137.46</v>
      </c>
      <c r="AM14">
        <v>15</v>
      </c>
    </row>
    <row r="15" spans="1:39" x14ac:dyDescent="0.25">
      <c r="A15">
        <v>17</v>
      </c>
      <c r="B15">
        <v>6977948</v>
      </c>
      <c r="C15">
        <v>2093427</v>
      </c>
      <c r="D15">
        <v>3295796</v>
      </c>
      <c r="E15">
        <v>35666569</v>
      </c>
      <c r="F15">
        <v>48033740</v>
      </c>
      <c r="G15">
        <v>24950</v>
      </c>
      <c r="H15">
        <v>3833</v>
      </c>
      <c r="I15">
        <v>1004</v>
      </c>
      <c r="J15">
        <v>29787</v>
      </c>
      <c r="K15">
        <v>2974080</v>
      </c>
      <c r="L15">
        <v>38.03</v>
      </c>
      <c r="M15">
        <v>848150</v>
      </c>
      <c r="N15">
        <v>19.010000000000002</v>
      </c>
      <c r="O15">
        <v>236281</v>
      </c>
      <c r="P15">
        <v>1.1200000000000001</v>
      </c>
      <c r="Q15">
        <v>628468</v>
      </c>
      <c r="R15">
        <v>5.18</v>
      </c>
      <c r="S15">
        <v>86604</v>
      </c>
      <c r="T15">
        <v>3.22</v>
      </c>
      <c r="U15">
        <v>368741</v>
      </c>
      <c r="V15">
        <v>2.5499999999999998</v>
      </c>
      <c r="W15">
        <v>446490</v>
      </c>
      <c r="X15">
        <v>1.71</v>
      </c>
      <c r="Y15">
        <v>86405</v>
      </c>
      <c r="Z15">
        <v>0.59</v>
      </c>
      <c r="AA15">
        <v>68521</v>
      </c>
      <c r="AB15">
        <v>1</v>
      </c>
      <c r="AC15">
        <v>293106</v>
      </c>
      <c r="AD15">
        <v>2.92</v>
      </c>
      <c r="AE15">
        <v>553237</v>
      </c>
      <c r="AF15">
        <v>7.85</v>
      </c>
      <c r="AG15">
        <v>678143</v>
      </c>
      <c r="AH15">
        <v>12.43</v>
      </c>
      <c r="AI15">
        <v>5305669</v>
      </c>
      <c r="AJ15">
        <v>114.93</v>
      </c>
      <c r="AK15">
        <v>12573895</v>
      </c>
      <c r="AL15">
        <v>210.54</v>
      </c>
      <c r="AM15">
        <v>30</v>
      </c>
    </row>
    <row r="16" spans="1:39" x14ac:dyDescent="0.25">
      <c r="A16">
        <v>19</v>
      </c>
      <c r="B16">
        <v>1161105</v>
      </c>
      <c r="C16">
        <v>1932896</v>
      </c>
      <c r="D16">
        <v>618280</v>
      </c>
      <c r="E16">
        <v>5729510</v>
      </c>
      <c r="F16">
        <v>9441791</v>
      </c>
      <c r="G16">
        <v>4998</v>
      </c>
      <c r="H16">
        <v>3194</v>
      </c>
      <c r="I16">
        <v>162</v>
      </c>
      <c r="J16">
        <v>8354</v>
      </c>
      <c r="K16">
        <v>808995</v>
      </c>
      <c r="L16">
        <v>12.18</v>
      </c>
      <c r="M16">
        <v>155855</v>
      </c>
      <c r="N16">
        <v>4.13</v>
      </c>
      <c r="O16" t="s">
        <v>3178</v>
      </c>
      <c r="P16" t="s">
        <v>3178</v>
      </c>
      <c r="Q16">
        <v>344998</v>
      </c>
      <c r="R16">
        <v>2.93</v>
      </c>
      <c r="S16" t="s">
        <v>3178</v>
      </c>
      <c r="T16" t="s">
        <v>3178</v>
      </c>
      <c r="U16">
        <v>7718</v>
      </c>
      <c r="V16">
        <v>0.06</v>
      </c>
      <c r="W16">
        <v>58313</v>
      </c>
      <c r="X16">
        <v>0.19</v>
      </c>
      <c r="Y16" t="s">
        <v>3178</v>
      </c>
      <c r="Z16" t="s">
        <v>3178</v>
      </c>
      <c r="AA16">
        <v>57293</v>
      </c>
      <c r="AB16">
        <v>1.03</v>
      </c>
      <c r="AC16">
        <v>68521</v>
      </c>
      <c r="AD16">
        <v>0.77</v>
      </c>
      <c r="AE16">
        <v>201521</v>
      </c>
      <c r="AF16">
        <v>3.45</v>
      </c>
      <c r="AG16">
        <v>216332</v>
      </c>
      <c r="AH16">
        <v>4.1100000000000003</v>
      </c>
      <c r="AI16">
        <v>719259</v>
      </c>
      <c r="AJ16">
        <v>22.59</v>
      </c>
      <c r="AK16">
        <v>2638805</v>
      </c>
      <c r="AL16">
        <v>51.44</v>
      </c>
      <c r="AM16">
        <v>25</v>
      </c>
    </row>
    <row r="17" spans="1:39" x14ac:dyDescent="0.25">
      <c r="A17">
        <v>21</v>
      </c>
      <c r="B17">
        <v>1475302</v>
      </c>
      <c r="C17">
        <v>1607063</v>
      </c>
      <c r="D17">
        <v>3260308</v>
      </c>
      <c r="E17">
        <v>22493358</v>
      </c>
      <c r="F17">
        <v>28836031</v>
      </c>
      <c r="G17">
        <v>23275</v>
      </c>
      <c r="H17">
        <v>3330</v>
      </c>
      <c r="I17">
        <v>729</v>
      </c>
      <c r="J17">
        <v>27334</v>
      </c>
      <c r="K17">
        <v>1656660</v>
      </c>
      <c r="L17">
        <v>26.54</v>
      </c>
      <c r="M17">
        <v>180583</v>
      </c>
      <c r="N17">
        <v>4.28</v>
      </c>
      <c r="O17" t="s">
        <v>3178</v>
      </c>
      <c r="P17" t="s">
        <v>3178</v>
      </c>
      <c r="Q17">
        <v>89147</v>
      </c>
      <c r="R17">
        <v>1</v>
      </c>
      <c r="S17">
        <v>151003</v>
      </c>
      <c r="T17">
        <v>6.25</v>
      </c>
      <c r="U17">
        <v>255935</v>
      </c>
      <c r="V17">
        <v>2.29</v>
      </c>
      <c r="W17">
        <v>2449958</v>
      </c>
      <c r="X17">
        <v>9</v>
      </c>
      <c r="Y17" t="s">
        <v>3178</v>
      </c>
      <c r="Z17" t="s">
        <v>3178</v>
      </c>
      <c r="AA17">
        <v>43585</v>
      </c>
      <c r="AB17">
        <v>0.98</v>
      </c>
      <c r="AC17">
        <v>346450</v>
      </c>
      <c r="AD17">
        <v>5.52</v>
      </c>
      <c r="AE17">
        <v>251845</v>
      </c>
      <c r="AF17">
        <v>5</v>
      </c>
      <c r="AG17" t="s">
        <v>3178</v>
      </c>
      <c r="AH17" t="s">
        <v>3178</v>
      </c>
      <c r="AI17">
        <v>3047502</v>
      </c>
      <c r="AJ17">
        <v>49.58</v>
      </c>
      <c r="AK17">
        <v>8472668</v>
      </c>
      <c r="AL17">
        <v>110.44</v>
      </c>
      <c r="AM17">
        <v>28</v>
      </c>
    </row>
    <row r="18" spans="1:39" x14ac:dyDescent="0.25">
      <c r="A18">
        <v>22</v>
      </c>
      <c r="B18">
        <v>864835</v>
      </c>
      <c r="C18">
        <v>4099197</v>
      </c>
      <c r="D18">
        <v>3005540</v>
      </c>
      <c r="E18">
        <v>13189454</v>
      </c>
      <c r="F18">
        <v>21159026</v>
      </c>
      <c r="G18">
        <v>19522</v>
      </c>
      <c r="H18">
        <v>4802</v>
      </c>
      <c r="I18">
        <v>604</v>
      </c>
      <c r="J18">
        <v>24928</v>
      </c>
      <c r="K18">
        <v>2262106</v>
      </c>
      <c r="L18">
        <v>32</v>
      </c>
      <c r="M18" t="s">
        <v>3178</v>
      </c>
      <c r="N18" t="s">
        <v>3178</v>
      </c>
      <c r="O18" t="s">
        <v>3178</v>
      </c>
      <c r="P18" t="s">
        <v>3178</v>
      </c>
      <c r="Q18">
        <v>240667</v>
      </c>
      <c r="R18">
        <v>2.2000000000000002</v>
      </c>
      <c r="S18">
        <v>145961</v>
      </c>
      <c r="T18">
        <v>4.8</v>
      </c>
      <c r="U18">
        <v>123331</v>
      </c>
      <c r="V18">
        <v>1</v>
      </c>
      <c r="W18">
        <v>496113</v>
      </c>
      <c r="X18">
        <v>2.48</v>
      </c>
      <c r="Y18" t="s">
        <v>3178</v>
      </c>
      <c r="Z18" t="s">
        <v>3178</v>
      </c>
      <c r="AA18">
        <v>137421</v>
      </c>
      <c r="AB18">
        <v>1.96</v>
      </c>
      <c r="AC18">
        <v>282854</v>
      </c>
      <c r="AD18">
        <v>3.67</v>
      </c>
      <c r="AE18">
        <v>444083</v>
      </c>
      <c r="AF18">
        <v>6.9</v>
      </c>
      <c r="AG18">
        <v>477546</v>
      </c>
      <c r="AH18">
        <v>9.44</v>
      </c>
      <c r="AI18">
        <v>3682507</v>
      </c>
      <c r="AJ18">
        <v>76.91</v>
      </c>
      <c r="AK18">
        <v>8292589</v>
      </c>
      <c r="AL18">
        <v>141.36000000000001</v>
      </c>
      <c r="AM18">
        <v>17</v>
      </c>
    </row>
    <row r="19" spans="1:39" x14ac:dyDescent="0.25">
      <c r="A19">
        <v>24</v>
      </c>
      <c r="B19">
        <v>19437807</v>
      </c>
      <c r="C19">
        <v>4917393</v>
      </c>
      <c r="D19">
        <v>11740295</v>
      </c>
      <c r="E19">
        <v>31169456</v>
      </c>
      <c r="F19">
        <v>67264951</v>
      </c>
      <c r="G19">
        <v>28469</v>
      </c>
      <c r="H19">
        <v>13724</v>
      </c>
      <c r="I19">
        <v>2685</v>
      </c>
      <c r="J19">
        <v>44878</v>
      </c>
      <c r="K19">
        <v>4437871</v>
      </c>
      <c r="L19">
        <v>48.51</v>
      </c>
      <c r="M19" t="s">
        <v>3178</v>
      </c>
      <c r="N19" t="s">
        <v>3178</v>
      </c>
      <c r="O19">
        <v>763005</v>
      </c>
      <c r="P19">
        <v>3</v>
      </c>
      <c r="Q19" t="s">
        <v>3178</v>
      </c>
      <c r="R19" t="s">
        <v>3178</v>
      </c>
      <c r="S19">
        <v>255618</v>
      </c>
      <c r="T19">
        <v>6.65</v>
      </c>
      <c r="U19">
        <v>392308</v>
      </c>
      <c r="V19">
        <v>2.9</v>
      </c>
      <c r="W19">
        <v>3200818</v>
      </c>
      <c r="X19">
        <v>9.56</v>
      </c>
      <c r="Y19" t="s">
        <v>3178</v>
      </c>
      <c r="Z19" t="s">
        <v>3178</v>
      </c>
      <c r="AA19" t="s">
        <v>3178</v>
      </c>
      <c r="AB19" t="s">
        <v>3178</v>
      </c>
      <c r="AC19">
        <v>853197</v>
      </c>
      <c r="AD19">
        <v>12.78</v>
      </c>
      <c r="AE19">
        <v>848116</v>
      </c>
      <c r="AF19">
        <v>12.78</v>
      </c>
      <c r="AG19">
        <v>615353</v>
      </c>
      <c r="AH19">
        <v>13.34</v>
      </c>
      <c r="AI19">
        <v>9340715</v>
      </c>
      <c r="AJ19">
        <v>183.55</v>
      </c>
      <c r="AK19">
        <v>20707001</v>
      </c>
      <c r="AL19">
        <v>293.07</v>
      </c>
      <c r="AM19">
        <v>36</v>
      </c>
    </row>
    <row r="20" spans="1:39" x14ac:dyDescent="0.25">
      <c r="A20">
        <v>25</v>
      </c>
      <c r="B20">
        <v>7771283</v>
      </c>
      <c r="C20">
        <v>6270201</v>
      </c>
      <c r="D20">
        <v>5553570</v>
      </c>
      <c r="E20">
        <v>17068756</v>
      </c>
      <c r="F20">
        <v>36663810</v>
      </c>
      <c r="G20">
        <v>45254</v>
      </c>
      <c r="H20">
        <v>5132</v>
      </c>
      <c r="I20">
        <v>654</v>
      </c>
      <c r="J20">
        <v>51040</v>
      </c>
      <c r="K20">
        <v>2332964</v>
      </c>
      <c r="L20">
        <v>30.62</v>
      </c>
      <c r="M20">
        <v>540843</v>
      </c>
      <c r="N20">
        <v>14.6</v>
      </c>
      <c r="O20" t="s">
        <v>3178</v>
      </c>
      <c r="P20" t="s">
        <v>3178</v>
      </c>
      <c r="Q20">
        <v>660500</v>
      </c>
      <c r="R20">
        <v>6.67</v>
      </c>
      <c r="S20">
        <v>149843</v>
      </c>
      <c r="T20">
        <v>5.03</v>
      </c>
      <c r="U20">
        <v>167431</v>
      </c>
      <c r="V20">
        <v>1.25</v>
      </c>
      <c r="W20">
        <v>2290554</v>
      </c>
      <c r="X20">
        <v>7.56</v>
      </c>
      <c r="Y20" t="s">
        <v>3178</v>
      </c>
      <c r="Z20" t="s">
        <v>3178</v>
      </c>
      <c r="AA20">
        <v>126363</v>
      </c>
      <c r="AB20">
        <v>1.8</v>
      </c>
      <c r="AC20">
        <v>158760</v>
      </c>
      <c r="AD20">
        <v>1.99</v>
      </c>
      <c r="AE20">
        <v>422423</v>
      </c>
      <c r="AF20">
        <v>7.08</v>
      </c>
      <c r="AG20">
        <v>391579</v>
      </c>
      <c r="AH20">
        <v>7.92</v>
      </c>
      <c r="AI20">
        <v>4155213</v>
      </c>
      <c r="AJ20">
        <v>88.98</v>
      </c>
      <c r="AK20">
        <v>11396473</v>
      </c>
      <c r="AL20">
        <v>173.5</v>
      </c>
      <c r="AM20">
        <v>20</v>
      </c>
    </row>
    <row r="21" spans="1:39" x14ac:dyDescent="0.25">
      <c r="A21">
        <v>27</v>
      </c>
      <c r="B21">
        <v>88269963</v>
      </c>
      <c r="C21">
        <v>21592628</v>
      </c>
      <c r="D21">
        <v>22652583</v>
      </c>
      <c r="E21" t="s">
        <v>3178</v>
      </c>
      <c r="F21">
        <v>132515174</v>
      </c>
      <c r="G21">
        <v>250875</v>
      </c>
      <c r="H21">
        <v>14464</v>
      </c>
      <c r="I21">
        <v>2990</v>
      </c>
      <c r="J21">
        <v>268329</v>
      </c>
      <c r="K21">
        <v>7973735</v>
      </c>
      <c r="L21">
        <v>108.35</v>
      </c>
      <c r="M21">
        <v>1781246</v>
      </c>
      <c r="N21">
        <v>44.3</v>
      </c>
      <c r="O21">
        <v>1067764</v>
      </c>
      <c r="P21">
        <v>5.98</v>
      </c>
      <c r="Q21">
        <v>1831430</v>
      </c>
      <c r="R21">
        <v>16.13</v>
      </c>
      <c r="S21">
        <v>968938</v>
      </c>
      <c r="T21">
        <v>34.99</v>
      </c>
      <c r="U21">
        <v>1168941</v>
      </c>
      <c r="V21">
        <v>9.56</v>
      </c>
      <c r="W21">
        <v>13065662</v>
      </c>
      <c r="X21">
        <v>43.67</v>
      </c>
      <c r="Y21">
        <v>852319</v>
      </c>
      <c r="Z21">
        <v>8.19</v>
      </c>
      <c r="AA21">
        <v>138723</v>
      </c>
      <c r="AB21">
        <v>1.98</v>
      </c>
      <c r="AC21">
        <v>462054</v>
      </c>
      <c r="AD21">
        <v>6.75</v>
      </c>
      <c r="AE21">
        <v>1376047</v>
      </c>
      <c r="AF21">
        <v>24.51</v>
      </c>
      <c r="AG21">
        <v>897196</v>
      </c>
      <c r="AH21">
        <v>16.079999999999998</v>
      </c>
      <c r="AI21">
        <v>17492135</v>
      </c>
      <c r="AJ21">
        <v>396.77</v>
      </c>
      <c r="AK21">
        <v>49076190</v>
      </c>
      <c r="AL21">
        <v>717.26</v>
      </c>
      <c r="AM21">
        <v>99</v>
      </c>
    </row>
    <row r="22" spans="1:39" x14ac:dyDescent="0.25">
      <c r="A22">
        <v>28</v>
      </c>
      <c r="B22">
        <v>6136046</v>
      </c>
      <c r="C22">
        <v>4489983</v>
      </c>
      <c r="D22">
        <v>5325522</v>
      </c>
      <c r="E22">
        <v>31101987</v>
      </c>
      <c r="F22">
        <v>47053538</v>
      </c>
      <c r="G22">
        <v>18794</v>
      </c>
      <c r="H22">
        <v>4489</v>
      </c>
      <c r="I22">
        <v>882</v>
      </c>
      <c r="J22">
        <v>24165</v>
      </c>
      <c r="K22">
        <v>2938444</v>
      </c>
      <c r="L22">
        <v>38.4</v>
      </c>
      <c r="M22">
        <v>117884</v>
      </c>
      <c r="N22">
        <v>2.9</v>
      </c>
      <c r="O22" t="s">
        <v>3178</v>
      </c>
      <c r="P22" t="s">
        <v>3178</v>
      </c>
      <c r="Q22">
        <v>225116</v>
      </c>
      <c r="R22">
        <v>2</v>
      </c>
      <c r="S22">
        <v>337703</v>
      </c>
      <c r="T22">
        <v>12</v>
      </c>
      <c r="U22">
        <v>221137</v>
      </c>
      <c r="V22">
        <v>1.8</v>
      </c>
      <c r="W22">
        <v>1696847</v>
      </c>
      <c r="X22">
        <v>8</v>
      </c>
      <c r="Y22">
        <v>939265</v>
      </c>
      <c r="Z22">
        <v>7</v>
      </c>
      <c r="AA22">
        <v>93036</v>
      </c>
      <c r="AB22">
        <v>1.5</v>
      </c>
      <c r="AC22">
        <v>374614</v>
      </c>
      <c r="AD22">
        <v>4.5</v>
      </c>
      <c r="AE22">
        <v>326846</v>
      </c>
      <c r="AF22">
        <v>5.6</v>
      </c>
      <c r="AG22">
        <v>389164</v>
      </c>
      <c r="AH22">
        <v>8.1999999999999993</v>
      </c>
      <c r="AI22">
        <v>7944505</v>
      </c>
      <c r="AJ22">
        <v>178.6</v>
      </c>
      <c r="AK22">
        <v>15604561</v>
      </c>
      <c r="AL22">
        <v>270.5</v>
      </c>
      <c r="AM22">
        <v>28</v>
      </c>
    </row>
    <row r="23" spans="1:39" x14ac:dyDescent="0.25">
      <c r="A23">
        <v>29</v>
      </c>
      <c r="B23">
        <v>5460227</v>
      </c>
      <c r="C23">
        <v>3938635</v>
      </c>
      <c r="D23">
        <v>414806</v>
      </c>
      <c r="E23">
        <v>1143143</v>
      </c>
      <c r="F23">
        <v>10956811</v>
      </c>
      <c r="G23">
        <v>8104</v>
      </c>
      <c r="H23">
        <v>2234</v>
      </c>
      <c r="I23">
        <v>112</v>
      </c>
      <c r="J23">
        <v>10450</v>
      </c>
      <c r="K23">
        <v>1166236</v>
      </c>
      <c r="L23">
        <v>15.46</v>
      </c>
      <c r="M23">
        <v>51422</v>
      </c>
      <c r="N23">
        <v>1</v>
      </c>
      <c r="O23" t="s">
        <v>3178</v>
      </c>
      <c r="P23" t="s">
        <v>3178</v>
      </c>
      <c r="Q23" t="s">
        <v>3178</v>
      </c>
      <c r="R23" t="s">
        <v>3178</v>
      </c>
      <c r="S23">
        <v>109519</v>
      </c>
      <c r="T23">
        <v>3.28</v>
      </c>
      <c r="U23">
        <v>120392</v>
      </c>
      <c r="V23">
        <v>0.75</v>
      </c>
      <c r="W23" t="s">
        <v>3178</v>
      </c>
      <c r="X23" t="s">
        <v>3178</v>
      </c>
      <c r="Y23" t="s">
        <v>3178</v>
      </c>
      <c r="Z23" t="s">
        <v>3178</v>
      </c>
      <c r="AA23">
        <v>66679</v>
      </c>
      <c r="AB23">
        <v>1.1000000000000001</v>
      </c>
      <c r="AC23">
        <v>114537</v>
      </c>
      <c r="AD23">
        <v>1.24</v>
      </c>
      <c r="AE23">
        <v>247635</v>
      </c>
      <c r="AF23">
        <v>3.6</v>
      </c>
      <c r="AG23">
        <v>358435</v>
      </c>
      <c r="AH23">
        <v>6.68</v>
      </c>
      <c r="AI23">
        <v>1530561</v>
      </c>
      <c r="AJ23">
        <v>29.76</v>
      </c>
      <c r="AK23">
        <v>3765416</v>
      </c>
      <c r="AL23">
        <v>62.87</v>
      </c>
      <c r="AM23">
        <v>14</v>
      </c>
    </row>
    <row r="24" spans="1:39" x14ac:dyDescent="0.25">
      <c r="A24">
        <v>30</v>
      </c>
      <c r="B24">
        <v>7794621</v>
      </c>
      <c r="C24">
        <v>2515421</v>
      </c>
      <c r="D24">
        <v>514624</v>
      </c>
      <c r="E24">
        <v>97863</v>
      </c>
      <c r="F24">
        <v>10922529</v>
      </c>
      <c r="G24">
        <v>9534</v>
      </c>
      <c r="H24">
        <v>1042</v>
      </c>
      <c r="I24">
        <v>157</v>
      </c>
      <c r="J24">
        <v>10733</v>
      </c>
      <c r="K24">
        <v>1137898</v>
      </c>
      <c r="L24">
        <v>13.84</v>
      </c>
      <c r="M24">
        <v>43867</v>
      </c>
      <c r="N24">
        <v>0.73</v>
      </c>
      <c r="O24" t="s">
        <v>3178</v>
      </c>
      <c r="P24" t="s">
        <v>3178</v>
      </c>
      <c r="Q24" t="s">
        <v>3178</v>
      </c>
      <c r="R24" t="s">
        <v>3178</v>
      </c>
      <c r="S24">
        <v>4690</v>
      </c>
      <c r="T24">
        <v>0.12</v>
      </c>
      <c r="U24" t="s">
        <v>3178</v>
      </c>
      <c r="V24" t="s">
        <v>3178</v>
      </c>
      <c r="W24" t="s">
        <v>3178</v>
      </c>
      <c r="X24" t="s">
        <v>3178</v>
      </c>
      <c r="Y24" t="s">
        <v>3178</v>
      </c>
      <c r="Z24" t="s">
        <v>3178</v>
      </c>
      <c r="AA24" t="s">
        <v>3178</v>
      </c>
      <c r="AB24" t="s">
        <v>3178</v>
      </c>
      <c r="AC24">
        <v>299638</v>
      </c>
      <c r="AD24">
        <v>3.32</v>
      </c>
      <c r="AE24">
        <v>248262</v>
      </c>
      <c r="AF24">
        <v>3.29</v>
      </c>
      <c r="AG24">
        <v>369967</v>
      </c>
      <c r="AH24">
        <v>6.25</v>
      </c>
      <c r="AI24">
        <v>1002265</v>
      </c>
      <c r="AJ24">
        <v>22.82</v>
      </c>
      <c r="AK24">
        <v>3106587</v>
      </c>
      <c r="AL24">
        <v>50.37</v>
      </c>
      <c r="AM24">
        <v>16</v>
      </c>
    </row>
    <row r="25" spans="1:39" x14ac:dyDescent="0.25">
      <c r="A25">
        <v>31</v>
      </c>
      <c r="B25">
        <v>75575610</v>
      </c>
      <c r="C25">
        <v>19828619</v>
      </c>
      <c r="D25">
        <v>37152608</v>
      </c>
      <c r="E25" t="s">
        <v>3178</v>
      </c>
      <c r="F25">
        <v>132556837</v>
      </c>
      <c r="G25">
        <v>113389</v>
      </c>
      <c r="H25">
        <v>9911</v>
      </c>
      <c r="I25">
        <v>4039</v>
      </c>
      <c r="J25">
        <v>127339</v>
      </c>
      <c r="K25">
        <v>7256906</v>
      </c>
      <c r="L25">
        <v>88</v>
      </c>
      <c r="M25">
        <v>974771</v>
      </c>
      <c r="N25">
        <v>25.5</v>
      </c>
      <c r="O25">
        <v>1069776</v>
      </c>
      <c r="P25">
        <v>5.8</v>
      </c>
      <c r="Q25" t="s">
        <v>3178</v>
      </c>
      <c r="R25" t="s">
        <v>3178</v>
      </c>
      <c r="S25">
        <v>314261</v>
      </c>
      <c r="T25">
        <v>10.5</v>
      </c>
      <c r="U25">
        <v>891149</v>
      </c>
      <c r="V25">
        <v>7</v>
      </c>
      <c r="W25">
        <v>2573883</v>
      </c>
      <c r="X25">
        <v>6.4</v>
      </c>
      <c r="Y25">
        <v>365165</v>
      </c>
      <c r="Z25">
        <v>3.1</v>
      </c>
      <c r="AA25">
        <v>237416</v>
      </c>
      <c r="AB25">
        <v>3.4</v>
      </c>
      <c r="AC25">
        <v>239073</v>
      </c>
      <c r="AD25">
        <v>3.4</v>
      </c>
      <c r="AE25">
        <v>956459</v>
      </c>
      <c r="AF25">
        <v>14.3</v>
      </c>
      <c r="AG25">
        <v>783117</v>
      </c>
      <c r="AH25">
        <v>15</v>
      </c>
      <c r="AI25">
        <v>12940362</v>
      </c>
      <c r="AJ25">
        <v>286.10000000000002</v>
      </c>
      <c r="AK25">
        <v>28602338</v>
      </c>
      <c r="AL25">
        <v>468.5</v>
      </c>
      <c r="AM25">
        <v>42</v>
      </c>
    </row>
    <row r="26" spans="1:39" x14ac:dyDescent="0.25">
      <c r="A26">
        <v>34</v>
      </c>
      <c r="B26">
        <v>125564433</v>
      </c>
      <c r="C26">
        <v>33714673</v>
      </c>
      <c r="D26">
        <v>48816558</v>
      </c>
      <c r="E26" t="s">
        <v>3178</v>
      </c>
      <c r="F26">
        <v>208095664</v>
      </c>
      <c r="G26">
        <v>135742</v>
      </c>
      <c r="H26">
        <v>16130</v>
      </c>
      <c r="I26">
        <v>7156</v>
      </c>
      <c r="J26">
        <v>159028</v>
      </c>
      <c r="K26">
        <v>12447371</v>
      </c>
      <c r="L26">
        <v>146.91999999999999</v>
      </c>
      <c r="M26">
        <v>2686209</v>
      </c>
      <c r="N26">
        <v>66.819999999999993</v>
      </c>
      <c r="O26" t="s">
        <v>3178</v>
      </c>
      <c r="P26" t="s">
        <v>3178</v>
      </c>
      <c r="Q26">
        <v>105611</v>
      </c>
      <c r="R26">
        <v>0.8</v>
      </c>
      <c r="S26">
        <v>501992</v>
      </c>
      <c r="T26">
        <v>16.22</v>
      </c>
      <c r="U26">
        <v>716518</v>
      </c>
      <c r="V26">
        <v>4.67</v>
      </c>
      <c r="W26">
        <v>1790771</v>
      </c>
      <c r="X26">
        <v>4.4400000000000004</v>
      </c>
      <c r="Y26">
        <v>552832</v>
      </c>
      <c r="Z26">
        <v>4.43</v>
      </c>
      <c r="AA26">
        <v>227218</v>
      </c>
      <c r="AB26">
        <v>3.3</v>
      </c>
      <c r="AC26">
        <v>896771</v>
      </c>
      <c r="AD26">
        <v>11.54</v>
      </c>
      <c r="AE26">
        <v>609770</v>
      </c>
      <c r="AF26">
        <v>11.19</v>
      </c>
      <c r="AG26">
        <v>1295409</v>
      </c>
      <c r="AH26">
        <v>27.96</v>
      </c>
      <c r="AI26">
        <v>18413985</v>
      </c>
      <c r="AJ26">
        <v>411.81</v>
      </c>
      <c r="AK26">
        <v>40244457</v>
      </c>
      <c r="AL26">
        <v>710.1</v>
      </c>
      <c r="AM26">
        <v>127</v>
      </c>
    </row>
    <row r="27" spans="1:39" x14ac:dyDescent="0.25">
      <c r="A27">
        <v>35</v>
      </c>
      <c r="B27">
        <v>1904584</v>
      </c>
      <c r="C27">
        <v>440976</v>
      </c>
      <c r="D27">
        <v>387991</v>
      </c>
      <c r="E27">
        <v>3418860</v>
      </c>
      <c r="F27">
        <v>6152411</v>
      </c>
      <c r="G27">
        <v>5715</v>
      </c>
      <c r="H27">
        <v>583</v>
      </c>
      <c r="I27">
        <v>99</v>
      </c>
      <c r="J27">
        <v>6397</v>
      </c>
      <c r="K27">
        <v>640678</v>
      </c>
      <c r="L27">
        <v>9.4600000000000009</v>
      </c>
      <c r="M27">
        <v>125526</v>
      </c>
      <c r="N27">
        <v>3.04</v>
      </c>
      <c r="O27">
        <v>1890</v>
      </c>
      <c r="P27">
        <v>0.01</v>
      </c>
      <c r="Q27">
        <v>1170</v>
      </c>
      <c r="R27">
        <v>0.01</v>
      </c>
      <c r="S27">
        <v>50695</v>
      </c>
      <c r="T27">
        <v>1.88</v>
      </c>
      <c r="U27">
        <v>2202</v>
      </c>
      <c r="V27">
        <v>0.02</v>
      </c>
      <c r="W27">
        <v>81005</v>
      </c>
      <c r="X27">
        <v>0.25</v>
      </c>
      <c r="Y27" t="s">
        <v>3178</v>
      </c>
      <c r="Z27" t="s">
        <v>3178</v>
      </c>
      <c r="AA27">
        <v>10321</v>
      </c>
      <c r="AB27">
        <v>0.14000000000000001</v>
      </c>
      <c r="AC27">
        <v>34538</v>
      </c>
      <c r="AD27">
        <v>0.45</v>
      </c>
      <c r="AE27">
        <v>36241</v>
      </c>
      <c r="AF27">
        <v>0.7</v>
      </c>
      <c r="AG27">
        <v>42431</v>
      </c>
      <c r="AH27">
        <v>0.92</v>
      </c>
      <c r="AI27">
        <v>592932</v>
      </c>
      <c r="AJ27">
        <v>16.54</v>
      </c>
      <c r="AK27">
        <v>1619629</v>
      </c>
      <c r="AL27">
        <v>33.42</v>
      </c>
      <c r="AM27">
        <v>8</v>
      </c>
    </row>
    <row r="28" spans="1:39" x14ac:dyDescent="0.25">
      <c r="A28">
        <v>37</v>
      </c>
      <c r="B28">
        <v>9295853</v>
      </c>
      <c r="C28">
        <v>1787526</v>
      </c>
      <c r="D28">
        <v>1125462</v>
      </c>
      <c r="E28">
        <v>4037538</v>
      </c>
      <c r="F28">
        <v>16246379</v>
      </c>
      <c r="G28">
        <v>5803</v>
      </c>
      <c r="H28">
        <v>3218</v>
      </c>
      <c r="I28">
        <v>431</v>
      </c>
      <c r="J28">
        <v>9452</v>
      </c>
      <c r="K28">
        <v>1195188</v>
      </c>
      <c r="L28">
        <v>15.92</v>
      </c>
      <c r="M28" t="s">
        <v>3178</v>
      </c>
      <c r="N28" t="s">
        <v>3178</v>
      </c>
      <c r="O28" t="s">
        <v>3178</v>
      </c>
      <c r="P28" t="s">
        <v>3178</v>
      </c>
      <c r="Q28" t="s">
        <v>3178</v>
      </c>
      <c r="R28" t="s">
        <v>3178</v>
      </c>
      <c r="S28" t="s">
        <v>3178</v>
      </c>
      <c r="T28" t="s">
        <v>3178</v>
      </c>
      <c r="U28">
        <v>346599</v>
      </c>
      <c r="V28">
        <v>2.79</v>
      </c>
      <c r="W28">
        <v>179906</v>
      </c>
      <c r="X28">
        <v>0.69</v>
      </c>
      <c r="Y28" t="s">
        <v>3178</v>
      </c>
      <c r="Z28" t="s">
        <v>3178</v>
      </c>
      <c r="AA28">
        <v>82819</v>
      </c>
      <c r="AB28">
        <v>1</v>
      </c>
      <c r="AC28">
        <v>123227</v>
      </c>
      <c r="AD28">
        <v>1.28</v>
      </c>
      <c r="AE28">
        <v>357267</v>
      </c>
      <c r="AF28">
        <v>5.58</v>
      </c>
      <c r="AG28">
        <v>383058</v>
      </c>
      <c r="AH28">
        <v>6.31</v>
      </c>
      <c r="AI28">
        <v>2514376</v>
      </c>
      <c r="AJ28">
        <v>52.94</v>
      </c>
      <c r="AK28">
        <v>5182440</v>
      </c>
      <c r="AL28">
        <v>86.51</v>
      </c>
      <c r="AM28">
        <v>25</v>
      </c>
    </row>
    <row r="29" spans="1:39" x14ac:dyDescent="0.25">
      <c r="A29">
        <v>39</v>
      </c>
      <c r="B29">
        <v>9125608</v>
      </c>
      <c r="C29">
        <v>8751330</v>
      </c>
      <c r="D29">
        <v>7897438</v>
      </c>
      <c r="E29">
        <v>86496569</v>
      </c>
      <c r="F29">
        <v>112270945</v>
      </c>
      <c r="G29">
        <v>70746</v>
      </c>
      <c r="H29">
        <v>8929</v>
      </c>
      <c r="I29">
        <v>2095</v>
      </c>
      <c r="J29">
        <v>81770</v>
      </c>
      <c r="K29">
        <v>6449219</v>
      </c>
      <c r="L29">
        <v>86.76</v>
      </c>
      <c r="M29">
        <v>1228755</v>
      </c>
      <c r="N29">
        <v>27.93</v>
      </c>
      <c r="O29">
        <v>1015382</v>
      </c>
      <c r="P29">
        <v>4.9000000000000004</v>
      </c>
      <c r="Q29">
        <v>796020</v>
      </c>
      <c r="R29">
        <v>6.49</v>
      </c>
      <c r="S29">
        <v>159352</v>
      </c>
      <c r="T29">
        <v>4.99</v>
      </c>
      <c r="U29">
        <v>460025</v>
      </c>
      <c r="V29">
        <v>3.52</v>
      </c>
      <c r="W29">
        <v>9777658</v>
      </c>
      <c r="X29">
        <v>25.98</v>
      </c>
      <c r="Y29">
        <v>465570</v>
      </c>
      <c r="Z29">
        <v>3.88</v>
      </c>
      <c r="AA29">
        <v>159919</v>
      </c>
      <c r="AB29">
        <v>1.97</v>
      </c>
      <c r="AC29">
        <v>415112</v>
      </c>
      <c r="AD29">
        <v>4.96</v>
      </c>
      <c r="AE29">
        <v>1137817</v>
      </c>
      <c r="AF29">
        <v>16.13</v>
      </c>
      <c r="AG29">
        <v>1342445</v>
      </c>
      <c r="AH29">
        <v>24.94</v>
      </c>
      <c r="AI29">
        <v>5480619</v>
      </c>
      <c r="AJ29">
        <v>112.8</v>
      </c>
      <c r="AK29">
        <v>28887893</v>
      </c>
      <c r="AL29">
        <v>325.25</v>
      </c>
      <c r="AM29">
        <v>57</v>
      </c>
    </row>
    <row r="30" spans="1:39" x14ac:dyDescent="0.25">
      <c r="A30">
        <v>41</v>
      </c>
      <c r="B30">
        <v>32240298</v>
      </c>
      <c r="C30">
        <v>17211261</v>
      </c>
      <c r="D30">
        <v>24376318</v>
      </c>
      <c r="E30">
        <v>45508258</v>
      </c>
      <c r="F30">
        <v>119336135</v>
      </c>
      <c r="G30">
        <v>28265</v>
      </c>
      <c r="H30">
        <v>20823</v>
      </c>
      <c r="I30">
        <v>5281</v>
      </c>
      <c r="J30">
        <v>54369</v>
      </c>
      <c r="K30">
        <v>8217603</v>
      </c>
      <c r="L30">
        <v>81.239999999999995</v>
      </c>
      <c r="M30" t="s">
        <v>3178</v>
      </c>
      <c r="N30" t="s">
        <v>3178</v>
      </c>
      <c r="O30" t="s">
        <v>3178</v>
      </c>
      <c r="P30" t="s">
        <v>3178</v>
      </c>
      <c r="Q30">
        <v>9404</v>
      </c>
      <c r="R30">
        <v>0.08</v>
      </c>
      <c r="S30" t="s">
        <v>3178</v>
      </c>
      <c r="T30" t="s">
        <v>3178</v>
      </c>
      <c r="U30">
        <v>923803</v>
      </c>
      <c r="V30">
        <v>7.39</v>
      </c>
      <c r="W30">
        <v>5328254</v>
      </c>
      <c r="X30">
        <v>12.61</v>
      </c>
      <c r="Y30">
        <v>61686</v>
      </c>
      <c r="Z30">
        <v>0.43</v>
      </c>
      <c r="AA30">
        <v>171691</v>
      </c>
      <c r="AB30">
        <v>2.34</v>
      </c>
      <c r="AC30">
        <v>891737</v>
      </c>
      <c r="AD30">
        <v>11.11</v>
      </c>
      <c r="AE30">
        <v>864508</v>
      </c>
      <c r="AF30">
        <v>11.73</v>
      </c>
      <c r="AG30">
        <v>880709</v>
      </c>
      <c r="AH30">
        <v>15.48</v>
      </c>
      <c r="AI30">
        <v>7571066</v>
      </c>
      <c r="AJ30">
        <v>110.09</v>
      </c>
      <c r="AK30">
        <v>24920461</v>
      </c>
      <c r="AL30">
        <v>252.5</v>
      </c>
      <c r="AM30">
        <v>54</v>
      </c>
    </row>
    <row r="31" spans="1:39" x14ac:dyDescent="0.25">
      <c r="A31">
        <v>42</v>
      </c>
      <c r="B31">
        <v>94850851</v>
      </c>
      <c r="C31">
        <v>57949522</v>
      </c>
      <c r="D31">
        <v>55240671</v>
      </c>
      <c r="E31">
        <v>51525461</v>
      </c>
      <c r="F31">
        <v>259566505</v>
      </c>
      <c r="G31">
        <v>56447</v>
      </c>
      <c r="H31">
        <v>60111</v>
      </c>
      <c r="I31">
        <v>8465</v>
      </c>
      <c r="J31">
        <v>125023</v>
      </c>
      <c r="K31">
        <v>35505827</v>
      </c>
      <c r="L31">
        <v>368.01</v>
      </c>
      <c r="M31">
        <v>4167543</v>
      </c>
      <c r="N31">
        <v>79.09</v>
      </c>
      <c r="O31" t="s">
        <v>3178</v>
      </c>
      <c r="P31" t="s">
        <v>3178</v>
      </c>
      <c r="Q31">
        <v>653467</v>
      </c>
      <c r="R31">
        <v>4.8600000000000003</v>
      </c>
      <c r="S31">
        <v>576418</v>
      </c>
      <c r="T31">
        <v>14.34</v>
      </c>
      <c r="U31">
        <v>2698478</v>
      </c>
      <c r="V31">
        <v>19.440000000000001</v>
      </c>
      <c r="W31">
        <v>8687649</v>
      </c>
      <c r="X31">
        <v>27.93</v>
      </c>
      <c r="Y31">
        <v>587517</v>
      </c>
      <c r="Z31">
        <v>5.09</v>
      </c>
      <c r="AA31">
        <v>637246</v>
      </c>
      <c r="AB31">
        <v>8.8800000000000008</v>
      </c>
      <c r="AC31">
        <v>1019841</v>
      </c>
      <c r="AD31">
        <v>13.33</v>
      </c>
      <c r="AE31">
        <v>3808978</v>
      </c>
      <c r="AF31">
        <v>47.91</v>
      </c>
      <c r="AG31">
        <v>2104096</v>
      </c>
      <c r="AH31">
        <v>34.869999999999997</v>
      </c>
      <c r="AI31">
        <v>25315376</v>
      </c>
      <c r="AJ31">
        <v>407.15</v>
      </c>
      <c r="AK31">
        <v>85762436</v>
      </c>
      <c r="AL31">
        <v>1030.9000000000001</v>
      </c>
      <c r="AM31">
        <v>150</v>
      </c>
    </row>
    <row r="32" spans="1:39" x14ac:dyDescent="0.25">
      <c r="A32">
        <v>44</v>
      </c>
      <c r="B32">
        <v>173754508</v>
      </c>
      <c r="C32">
        <v>41057130</v>
      </c>
      <c r="D32">
        <v>100770322</v>
      </c>
      <c r="E32">
        <v>104950039</v>
      </c>
      <c r="F32">
        <v>420531999</v>
      </c>
      <c r="G32">
        <v>73526</v>
      </c>
      <c r="H32">
        <v>48206</v>
      </c>
      <c r="I32">
        <v>17954</v>
      </c>
      <c r="J32">
        <v>139686</v>
      </c>
      <c r="K32">
        <v>66504450</v>
      </c>
      <c r="L32">
        <v>688.37</v>
      </c>
      <c r="M32" t="s">
        <v>3178</v>
      </c>
      <c r="N32" t="s">
        <v>3178</v>
      </c>
      <c r="O32">
        <v>7064995</v>
      </c>
      <c r="P32">
        <v>38.21</v>
      </c>
      <c r="Q32">
        <v>589853</v>
      </c>
      <c r="R32">
        <v>4.25</v>
      </c>
      <c r="S32">
        <v>6933449</v>
      </c>
      <c r="T32">
        <v>168.01</v>
      </c>
      <c r="U32">
        <v>3959254</v>
      </c>
      <c r="V32">
        <v>29.99</v>
      </c>
      <c r="W32">
        <v>14254197</v>
      </c>
      <c r="X32">
        <v>43.38</v>
      </c>
      <c r="Y32">
        <v>1196215</v>
      </c>
      <c r="Z32">
        <v>10.35</v>
      </c>
      <c r="AA32">
        <v>1004419</v>
      </c>
      <c r="AB32">
        <v>13.58</v>
      </c>
      <c r="AC32">
        <v>1238731</v>
      </c>
      <c r="AD32">
        <v>15.7</v>
      </c>
      <c r="AE32">
        <v>6792873</v>
      </c>
      <c r="AF32">
        <v>81.33</v>
      </c>
      <c r="AG32">
        <v>2413507</v>
      </c>
      <c r="AH32">
        <v>42.73</v>
      </c>
      <c r="AI32">
        <v>40915724</v>
      </c>
      <c r="AJ32">
        <v>637.89</v>
      </c>
      <c r="AK32">
        <v>152867667</v>
      </c>
      <c r="AL32">
        <v>1773.79</v>
      </c>
      <c r="AM32">
        <v>390</v>
      </c>
    </row>
    <row r="33" spans="1:39" x14ac:dyDescent="0.25">
      <c r="A33">
        <v>45</v>
      </c>
      <c r="B33">
        <v>9809081</v>
      </c>
      <c r="C33">
        <v>4655398</v>
      </c>
      <c r="D33">
        <v>2534501</v>
      </c>
      <c r="E33">
        <v>15341317</v>
      </c>
      <c r="F33">
        <v>32340297</v>
      </c>
      <c r="G33">
        <v>21494</v>
      </c>
      <c r="H33">
        <v>7365</v>
      </c>
      <c r="I33">
        <v>656</v>
      </c>
      <c r="J33">
        <v>29515</v>
      </c>
      <c r="K33">
        <v>2158212</v>
      </c>
      <c r="L33">
        <v>30.73</v>
      </c>
      <c r="M33">
        <v>418066</v>
      </c>
      <c r="N33">
        <v>12.3</v>
      </c>
      <c r="O33" t="s">
        <v>3178</v>
      </c>
      <c r="P33" t="s">
        <v>3178</v>
      </c>
      <c r="Q33">
        <v>151199</v>
      </c>
      <c r="R33">
        <v>1.01</v>
      </c>
      <c r="S33">
        <v>191688</v>
      </c>
      <c r="T33">
        <v>5.91</v>
      </c>
      <c r="U33">
        <v>236322</v>
      </c>
      <c r="V33">
        <v>2</v>
      </c>
      <c r="W33">
        <v>1116815</v>
      </c>
      <c r="X33">
        <v>3.56</v>
      </c>
      <c r="Y33">
        <v>246665</v>
      </c>
      <c r="Z33">
        <v>2</v>
      </c>
      <c r="AA33">
        <v>121929</v>
      </c>
      <c r="AB33">
        <v>1.77</v>
      </c>
      <c r="AC33">
        <v>248662</v>
      </c>
      <c r="AD33">
        <v>3.21</v>
      </c>
      <c r="AE33">
        <v>554027</v>
      </c>
      <c r="AF33">
        <v>8.92</v>
      </c>
      <c r="AG33">
        <v>384635</v>
      </c>
      <c r="AH33">
        <v>6.85</v>
      </c>
      <c r="AI33">
        <v>3542567</v>
      </c>
      <c r="AJ33">
        <v>68.8</v>
      </c>
      <c r="AK33">
        <v>9370787</v>
      </c>
      <c r="AL33">
        <v>147.06</v>
      </c>
      <c r="AM33">
        <v>49</v>
      </c>
    </row>
    <row r="34" spans="1:39" x14ac:dyDescent="0.25">
      <c r="A34">
        <v>46</v>
      </c>
      <c r="B34">
        <v>1456530</v>
      </c>
      <c r="C34">
        <v>709449</v>
      </c>
      <c r="D34">
        <v>3286446</v>
      </c>
      <c r="E34">
        <v>23273444</v>
      </c>
      <c r="F34">
        <v>28725869</v>
      </c>
      <c r="G34">
        <v>52489</v>
      </c>
      <c r="H34">
        <v>2796</v>
      </c>
      <c r="I34">
        <v>1082</v>
      </c>
      <c r="J34">
        <v>56367</v>
      </c>
      <c r="K34">
        <v>1433568</v>
      </c>
      <c r="L34">
        <v>19.690000000000001</v>
      </c>
      <c r="M34">
        <v>642942</v>
      </c>
      <c r="N34">
        <v>15.4</v>
      </c>
      <c r="O34">
        <v>278804</v>
      </c>
      <c r="P34">
        <v>1.47</v>
      </c>
      <c r="Q34" t="s">
        <v>3178</v>
      </c>
      <c r="R34" t="s">
        <v>3178</v>
      </c>
      <c r="S34" t="s">
        <v>3178</v>
      </c>
      <c r="T34" t="s">
        <v>3178</v>
      </c>
      <c r="U34" t="s">
        <v>3178</v>
      </c>
      <c r="V34" t="s">
        <v>3178</v>
      </c>
      <c r="W34" t="s">
        <v>3178</v>
      </c>
      <c r="X34" t="s">
        <v>3178</v>
      </c>
      <c r="Y34" t="s">
        <v>3178</v>
      </c>
      <c r="Z34" t="s">
        <v>3178</v>
      </c>
      <c r="AA34">
        <v>46861</v>
      </c>
      <c r="AB34">
        <v>0.9</v>
      </c>
      <c r="AC34">
        <v>256107</v>
      </c>
      <c r="AD34">
        <v>3</v>
      </c>
      <c r="AE34">
        <v>262872</v>
      </c>
      <c r="AF34">
        <v>4</v>
      </c>
      <c r="AG34">
        <v>353209</v>
      </c>
      <c r="AH34">
        <v>7.3</v>
      </c>
      <c r="AI34">
        <v>4399758</v>
      </c>
      <c r="AJ34">
        <v>68.42</v>
      </c>
      <c r="AK34">
        <v>7674121</v>
      </c>
      <c r="AL34">
        <v>120.18</v>
      </c>
      <c r="AM34">
        <v>43</v>
      </c>
    </row>
    <row r="35" spans="1:39" x14ac:dyDescent="0.25">
      <c r="A35">
        <v>49</v>
      </c>
      <c r="B35">
        <v>108820265</v>
      </c>
      <c r="C35" t="s">
        <v>3178</v>
      </c>
      <c r="D35">
        <v>36856637</v>
      </c>
      <c r="E35">
        <v>75336145</v>
      </c>
      <c r="F35">
        <v>221013047</v>
      </c>
      <c r="G35">
        <v>148714</v>
      </c>
      <c r="H35" t="s">
        <v>3178</v>
      </c>
      <c r="I35">
        <v>1886</v>
      </c>
      <c r="J35">
        <v>150600</v>
      </c>
      <c r="K35">
        <v>22172999</v>
      </c>
      <c r="L35">
        <v>232.02</v>
      </c>
      <c r="M35">
        <v>901640</v>
      </c>
      <c r="N35">
        <v>18.440000000000001</v>
      </c>
      <c r="O35" t="s">
        <v>3178</v>
      </c>
      <c r="P35" t="s">
        <v>3178</v>
      </c>
      <c r="Q35">
        <v>2933033</v>
      </c>
      <c r="R35">
        <v>27.58</v>
      </c>
      <c r="S35">
        <v>1879307</v>
      </c>
      <c r="T35">
        <v>44.3</v>
      </c>
      <c r="U35">
        <v>1948538</v>
      </c>
      <c r="V35">
        <v>14.09</v>
      </c>
      <c r="W35">
        <v>19900646</v>
      </c>
      <c r="X35">
        <v>49.55</v>
      </c>
      <c r="Y35">
        <v>300462</v>
      </c>
      <c r="Z35">
        <v>3.04</v>
      </c>
      <c r="AA35">
        <v>1137677</v>
      </c>
      <c r="AB35">
        <v>15.88</v>
      </c>
      <c r="AC35">
        <v>2471620</v>
      </c>
      <c r="AD35">
        <v>32.229999999999997</v>
      </c>
      <c r="AE35">
        <v>2008715</v>
      </c>
      <c r="AF35">
        <v>26.61</v>
      </c>
      <c r="AG35" t="s">
        <v>3178</v>
      </c>
      <c r="AH35" t="s">
        <v>3178</v>
      </c>
      <c r="AI35">
        <v>45983485</v>
      </c>
      <c r="AJ35">
        <v>712.09</v>
      </c>
      <c r="AK35">
        <v>101638122</v>
      </c>
      <c r="AL35">
        <v>1175.83</v>
      </c>
      <c r="AM35">
        <v>60</v>
      </c>
    </row>
    <row r="36" spans="1:39" x14ac:dyDescent="0.25">
      <c r="A36">
        <v>50</v>
      </c>
      <c r="B36">
        <v>15258353</v>
      </c>
      <c r="C36">
        <v>2846382</v>
      </c>
      <c r="D36">
        <v>2991558</v>
      </c>
      <c r="E36">
        <v>11849851</v>
      </c>
      <c r="F36">
        <v>32946144</v>
      </c>
      <c r="G36">
        <v>44437</v>
      </c>
      <c r="H36">
        <v>3636</v>
      </c>
      <c r="I36">
        <v>594</v>
      </c>
      <c r="J36">
        <v>48667</v>
      </c>
      <c r="K36">
        <v>2393352</v>
      </c>
      <c r="L36">
        <v>34.81</v>
      </c>
      <c r="M36">
        <v>239935</v>
      </c>
      <c r="N36">
        <v>5.83</v>
      </c>
      <c r="O36">
        <v>545272</v>
      </c>
      <c r="P36">
        <v>2.75</v>
      </c>
      <c r="Q36">
        <v>399794</v>
      </c>
      <c r="R36">
        <v>2.82</v>
      </c>
      <c r="S36">
        <v>211180</v>
      </c>
      <c r="T36">
        <v>7.11</v>
      </c>
      <c r="U36">
        <v>112929</v>
      </c>
      <c r="V36">
        <v>0.99</v>
      </c>
      <c r="W36">
        <v>2589220</v>
      </c>
      <c r="X36">
        <v>8.3800000000000008</v>
      </c>
      <c r="Y36">
        <v>293405</v>
      </c>
      <c r="Z36">
        <v>2.02</v>
      </c>
      <c r="AA36">
        <v>233380</v>
      </c>
      <c r="AB36">
        <v>3.5</v>
      </c>
      <c r="AC36">
        <v>380477</v>
      </c>
      <c r="AD36">
        <v>4.8499999999999996</v>
      </c>
      <c r="AE36">
        <v>479314</v>
      </c>
      <c r="AF36">
        <v>7.58</v>
      </c>
      <c r="AG36">
        <v>398251</v>
      </c>
      <c r="AH36">
        <v>7.6</v>
      </c>
      <c r="AI36">
        <v>3975829</v>
      </c>
      <c r="AJ36">
        <v>92.82</v>
      </c>
      <c r="AK36">
        <v>12252338</v>
      </c>
      <c r="AL36">
        <v>181.06</v>
      </c>
      <c r="AM36">
        <v>34</v>
      </c>
    </row>
    <row r="37" spans="1:39" x14ac:dyDescent="0.25">
      <c r="A37">
        <v>51</v>
      </c>
      <c r="B37">
        <v>15355799</v>
      </c>
      <c r="C37">
        <v>2843736</v>
      </c>
      <c r="D37">
        <v>3708188</v>
      </c>
      <c r="E37">
        <v>42444911</v>
      </c>
      <c r="F37">
        <v>64352634</v>
      </c>
      <c r="G37">
        <v>15628</v>
      </c>
      <c r="H37">
        <v>4503</v>
      </c>
      <c r="I37">
        <v>1357</v>
      </c>
      <c r="J37">
        <v>21488</v>
      </c>
      <c r="K37">
        <v>4456473</v>
      </c>
      <c r="L37">
        <v>53.8</v>
      </c>
      <c r="M37">
        <v>599669</v>
      </c>
      <c r="N37">
        <v>13.9</v>
      </c>
      <c r="O37">
        <v>794214</v>
      </c>
      <c r="P37">
        <v>3.1</v>
      </c>
      <c r="Q37">
        <v>264209</v>
      </c>
      <c r="R37">
        <v>2.4</v>
      </c>
      <c r="S37">
        <v>301953</v>
      </c>
      <c r="T37">
        <v>8.8000000000000007</v>
      </c>
      <c r="U37">
        <v>379645</v>
      </c>
      <c r="V37">
        <v>2.8</v>
      </c>
      <c r="W37">
        <v>5064426</v>
      </c>
      <c r="X37">
        <v>18.8</v>
      </c>
      <c r="Y37">
        <v>205526</v>
      </c>
      <c r="Z37">
        <v>2</v>
      </c>
      <c r="AA37">
        <v>151857</v>
      </c>
      <c r="AB37">
        <v>1.9</v>
      </c>
      <c r="AC37">
        <v>493432</v>
      </c>
      <c r="AD37">
        <v>5.8</v>
      </c>
      <c r="AE37">
        <v>464347</v>
      </c>
      <c r="AF37">
        <v>6.9</v>
      </c>
      <c r="AG37">
        <v>645475</v>
      </c>
      <c r="AH37">
        <v>10.8</v>
      </c>
      <c r="AI37">
        <v>7634579</v>
      </c>
      <c r="AJ37">
        <v>162.1</v>
      </c>
      <c r="AK37">
        <v>21455805</v>
      </c>
      <c r="AL37">
        <v>293.10000000000002</v>
      </c>
      <c r="AM37">
        <v>49</v>
      </c>
    </row>
    <row r="38" spans="1:39" x14ac:dyDescent="0.25">
      <c r="A38">
        <v>53</v>
      </c>
      <c r="B38">
        <v>2697164</v>
      </c>
      <c r="C38">
        <v>2634971</v>
      </c>
      <c r="D38">
        <v>1430982</v>
      </c>
      <c r="E38">
        <v>11996421</v>
      </c>
      <c r="F38">
        <v>18759538</v>
      </c>
      <c r="G38">
        <v>12359</v>
      </c>
      <c r="H38">
        <v>2412</v>
      </c>
      <c r="I38">
        <v>373</v>
      </c>
      <c r="J38">
        <v>15144</v>
      </c>
      <c r="K38">
        <v>1610354</v>
      </c>
      <c r="L38">
        <v>23.2</v>
      </c>
      <c r="M38">
        <v>209374</v>
      </c>
      <c r="N38">
        <v>4.2</v>
      </c>
      <c r="O38">
        <v>197796</v>
      </c>
      <c r="P38">
        <v>1</v>
      </c>
      <c r="Q38" t="s">
        <v>3178</v>
      </c>
      <c r="R38" t="s">
        <v>3178</v>
      </c>
      <c r="S38">
        <v>220491</v>
      </c>
      <c r="T38">
        <v>7.8</v>
      </c>
      <c r="U38">
        <v>137339</v>
      </c>
      <c r="V38">
        <v>1</v>
      </c>
      <c r="W38" t="s">
        <v>3178</v>
      </c>
      <c r="X38" t="s">
        <v>3178</v>
      </c>
      <c r="Y38" t="s">
        <v>3178</v>
      </c>
      <c r="Z38" t="s">
        <v>3178</v>
      </c>
      <c r="AA38">
        <v>186947</v>
      </c>
      <c r="AB38">
        <v>2</v>
      </c>
      <c r="AC38">
        <v>173843</v>
      </c>
      <c r="AD38">
        <v>1.9</v>
      </c>
      <c r="AE38">
        <v>330922</v>
      </c>
      <c r="AF38">
        <v>4.4000000000000004</v>
      </c>
      <c r="AG38">
        <v>250219</v>
      </c>
      <c r="AH38">
        <v>4.7</v>
      </c>
      <c r="AI38">
        <v>1915240</v>
      </c>
      <c r="AJ38">
        <v>66.8</v>
      </c>
      <c r="AK38">
        <v>5232525</v>
      </c>
      <c r="AL38">
        <v>117</v>
      </c>
      <c r="AM38">
        <v>30</v>
      </c>
    </row>
    <row r="39" spans="1:39" x14ac:dyDescent="0.25">
      <c r="A39">
        <v>54</v>
      </c>
      <c r="B39">
        <v>2799695</v>
      </c>
      <c r="C39">
        <v>939682</v>
      </c>
      <c r="D39">
        <v>3219009</v>
      </c>
      <c r="E39">
        <v>17480757</v>
      </c>
      <c r="F39">
        <v>24439143</v>
      </c>
      <c r="G39">
        <v>31318</v>
      </c>
      <c r="H39">
        <v>1275</v>
      </c>
      <c r="I39">
        <v>854</v>
      </c>
      <c r="J39">
        <v>33447</v>
      </c>
      <c r="K39">
        <v>1138011</v>
      </c>
      <c r="L39">
        <v>15.78</v>
      </c>
      <c r="M39">
        <v>644585</v>
      </c>
      <c r="N39">
        <v>16.13</v>
      </c>
      <c r="O39" t="s">
        <v>3178</v>
      </c>
      <c r="P39" t="s">
        <v>3178</v>
      </c>
      <c r="Q39" t="s">
        <v>3178</v>
      </c>
      <c r="R39" t="s">
        <v>3178</v>
      </c>
      <c r="S39">
        <v>89585</v>
      </c>
      <c r="T39">
        <v>2.94</v>
      </c>
      <c r="U39">
        <v>127632</v>
      </c>
      <c r="V39">
        <v>1</v>
      </c>
      <c r="W39" t="s">
        <v>3178</v>
      </c>
      <c r="X39" t="s">
        <v>3178</v>
      </c>
      <c r="Y39" t="s">
        <v>3178</v>
      </c>
      <c r="Z39" t="s">
        <v>3178</v>
      </c>
      <c r="AA39" t="s">
        <v>3178</v>
      </c>
      <c r="AB39" t="s">
        <v>3178</v>
      </c>
      <c r="AC39">
        <v>231285</v>
      </c>
      <c r="AD39">
        <v>2.64</v>
      </c>
      <c r="AE39">
        <v>222365</v>
      </c>
      <c r="AF39">
        <v>3.84</v>
      </c>
      <c r="AG39">
        <v>264539</v>
      </c>
      <c r="AH39">
        <v>5.88</v>
      </c>
      <c r="AI39">
        <v>2091937</v>
      </c>
      <c r="AJ39">
        <v>48.94</v>
      </c>
      <c r="AK39">
        <v>4809939</v>
      </c>
      <c r="AL39">
        <v>97.15</v>
      </c>
      <c r="AM39">
        <v>10</v>
      </c>
    </row>
    <row r="40" spans="1:39" x14ac:dyDescent="0.25">
      <c r="A40">
        <v>57</v>
      </c>
      <c r="B40">
        <v>11750204</v>
      </c>
      <c r="C40">
        <v>15061706</v>
      </c>
      <c r="D40">
        <v>22513173</v>
      </c>
      <c r="E40">
        <v>21128269</v>
      </c>
      <c r="F40">
        <v>70453352</v>
      </c>
      <c r="G40">
        <v>5083</v>
      </c>
      <c r="H40">
        <v>16235</v>
      </c>
      <c r="I40">
        <v>4084</v>
      </c>
      <c r="J40">
        <v>25402</v>
      </c>
      <c r="K40">
        <v>9403386</v>
      </c>
      <c r="L40">
        <v>105.43</v>
      </c>
      <c r="M40">
        <v>32695</v>
      </c>
      <c r="N40">
        <v>0.61</v>
      </c>
      <c r="O40" t="s">
        <v>3178</v>
      </c>
      <c r="P40" t="s">
        <v>3178</v>
      </c>
      <c r="Q40">
        <v>115296</v>
      </c>
      <c r="R40">
        <v>1.06</v>
      </c>
      <c r="S40">
        <v>57515</v>
      </c>
      <c r="T40">
        <v>1.8</v>
      </c>
      <c r="U40">
        <v>568009</v>
      </c>
      <c r="V40">
        <v>3.8</v>
      </c>
      <c r="W40" t="s">
        <v>3178</v>
      </c>
      <c r="X40" t="s">
        <v>3178</v>
      </c>
      <c r="Y40" t="s">
        <v>3178</v>
      </c>
      <c r="Z40" t="s">
        <v>3178</v>
      </c>
      <c r="AA40">
        <v>189122</v>
      </c>
      <c r="AB40">
        <v>2.69</v>
      </c>
      <c r="AC40">
        <v>718640</v>
      </c>
      <c r="AD40">
        <v>8.85</v>
      </c>
      <c r="AE40" t="s">
        <v>3178</v>
      </c>
      <c r="AF40" t="s">
        <v>3178</v>
      </c>
      <c r="AG40">
        <v>749139</v>
      </c>
      <c r="AH40">
        <v>11.25</v>
      </c>
      <c r="AI40">
        <v>6151495</v>
      </c>
      <c r="AJ40">
        <v>113.06</v>
      </c>
      <c r="AK40">
        <v>17985297</v>
      </c>
      <c r="AL40">
        <v>248.55</v>
      </c>
      <c r="AM40">
        <v>43</v>
      </c>
    </row>
    <row r="41" spans="1:39" x14ac:dyDescent="0.25">
      <c r="A41">
        <v>58</v>
      </c>
      <c r="B41">
        <v>5435918</v>
      </c>
      <c r="C41">
        <v>868868</v>
      </c>
      <c r="D41">
        <v>413818</v>
      </c>
      <c r="E41">
        <v>1681244</v>
      </c>
      <c r="F41">
        <v>8399848</v>
      </c>
      <c r="G41">
        <v>10632</v>
      </c>
      <c r="H41">
        <v>564</v>
      </c>
      <c r="I41">
        <v>145</v>
      </c>
      <c r="J41">
        <v>11341</v>
      </c>
      <c r="K41">
        <v>833631</v>
      </c>
      <c r="L41">
        <v>12.41</v>
      </c>
      <c r="M41">
        <v>183222</v>
      </c>
      <c r="N41">
        <v>5.25</v>
      </c>
      <c r="O41">
        <v>31395</v>
      </c>
      <c r="P41">
        <v>0.05</v>
      </c>
      <c r="Q41">
        <v>89514</v>
      </c>
      <c r="R41">
        <v>0.8</v>
      </c>
      <c r="S41">
        <v>33419</v>
      </c>
      <c r="T41">
        <v>1.29</v>
      </c>
      <c r="U41">
        <v>68398</v>
      </c>
      <c r="V41">
        <v>0.24</v>
      </c>
      <c r="W41">
        <v>493030</v>
      </c>
      <c r="X41">
        <v>1.71</v>
      </c>
      <c r="Y41" t="s">
        <v>3178</v>
      </c>
      <c r="Z41" t="s">
        <v>3178</v>
      </c>
      <c r="AA41" t="s">
        <v>3178</v>
      </c>
      <c r="AB41" t="s">
        <v>3178</v>
      </c>
      <c r="AC41" t="s">
        <v>3178</v>
      </c>
      <c r="AD41" t="s">
        <v>3178</v>
      </c>
      <c r="AE41">
        <v>122989</v>
      </c>
      <c r="AF41">
        <v>2.36</v>
      </c>
      <c r="AG41">
        <v>145828</v>
      </c>
      <c r="AH41">
        <v>2.65</v>
      </c>
      <c r="AI41">
        <v>1488392</v>
      </c>
      <c r="AJ41">
        <v>34.75</v>
      </c>
      <c r="AK41">
        <v>3489818</v>
      </c>
      <c r="AL41">
        <v>61.51</v>
      </c>
      <c r="AM41">
        <v>24</v>
      </c>
    </row>
    <row r="42" spans="1:39" x14ac:dyDescent="0.25">
      <c r="A42">
        <v>59</v>
      </c>
      <c r="B42">
        <v>409936687</v>
      </c>
      <c r="C42">
        <v>116800009</v>
      </c>
      <c r="D42">
        <v>107461066</v>
      </c>
      <c r="E42">
        <v>224034643</v>
      </c>
      <c r="F42">
        <v>858232405</v>
      </c>
      <c r="G42">
        <v>599155</v>
      </c>
      <c r="H42">
        <v>90993</v>
      </c>
      <c r="I42">
        <v>9056</v>
      </c>
      <c r="J42">
        <v>699204</v>
      </c>
      <c r="K42">
        <v>104408338</v>
      </c>
      <c r="L42">
        <v>1085.0999999999999</v>
      </c>
      <c r="M42">
        <v>1346840</v>
      </c>
      <c r="N42">
        <v>25.76</v>
      </c>
      <c r="O42">
        <v>5795142</v>
      </c>
      <c r="P42">
        <v>32.47</v>
      </c>
      <c r="Q42">
        <v>9047137</v>
      </c>
      <c r="R42">
        <v>82.7</v>
      </c>
      <c r="S42">
        <v>12446009</v>
      </c>
      <c r="T42">
        <v>291.08</v>
      </c>
      <c r="U42">
        <v>14239385</v>
      </c>
      <c r="V42">
        <v>113.58</v>
      </c>
      <c r="W42">
        <v>112279353</v>
      </c>
      <c r="X42">
        <v>562.83000000000004</v>
      </c>
      <c r="Y42">
        <v>5558113</v>
      </c>
      <c r="Z42">
        <v>50.72</v>
      </c>
      <c r="AA42">
        <v>2966213</v>
      </c>
      <c r="AB42">
        <v>36.700000000000003</v>
      </c>
      <c r="AC42">
        <v>3363841</v>
      </c>
      <c r="AD42">
        <v>40.42</v>
      </c>
      <c r="AE42">
        <v>9538223</v>
      </c>
      <c r="AF42">
        <v>117.72</v>
      </c>
      <c r="AG42">
        <v>9557706</v>
      </c>
      <c r="AH42">
        <v>145.15</v>
      </c>
      <c r="AI42">
        <v>159195616</v>
      </c>
      <c r="AJ42">
        <v>2557.56</v>
      </c>
      <c r="AK42">
        <v>449741916</v>
      </c>
      <c r="AL42">
        <v>5141.79</v>
      </c>
      <c r="AM42">
        <v>894</v>
      </c>
    </row>
    <row r="43" spans="1:39" x14ac:dyDescent="0.25">
      <c r="A43">
        <v>61</v>
      </c>
      <c r="B43">
        <v>2760848</v>
      </c>
      <c r="C43">
        <v>345385</v>
      </c>
      <c r="D43">
        <v>378107</v>
      </c>
      <c r="E43">
        <v>1673328</v>
      </c>
      <c r="F43">
        <v>5157668</v>
      </c>
      <c r="G43">
        <v>13778</v>
      </c>
      <c r="H43">
        <v>476</v>
      </c>
      <c r="I43">
        <v>104</v>
      </c>
      <c r="J43">
        <v>14358</v>
      </c>
      <c r="K43">
        <v>490758</v>
      </c>
      <c r="L43">
        <v>8.6199999999999992</v>
      </c>
      <c r="M43">
        <v>203787</v>
      </c>
      <c r="N43">
        <v>5.0599999999999996</v>
      </c>
      <c r="O43" t="s">
        <v>3178</v>
      </c>
      <c r="P43" t="s">
        <v>3178</v>
      </c>
      <c r="Q43" t="s">
        <v>3178</v>
      </c>
      <c r="R43" t="s">
        <v>3178</v>
      </c>
      <c r="S43">
        <v>284</v>
      </c>
      <c r="T43">
        <v>0.01</v>
      </c>
      <c r="U43" t="s">
        <v>3178</v>
      </c>
      <c r="V43" t="s">
        <v>3178</v>
      </c>
      <c r="W43" t="s">
        <v>3178</v>
      </c>
      <c r="X43" t="s">
        <v>3178</v>
      </c>
      <c r="Y43">
        <v>19041</v>
      </c>
      <c r="Z43">
        <v>0.2</v>
      </c>
      <c r="AA43" t="s">
        <v>3178</v>
      </c>
      <c r="AB43" t="s">
        <v>3178</v>
      </c>
      <c r="AC43" t="s">
        <v>3178</v>
      </c>
      <c r="AD43" t="s">
        <v>3178</v>
      </c>
      <c r="AE43">
        <v>77469</v>
      </c>
      <c r="AF43">
        <v>1.87</v>
      </c>
      <c r="AG43">
        <v>110794</v>
      </c>
      <c r="AH43">
        <v>2.5</v>
      </c>
      <c r="AI43">
        <v>294849</v>
      </c>
      <c r="AJ43">
        <v>28.98</v>
      </c>
      <c r="AK43">
        <v>1196982</v>
      </c>
      <c r="AL43">
        <v>47.24</v>
      </c>
      <c r="AM43">
        <v>15</v>
      </c>
    </row>
    <row r="44" spans="1:39" x14ac:dyDescent="0.25">
      <c r="A44">
        <v>62</v>
      </c>
      <c r="B44">
        <v>17232026</v>
      </c>
      <c r="C44">
        <v>3252916</v>
      </c>
      <c r="D44">
        <v>4797083</v>
      </c>
      <c r="E44">
        <v>90466280</v>
      </c>
      <c r="F44">
        <v>115748305</v>
      </c>
      <c r="G44">
        <v>138124</v>
      </c>
      <c r="H44">
        <v>9017</v>
      </c>
      <c r="I44">
        <v>2893</v>
      </c>
      <c r="J44">
        <v>150034</v>
      </c>
      <c r="K44">
        <v>8250269</v>
      </c>
      <c r="L44">
        <v>97.21</v>
      </c>
      <c r="M44">
        <v>552208</v>
      </c>
      <c r="N44">
        <v>11.34</v>
      </c>
      <c r="O44">
        <v>1175859</v>
      </c>
      <c r="P44">
        <v>5.5</v>
      </c>
      <c r="Q44">
        <v>450121</v>
      </c>
      <c r="R44">
        <v>3.71</v>
      </c>
      <c r="S44">
        <v>1679207</v>
      </c>
      <c r="T44">
        <v>45.25</v>
      </c>
      <c r="U44">
        <v>528834</v>
      </c>
      <c r="V44">
        <v>3.8</v>
      </c>
      <c r="W44">
        <v>2097901</v>
      </c>
      <c r="X44">
        <v>5.81</v>
      </c>
      <c r="Y44">
        <v>513383</v>
      </c>
      <c r="Z44">
        <v>4.33</v>
      </c>
      <c r="AA44">
        <v>429070</v>
      </c>
      <c r="AB44">
        <v>6.12</v>
      </c>
      <c r="AC44">
        <v>540898</v>
      </c>
      <c r="AD44">
        <v>7.13</v>
      </c>
      <c r="AE44">
        <v>963307</v>
      </c>
      <c r="AF44">
        <v>13.78</v>
      </c>
      <c r="AG44">
        <v>944960</v>
      </c>
      <c r="AH44">
        <v>17.93</v>
      </c>
      <c r="AI44">
        <v>13007513</v>
      </c>
      <c r="AJ44">
        <v>249.09</v>
      </c>
      <c r="AK44">
        <v>31133530</v>
      </c>
      <c r="AL44">
        <v>471</v>
      </c>
      <c r="AM44">
        <v>66</v>
      </c>
    </row>
    <row r="45" spans="1:39" x14ac:dyDescent="0.25">
      <c r="A45">
        <v>63</v>
      </c>
      <c r="B45">
        <v>63354749</v>
      </c>
      <c r="C45">
        <v>21710495</v>
      </c>
      <c r="D45">
        <v>29097677</v>
      </c>
      <c r="E45">
        <v>110991247</v>
      </c>
      <c r="F45">
        <v>225154168</v>
      </c>
      <c r="G45">
        <v>154520</v>
      </c>
      <c r="H45">
        <v>32024</v>
      </c>
      <c r="I45">
        <v>5180</v>
      </c>
      <c r="J45">
        <v>191724</v>
      </c>
      <c r="K45">
        <v>34831729</v>
      </c>
      <c r="L45">
        <v>418.11</v>
      </c>
      <c r="M45">
        <v>305142</v>
      </c>
      <c r="N45">
        <v>6.63</v>
      </c>
      <c r="O45" t="s">
        <v>3178</v>
      </c>
      <c r="P45" t="s">
        <v>3178</v>
      </c>
      <c r="Q45">
        <v>26431</v>
      </c>
      <c r="R45">
        <v>0.17</v>
      </c>
      <c r="S45">
        <v>2703179</v>
      </c>
      <c r="T45">
        <v>85.3</v>
      </c>
      <c r="U45">
        <v>2721513</v>
      </c>
      <c r="V45">
        <v>20.6</v>
      </c>
      <c r="W45">
        <v>9651085</v>
      </c>
      <c r="X45">
        <v>20.32</v>
      </c>
      <c r="Y45">
        <v>35916</v>
      </c>
      <c r="Z45">
        <v>0.28999999999999998</v>
      </c>
      <c r="AA45">
        <v>402108</v>
      </c>
      <c r="AB45">
        <v>5.39</v>
      </c>
      <c r="AC45">
        <v>1175285</v>
      </c>
      <c r="AD45">
        <v>15.32</v>
      </c>
      <c r="AE45">
        <v>3367169</v>
      </c>
      <c r="AF45">
        <v>50.78</v>
      </c>
      <c r="AG45">
        <v>2867988</v>
      </c>
      <c r="AH45">
        <v>50.63</v>
      </c>
      <c r="AI45">
        <v>28029382</v>
      </c>
      <c r="AJ45">
        <v>576.21</v>
      </c>
      <c r="AK45">
        <v>86116927</v>
      </c>
      <c r="AL45">
        <v>1249.75</v>
      </c>
      <c r="AM45">
        <v>272</v>
      </c>
    </row>
    <row r="46" spans="1:39" x14ac:dyDescent="0.25">
      <c r="A46">
        <v>64</v>
      </c>
      <c r="B46">
        <v>1098612</v>
      </c>
      <c r="C46">
        <v>17794589</v>
      </c>
      <c r="D46">
        <v>21259168</v>
      </c>
      <c r="E46">
        <v>111873164</v>
      </c>
      <c r="F46">
        <v>152025533</v>
      </c>
      <c r="G46">
        <v>193163</v>
      </c>
      <c r="H46">
        <v>16247</v>
      </c>
      <c r="I46">
        <v>2481</v>
      </c>
      <c r="J46">
        <v>211891</v>
      </c>
      <c r="K46">
        <v>8002498</v>
      </c>
      <c r="L46">
        <v>96.7</v>
      </c>
      <c r="M46">
        <v>1543682</v>
      </c>
      <c r="N46">
        <v>39.380000000000003</v>
      </c>
      <c r="O46">
        <v>1023351</v>
      </c>
      <c r="P46">
        <v>8.35</v>
      </c>
      <c r="Q46">
        <v>578945</v>
      </c>
      <c r="R46">
        <v>5.79</v>
      </c>
      <c r="S46">
        <v>746946</v>
      </c>
      <c r="T46">
        <v>14.29</v>
      </c>
      <c r="U46">
        <v>1113298</v>
      </c>
      <c r="V46">
        <v>8.52</v>
      </c>
      <c r="W46">
        <v>11970712</v>
      </c>
      <c r="X46">
        <v>40.67</v>
      </c>
      <c r="Y46">
        <v>324766</v>
      </c>
      <c r="Z46">
        <v>3.01</v>
      </c>
      <c r="AA46">
        <v>353812</v>
      </c>
      <c r="AB46">
        <v>4.96</v>
      </c>
      <c r="AC46">
        <v>1108770</v>
      </c>
      <c r="AD46">
        <v>14.29</v>
      </c>
      <c r="AE46">
        <v>1099238</v>
      </c>
      <c r="AF46">
        <v>18.43</v>
      </c>
      <c r="AG46">
        <v>1372513</v>
      </c>
      <c r="AH46">
        <v>27.88</v>
      </c>
      <c r="AI46">
        <v>10924480</v>
      </c>
      <c r="AJ46">
        <v>245.72</v>
      </c>
      <c r="AK46">
        <v>40163011</v>
      </c>
      <c r="AL46">
        <v>527.99</v>
      </c>
      <c r="AM46">
        <v>64</v>
      </c>
    </row>
    <row r="47" spans="1:39" x14ac:dyDescent="0.25">
      <c r="A47">
        <v>65</v>
      </c>
      <c r="B47">
        <v>1681402</v>
      </c>
      <c r="C47">
        <v>1689662</v>
      </c>
      <c r="D47">
        <v>643963</v>
      </c>
      <c r="E47">
        <v>9530628</v>
      </c>
      <c r="F47">
        <v>13545655</v>
      </c>
      <c r="G47">
        <v>11374</v>
      </c>
      <c r="H47">
        <v>1749</v>
      </c>
      <c r="I47">
        <v>128</v>
      </c>
      <c r="J47">
        <v>13251</v>
      </c>
      <c r="K47">
        <v>1110966</v>
      </c>
      <c r="L47">
        <v>18.2</v>
      </c>
      <c r="M47">
        <v>202778</v>
      </c>
      <c r="N47">
        <v>5.8</v>
      </c>
      <c r="O47" t="s">
        <v>3178</v>
      </c>
      <c r="P47" t="s">
        <v>3178</v>
      </c>
      <c r="Q47">
        <v>7363</v>
      </c>
      <c r="R47">
        <v>0.1</v>
      </c>
      <c r="S47" t="s">
        <v>3178</v>
      </c>
      <c r="T47" t="s">
        <v>3178</v>
      </c>
      <c r="U47">
        <v>120907</v>
      </c>
      <c r="V47">
        <v>1</v>
      </c>
      <c r="W47">
        <v>24167</v>
      </c>
      <c r="X47">
        <v>0.4</v>
      </c>
      <c r="Y47" t="s">
        <v>3178</v>
      </c>
      <c r="Z47" t="s">
        <v>3178</v>
      </c>
      <c r="AA47">
        <v>1008</v>
      </c>
      <c r="AB47">
        <v>0.01</v>
      </c>
      <c r="AC47">
        <v>157493</v>
      </c>
      <c r="AD47">
        <v>2.23</v>
      </c>
      <c r="AE47">
        <v>64869</v>
      </c>
      <c r="AF47">
        <v>1.62</v>
      </c>
      <c r="AG47">
        <v>185044</v>
      </c>
      <c r="AH47">
        <v>4.2</v>
      </c>
      <c r="AI47">
        <v>513948</v>
      </c>
      <c r="AJ47">
        <v>20.440000000000001</v>
      </c>
      <c r="AK47">
        <v>2388543</v>
      </c>
      <c r="AL47">
        <v>54</v>
      </c>
      <c r="AM47">
        <v>20</v>
      </c>
    </row>
    <row r="48" spans="1:39" x14ac:dyDescent="0.25">
      <c r="A48">
        <v>66</v>
      </c>
      <c r="B48">
        <v>492299</v>
      </c>
      <c r="C48">
        <v>361493</v>
      </c>
      <c r="D48">
        <v>936445</v>
      </c>
      <c r="E48">
        <v>9302312</v>
      </c>
      <c r="F48">
        <v>11092549</v>
      </c>
      <c r="G48">
        <v>24030</v>
      </c>
      <c r="H48">
        <v>720</v>
      </c>
      <c r="I48">
        <v>178</v>
      </c>
      <c r="J48">
        <v>24928</v>
      </c>
      <c r="K48">
        <v>891973</v>
      </c>
      <c r="L48">
        <v>14.7</v>
      </c>
      <c r="M48">
        <v>273049</v>
      </c>
      <c r="N48">
        <v>6.65</v>
      </c>
      <c r="O48" t="s">
        <v>3178</v>
      </c>
      <c r="P48" t="s">
        <v>3178</v>
      </c>
      <c r="Q48">
        <v>379653</v>
      </c>
      <c r="R48">
        <v>2.48</v>
      </c>
      <c r="S48">
        <v>1206</v>
      </c>
      <c r="T48">
        <v>0.02</v>
      </c>
      <c r="U48">
        <v>110462</v>
      </c>
      <c r="V48">
        <v>1.35</v>
      </c>
      <c r="W48">
        <v>581875</v>
      </c>
      <c r="X48">
        <v>1.7</v>
      </c>
      <c r="Y48" t="s">
        <v>3178</v>
      </c>
      <c r="Z48" t="s">
        <v>3178</v>
      </c>
      <c r="AA48">
        <v>26810</v>
      </c>
      <c r="AB48">
        <v>0.49</v>
      </c>
      <c r="AC48">
        <v>142669</v>
      </c>
      <c r="AD48">
        <v>2.0299999999999998</v>
      </c>
      <c r="AE48">
        <v>169779</v>
      </c>
      <c r="AF48">
        <v>2.83</v>
      </c>
      <c r="AG48">
        <v>268333</v>
      </c>
      <c r="AH48">
        <v>4.87</v>
      </c>
      <c r="AI48">
        <v>1970107</v>
      </c>
      <c r="AJ48">
        <v>42.42</v>
      </c>
      <c r="AK48">
        <v>4815916</v>
      </c>
      <c r="AL48">
        <v>79.540000000000006</v>
      </c>
      <c r="AM48">
        <v>20</v>
      </c>
    </row>
    <row r="49" spans="1:39" x14ac:dyDescent="0.25">
      <c r="A49">
        <v>67</v>
      </c>
      <c r="B49">
        <v>19637279</v>
      </c>
      <c r="C49">
        <v>13817842</v>
      </c>
      <c r="D49">
        <v>16482062</v>
      </c>
      <c r="E49">
        <v>51353683</v>
      </c>
      <c r="F49">
        <v>101290866</v>
      </c>
      <c r="G49">
        <v>91603</v>
      </c>
      <c r="H49">
        <v>11597</v>
      </c>
      <c r="I49">
        <v>2425</v>
      </c>
      <c r="J49">
        <v>105625</v>
      </c>
      <c r="K49">
        <v>4832259</v>
      </c>
      <c r="L49">
        <v>60.63</v>
      </c>
      <c r="M49">
        <v>1336571</v>
      </c>
      <c r="N49">
        <v>30.97</v>
      </c>
      <c r="O49">
        <v>832310</v>
      </c>
      <c r="P49">
        <v>4.1500000000000004</v>
      </c>
      <c r="Q49">
        <v>155585</v>
      </c>
      <c r="R49">
        <v>1</v>
      </c>
      <c r="S49">
        <v>283843</v>
      </c>
      <c r="T49">
        <v>7.6</v>
      </c>
      <c r="U49">
        <v>818590</v>
      </c>
      <c r="V49">
        <v>6.45</v>
      </c>
      <c r="W49" t="s">
        <v>3178</v>
      </c>
      <c r="X49" t="s">
        <v>3178</v>
      </c>
      <c r="Y49" t="s">
        <v>3178</v>
      </c>
      <c r="Z49" t="s">
        <v>3178</v>
      </c>
      <c r="AA49">
        <v>204211</v>
      </c>
      <c r="AB49">
        <v>2.56</v>
      </c>
      <c r="AC49">
        <v>843816</v>
      </c>
      <c r="AD49">
        <v>10.29</v>
      </c>
      <c r="AE49">
        <v>652265</v>
      </c>
      <c r="AF49">
        <v>10.11</v>
      </c>
      <c r="AG49">
        <v>758822</v>
      </c>
      <c r="AH49">
        <v>14.1</v>
      </c>
      <c r="AI49">
        <v>9414827</v>
      </c>
      <c r="AJ49">
        <v>175.34</v>
      </c>
      <c r="AK49">
        <v>20133099</v>
      </c>
      <c r="AL49">
        <v>323.2</v>
      </c>
      <c r="AM49">
        <v>49</v>
      </c>
    </row>
    <row r="50" spans="1:39" x14ac:dyDescent="0.25">
      <c r="A50">
        <v>69</v>
      </c>
      <c r="B50">
        <v>4115069</v>
      </c>
      <c r="C50">
        <v>383673</v>
      </c>
      <c r="D50">
        <v>733472</v>
      </c>
      <c r="E50">
        <v>2798491</v>
      </c>
      <c r="F50">
        <v>8030705</v>
      </c>
      <c r="G50">
        <v>10463</v>
      </c>
      <c r="H50">
        <v>840</v>
      </c>
      <c r="I50">
        <v>68</v>
      </c>
      <c r="J50">
        <v>11371</v>
      </c>
      <c r="K50">
        <v>660709</v>
      </c>
      <c r="L50">
        <v>9.91</v>
      </c>
      <c r="M50">
        <v>85524</v>
      </c>
      <c r="N50">
        <v>1.86</v>
      </c>
      <c r="O50" t="s">
        <v>3178</v>
      </c>
      <c r="P50" t="s">
        <v>3178</v>
      </c>
      <c r="Q50" t="s">
        <v>3178</v>
      </c>
      <c r="R50" t="s">
        <v>3178</v>
      </c>
      <c r="S50" t="s">
        <v>3178</v>
      </c>
      <c r="T50" t="s">
        <v>3178</v>
      </c>
      <c r="U50">
        <v>106657</v>
      </c>
      <c r="V50">
        <v>0.64</v>
      </c>
      <c r="W50" t="s">
        <v>3178</v>
      </c>
      <c r="X50" t="s">
        <v>3178</v>
      </c>
      <c r="Y50" t="s">
        <v>3178</v>
      </c>
      <c r="Z50" t="s">
        <v>3178</v>
      </c>
      <c r="AA50" t="s">
        <v>3178</v>
      </c>
      <c r="AB50" t="s">
        <v>3178</v>
      </c>
      <c r="AC50" t="s">
        <v>3178</v>
      </c>
      <c r="AD50" t="s">
        <v>3178</v>
      </c>
      <c r="AE50">
        <v>195582</v>
      </c>
      <c r="AF50">
        <v>2.77</v>
      </c>
      <c r="AG50">
        <v>221680</v>
      </c>
      <c r="AH50">
        <v>3.32</v>
      </c>
      <c r="AI50">
        <v>433802</v>
      </c>
      <c r="AJ50">
        <v>37.42</v>
      </c>
      <c r="AK50">
        <v>1703954</v>
      </c>
      <c r="AL50">
        <v>55.92</v>
      </c>
      <c r="AM50">
        <v>15</v>
      </c>
    </row>
    <row r="51" spans="1:39" x14ac:dyDescent="0.25">
      <c r="A51">
        <v>70</v>
      </c>
      <c r="B51">
        <v>11246006</v>
      </c>
      <c r="C51">
        <v>2831331</v>
      </c>
      <c r="D51">
        <v>6529077</v>
      </c>
      <c r="E51">
        <v>21721845</v>
      </c>
      <c r="F51">
        <v>42328259</v>
      </c>
      <c r="G51">
        <v>41703</v>
      </c>
      <c r="H51">
        <v>2522</v>
      </c>
      <c r="I51">
        <v>383</v>
      </c>
      <c r="J51">
        <v>44608</v>
      </c>
      <c r="K51">
        <v>3654359</v>
      </c>
      <c r="L51">
        <v>48.62</v>
      </c>
      <c r="M51">
        <v>410190</v>
      </c>
      <c r="N51">
        <v>9.6199999999999992</v>
      </c>
      <c r="O51">
        <v>422405</v>
      </c>
      <c r="P51">
        <v>2.02</v>
      </c>
      <c r="Q51">
        <v>904201</v>
      </c>
      <c r="R51">
        <v>7.15</v>
      </c>
      <c r="S51">
        <v>508830</v>
      </c>
      <c r="T51">
        <v>14.12</v>
      </c>
      <c r="U51">
        <v>388768</v>
      </c>
      <c r="V51">
        <v>2.93</v>
      </c>
      <c r="W51">
        <v>3609073</v>
      </c>
      <c r="X51">
        <v>12.05</v>
      </c>
      <c r="Y51">
        <v>225730</v>
      </c>
      <c r="Z51">
        <v>1.78</v>
      </c>
      <c r="AA51">
        <v>50302</v>
      </c>
      <c r="AB51">
        <v>0.72</v>
      </c>
      <c r="AC51">
        <v>410349</v>
      </c>
      <c r="AD51">
        <v>4.75</v>
      </c>
      <c r="AE51">
        <v>596012</v>
      </c>
      <c r="AF51">
        <v>8.7200000000000006</v>
      </c>
      <c r="AG51">
        <v>613263</v>
      </c>
      <c r="AH51">
        <v>12.87</v>
      </c>
      <c r="AI51">
        <v>3547431</v>
      </c>
      <c r="AJ51">
        <v>62.63</v>
      </c>
      <c r="AK51">
        <v>15340913</v>
      </c>
      <c r="AL51">
        <v>187.98</v>
      </c>
      <c r="AM51">
        <v>18</v>
      </c>
    </row>
    <row r="52" spans="1:39" x14ac:dyDescent="0.25">
      <c r="A52">
        <v>71</v>
      </c>
      <c r="B52">
        <v>68333747</v>
      </c>
      <c r="C52">
        <v>11958941</v>
      </c>
      <c r="D52">
        <v>30784452</v>
      </c>
      <c r="E52">
        <v>106642498</v>
      </c>
      <c r="F52">
        <v>217719638</v>
      </c>
      <c r="G52">
        <v>186333</v>
      </c>
      <c r="H52">
        <v>10966</v>
      </c>
      <c r="I52">
        <v>4221</v>
      </c>
      <c r="J52">
        <v>201520</v>
      </c>
      <c r="K52">
        <v>10429260</v>
      </c>
      <c r="L52">
        <v>120.67</v>
      </c>
      <c r="M52">
        <v>2491945</v>
      </c>
      <c r="N52">
        <v>60.48</v>
      </c>
      <c r="O52">
        <v>1828703</v>
      </c>
      <c r="P52">
        <v>8.41</v>
      </c>
      <c r="Q52" t="s">
        <v>3178</v>
      </c>
      <c r="R52" t="s">
        <v>3178</v>
      </c>
      <c r="S52">
        <v>1097065</v>
      </c>
      <c r="T52">
        <v>33.299999999999997</v>
      </c>
      <c r="U52">
        <v>950159</v>
      </c>
      <c r="V52">
        <v>7.25</v>
      </c>
      <c r="W52" t="s">
        <v>3178</v>
      </c>
      <c r="X52" t="s">
        <v>3178</v>
      </c>
      <c r="Y52" t="s">
        <v>3178</v>
      </c>
      <c r="Z52" t="s">
        <v>3178</v>
      </c>
      <c r="AA52">
        <v>358593</v>
      </c>
      <c r="AB52">
        <v>4.8</v>
      </c>
      <c r="AC52">
        <v>1102163</v>
      </c>
      <c r="AD52">
        <v>13.62</v>
      </c>
      <c r="AE52">
        <v>1555794</v>
      </c>
      <c r="AF52">
        <v>22.13</v>
      </c>
      <c r="AG52">
        <v>1362669</v>
      </c>
      <c r="AH52">
        <v>23.99</v>
      </c>
      <c r="AI52">
        <v>17541182</v>
      </c>
      <c r="AJ52">
        <v>377.64</v>
      </c>
      <c r="AK52">
        <v>38717533</v>
      </c>
      <c r="AL52">
        <v>672.29</v>
      </c>
      <c r="AM52">
        <v>108</v>
      </c>
    </row>
    <row r="53" spans="1:39" x14ac:dyDescent="0.25">
      <c r="A53">
        <v>72</v>
      </c>
      <c r="B53">
        <v>4848168</v>
      </c>
      <c r="C53">
        <v>4114479</v>
      </c>
      <c r="D53">
        <v>1376039</v>
      </c>
      <c r="E53">
        <v>7202927</v>
      </c>
      <c r="F53">
        <v>17541613</v>
      </c>
      <c r="G53">
        <v>28588</v>
      </c>
      <c r="H53">
        <v>4121</v>
      </c>
      <c r="I53">
        <v>431</v>
      </c>
      <c r="J53">
        <v>33140</v>
      </c>
      <c r="K53">
        <v>1248493</v>
      </c>
      <c r="L53">
        <v>14.71</v>
      </c>
      <c r="M53">
        <v>33693</v>
      </c>
      <c r="N53">
        <v>0.78</v>
      </c>
      <c r="O53" t="s">
        <v>3178</v>
      </c>
      <c r="P53" t="s">
        <v>3178</v>
      </c>
      <c r="Q53">
        <v>83697</v>
      </c>
      <c r="R53">
        <v>1</v>
      </c>
      <c r="S53">
        <v>174790</v>
      </c>
      <c r="T53">
        <v>4.66</v>
      </c>
      <c r="U53" t="s">
        <v>3178</v>
      </c>
      <c r="V53" t="s">
        <v>3178</v>
      </c>
      <c r="W53">
        <v>922835</v>
      </c>
      <c r="X53">
        <v>5.19</v>
      </c>
      <c r="Y53" t="s">
        <v>3178</v>
      </c>
      <c r="Z53" t="s">
        <v>3178</v>
      </c>
      <c r="AA53">
        <v>69738</v>
      </c>
      <c r="AB53">
        <v>1.1000000000000001</v>
      </c>
      <c r="AC53">
        <v>252012</v>
      </c>
      <c r="AD53">
        <v>4.1900000000000004</v>
      </c>
      <c r="AE53">
        <v>309885</v>
      </c>
      <c r="AF53">
        <v>4.5999999999999996</v>
      </c>
      <c r="AG53">
        <v>340408</v>
      </c>
      <c r="AH53">
        <v>6.97</v>
      </c>
      <c r="AI53">
        <v>2178791</v>
      </c>
      <c r="AJ53">
        <v>49.12</v>
      </c>
      <c r="AK53">
        <v>5614342</v>
      </c>
      <c r="AL53">
        <v>92.32</v>
      </c>
      <c r="AM53">
        <v>25</v>
      </c>
    </row>
    <row r="54" spans="1:39" x14ac:dyDescent="0.25">
      <c r="A54">
        <v>74</v>
      </c>
      <c r="B54">
        <v>42425358</v>
      </c>
      <c r="C54">
        <v>13869544</v>
      </c>
      <c r="D54">
        <v>25548555</v>
      </c>
      <c r="E54">
        <v>39216429</v>
      </c>
      <c r="F54">
        <v>121059886</v>
      </c>
      <c r="G54">
        <v>42772</v>
      </c>
      <c r="H54">
        <v>13373</v>
      </c>
      <c r="I54">
        <v>5707</v>
      </c>
      <c r="J54">
        <v>61852</v>
      </c>
      <c r="K54">
        <v>11534744</v>
      </c>
      <c r="L54">
        <v>113.87</v>
      </c>
      <c r="M54">
        <v>122731</v>
      </c>
      <c r="N54">
        <v>2.14</v>
      </c>
      <c r="O54" t="s">
        <v>3178</v>
      </c>
      <c r="P54" t="s">
        <v>3178</v>
      </c>
      <c r="Q54">
        <v>618971</v>
      </c>
      <c r="R54">
        <v>4.68</v>
      </c>
      <c r="S54">
        <v>1542440</v>
      </c>
      <c r="T54">
        <v>32.97</v>
      </c>
      <c r="U54">
        <v>848132</v>
      </c>
      <c r="V54">
        <v>6.27</v>
      </c>
      <c r="W54" t="s">
        <v>3178</v>
      </c>
      <c r="X54" t="s">
        <v>3178</v>
      </c>
      <c r="Y54" t="s">
        <v>3178</v>
      </c>
      <c r="Z54" t="s">
        <v>3178</v>
      </c>
      <c r="AA54">
        <v>167951</v>
      </c>
      <c r="AB54">
        <v>2.35</v>
      </c>
      <c r="AC54">
        <v>337417</v>
      </c>
      <c r="AD54">
        <v>4.21</v>
      </c>
      <c r="AE54">
        <v>1710306</v>
      </c>
      <c r="AF54">
        <v>21.19</v>
      </c>
      <c r="AG54">
        <v>1289743</v>
      </c>
      <c r="AH54">
        <v>21.71</v>
      </c>
      <c r="AI54">
        <v>14156796</v>
      </c>
      <c r="AJ54">
        <v>214.36</v>
      </c>
      <c r="AK54">
        <v>32329231</v>
      </c>
      <c r="AL54">
        <v>423.75</v>
      </c>
      <c r="AM54">
        <v>97</v>
      </c>
    </row>
    <row r="55" spans="1:39" x14ac:dyDescent="0.25">
      <c r="A55">
        <v>76</v>
      </c>
      <c r="B55">
        <v>27222694</v>
      </c>
      <c r="C55">
        <v>2729148</v>
      </c>
      <c r="D55">
        <v>2826386</v>
      </c>
      <c r="E55" t="s">
        <v>3178</v>
      </c>
      <c r="F55">
        <v>32778228</v>
      </c>
      <c r="G55">
        <v>48249</v>
      </c>
      <c r="H55">
        <v>3080</v>
      </c>
      <c r="I55">
        <v>722</v>
      </c>
      <c r="J55">
        <v>52051</v>
      </c>
      <c r="K55">
        <v>1883261</v>
      </c>
      <c r="L55">
        <v>24.44</v>
      </c>
      <c r="M55">
        <v>643312</v>
      </c>
      <c r="N55">
        <v>16.329999999999998</v>
      </c>
      <c r="O55" t="s">
        <v>3178</v>
      </c>
      <c r="P55" t="s">
        <v>3178</v>
      </c>
      <c r="Q55" t="s">
        <v>3178</v>
      </c>
      <c r="R55" t="s">
        <v>3178</v>
      </c>
      <c r="S55">
        <v>124344</v>
      </c>
      <c r="T55">
        <v>4.25</v>
      </c>
      <c r="U55">
        <v>198104</v>
      </c>
      <c r="V55">
        <v>1.31</v>
      </c>
      <c r="W55" t="s">
        <v>3178</v>
      </c>
      <c r="X55" t="s">
        <v>3178</v>
      </c>
      <c r="Y55">
        <v>690902</v>
      </c>
      <c r="Z55">
        <v>6.39</v>
      </c>
      <c r="AA55">
        <v>72613</v>
      </c>
      <c r="AB55">
        <v>1.1599999999999999</v>
      </c>
      <c r="AC55">
        <v>279789</v>
      </c>
      <c r="AD55">
        <v>3.63</v>
      </c>
      <c r="AE55">
        <v>296597</v>
      </c>
      <c r="AF55">
        <v>4.7</v>
      </c>
      <c r="AG55">
        <v>260673</v>
      </c>
      <c r="AH55">
        <v>4.84</v>
      </c>
      <c r="AI55">
        <v>4448196</v>
      </c>
      <c r="AJ55">
        <v>65.040000000000006</v>
      </c>
      <c r="AK55">
        <v>8897791</v>
      </c>
      <c r="AL55">
        <v>132.09</v>
      </c>
      <c r="AM55">
        <v>34</v>
      </c>
    </row>
    <row r="56" spans="1:39" x14ac:dyDescent="0.25">
      <c r="A56">
        <v>77</v>
      </c>
      <c r="B56">
        <v>3717728</v>
      </c>
      <c r="C56">
        <v>1123369</v>
      </c>
      <c r="D56">
        <v>494452</v>
      </c>
      <c r="E56">
        <v>3244935</v>
      </c>
      <c r="F56">
        <v>8580484</v>
      </c>
      <c r="G56">
        <v>8268</v>
      </c>
      <c r="H56">
        <v>1520</v>
      </c>
      <c r="I56">
        <v>187</v>
      </c>
      <c r="J56">
        <v>9975</v>
      </c>
      <c r="K56">
        <v>777059</v>
      </c>
      <c r="L56">
        <v>11.75</v>
      </c>
      <c r="M56">
        <v>218865</v>
      </c>
      <c r="N56">
        <v>4.25</v>
      </c>
      <c r="O56" t="s">
        <v>3178</v>
      </c>
      <c r="P56" t="s">
        <v>3178</v>
      </c>
      <c r="Q56" t="s">
        <v>3178</v>
      </c>
      <c r="R56" t="s">
        <v>3178</v>
      </c>
      <c r="S56">
        <v>138362</v>
      </c>
      <c r="T56">
        <v>4.5</v>
      </c>
      <c r="U56">
        <v>104428</v>
      </c>
      <c r="V56">
        <v>0.75</v>
      </c>
      <c r="W56" t="s">
        <v>3178</v>
      </c>
      <c r="X56" t="s">
        <v>3178</v>
      </c>
      <c r="Y56" t="s">
        <v>3178</v>
      </c>
      <c r="Z56" t="s">
        <v>3178</v>
      </c>
      <c r="AA56">
        <v>37828</v>
      </c>
      <c r="AB56">
        <v>0.5</v>
      </c>
      <c r="AC56">
        <v>300453</v>
      </c>
      <c r="AD56">
        <v>2.75</v>
      </c>
      <c r="AE56">
        <v>164527</v>
      </c>
      <c r="AF56">
        <v>2.5</v>
      </c>
      <c r="AG56">
        <v>194349</v>
      </c>
      <c r="AH56">
        <v>2.75</v>
      </c>
      <c r="AI56">
        <v>1535999</v>
      </c>
      <c r="AJ56">
        <v>42.25</v>
      </c>
      <c r="AK56">
        <v>3471870</v>
      </c>
      <c r="AL56">
        <v>72</v>
      </c>
      <c r="AM56">
        <v>25</v>
      </c>
    </row>
    <row r="57" spans="1:39" x14ac:dyDescent="0.25">
      <c r="A57">
        <v>78</v>
      </c>
      <c r="B57">
        <v>244583</v>
      </c>
      <c r="C57">
        <v>1072198</v>
      </c>
      <c r="D57">
        <v>1274473</v>
      </c>
      <c r="E57">
        <v>10332302</v>
      </c>
      <c r="F57">
        <v>12923556</v>
      </c>
      <c r="G57">
        <v>10885</v>
      </c>
      <c r="H57">
        <v>734</v>
      </c>
      <c r="I57">
        <v>281</v>
      </c>
      <c r="J57">
        <v>11900</v>
      </c>
      <c r="K57">
        <v>999751</v>
      </c>
      <c r="L57">
        <v>14.98</v>
      </c>
      <c r="M57">
        <v>208990</v>
      </c>
      <c r="N57">
        <v>5.44</v>
      </c>
      <c r="O57" t="s">
        <v>3178</v>
      </c>
      <c r="P57" t="s">
        <v>3178</v>
      </c>
      <c r="Q57" t="s">
        <v>3178</v>
      </c>
      <c r="R57" t="s">
        <v>3178</v>
      </c>
      <c r="S57">
        <v>31150</v>
      </c>
      <c r="T57">
        <v>0.97</v>
      </c>
      <c r="U57">
        <v>62012</v>
      </c>
      <c r="V57">
        <v>0.56999999999999995</v>
      </c>
      <c r="W57">
        <v>662419</v>
      </c>
      <c r="X57">
        <v>2.66</v>
      </c>
      <c r="Y57">
        <v>265030</v>
      </c>
      <c r="Z57">
        <v>2</v>
      </c>
      <c r="AA57" t="s">
        <v>3178</v>
      </c>
      <c r="AB57" t="s">
        <v>3178</v>
      </c>
      <c r="AC57" t="s">
        <v>3178</v>
      </c>
      <c r="AD57" t="s">
        <v>3178</v>
      </c>
      <c r="AE57">
        <v>225636</v>
      </c>
      <c r="AF57">
        <v>3.9</v>
      </c>
      <c r="AG57">
        <v>255104</v>
      </c>
      <c r="AH57">
        <v>4.68</v>
      </c>
      <c r="AI57">
        <v>939787</v>
      </c>
      <c r="AJ57">
        <v>21.27</v>
      </c>
      <c r="AK57">
        <v>3649879</v>
      </c>
      <c r="AL57">
        <v>56.47</v>
      </c>
      <c r="AM57">
        <v>12</v>
      </c>
    </row>
    <row r="58" spans="1:39" x14ac:dyDescent="0.25">
      <c r="A58">
        <v>79</v>
      </c>
      <c r="B58">
        <v>2419916</v>
      </c>
      <c r="C58">
        <v>2055376</v>
      </c>
      <c r="D58" t="s">
        <v>3178</v>
      </c>
      <c r="E58">
        <v>2122541</v>
      </c>
      <c r="F58">
        <v>6597833</v>
      </c>
      <c r="G58">
        <v>13971</v>
      </c>
      <c r="H58">
        <v>3243</v>
      </c>
      <c r="I58" t="s">
        <v>3178</v>
      </c>
      <c r="J58">
        <v>17214</v>
      </c>
      <c r="K58">
        <v>533180</v>
      </c>
      <c r="L58">
        <v>7.35</v>
      </c>
      <c r="M58">
        <v>38335</v>
      </c>
      <c r="N58">
        <v>1.04</v>
      </c>
      <c r="O58" t="s">
        <v>3178</v>
      </c>
      <c r="P58" t="s">
        <v>3178</v>
      </c>
      <c r="Q58" t="s">
        <v>3178</v>
      </c>
      <c r="R58" t="s">
        <v>3178</v>
      </c>
      <c r="S58">
        <v>15607</v>
      </c>
      <c r="T58">
        <v>0.64</v>
      </c>
      <c r="U58" t="s">
        <v>3178</v>
      </c>
      <c r="V58" t="s">
        <v>3178</v>
      </c>
      <c r="W58" t="s">
        <v>3178</v>
      </c>
      <c r="X58" t="s">
        <v>3178</v>
      </c>
      <c r="Y58" t="s">
        <v>3178</v>
      </c>
      <c r="Z58" t="s">
        <v>3178</v>
      </c>
      <c r="AA58" t="s">
        <v>3178</v>
      </c>
      <c r="AB58" t="s">
        <v>3178</v>
      </c>
      <c r="AC58" t="s">
        <v>3178</v>
      </c>
      <c r="AD58" t="s">
        <v>3178</v>
      </c>
      <c r="AE58">
        <v>231776</v>
      </c>
      <c r="AF58">
        <v>3.9</v>
      </c>
      <c r="AG58">
        <v>204422</v>
      </c>
      <c r="AH58">
        <v>2.8</v>
      </c>
      <c r="AI58">
        <v>282403</v>
      </c>
      <c r="AJ58">
        <v>21</v>
      </c>
      <c r="AK58">
        <v>1305723</v>
      </c>
      <c r="AL58">
        <v>36.729999999999997</v>
      </c>
      <c r="AM58">
        <v>18</v>
      </c>
    </row>
    <row r="59" spans="1:39" x14ac:dyDescent="0.25">
      <c r="A59">
        <v>80</v>
      </c>
      <c r="B59">
        <v>3395295</v>
      </c>
      <c r="C59">
        <v>4593698</v>
      </c>
      <c r="D59">
        <v>5952009</v>
      </c>
      <c r="E59">
        <v>19633789</v>
      </c>
      <c r="F59">
        <v>33574791</v>
      </c>
      <c r="G59">
        <v>29853</v>
      </c>
      <c r="H59">
        <v>4741</v>
      </c>
      <c r="I59">
        <v>1242</v>
      </c>
      <c r="J59">
        <v>35836</v>
      </c>
      <c r="K59">
        <v>2984840</v>
      </c>
      <c r="L59">
        <v>38.229999999999997</v>
      </c>
      <c r="M59">
        <v>397809</v>
      </c>
      <c r="N59">
        <v>9.16</v>
      </c>
      <c r="O59" t="s">
        <v>3178</v>
      </c>
      <c r="P59" t="s">
        <v>3178</v>
      </c>
      <c r="Q59" t="s">
        <v>3178</v>
      </c>
      <c r="R59" t="s">
        <v>3178</v>
      </c>
      <c r="S59">
        <v>311970</v>
      </c>
      <c r="T59">
        <v>9.32</v>
      </c>
      <c r="U59">
        <v>309521</v>
      </c>
      <c r="V59">
        <v>2.2400000000000002</v>
      </c>
      <c r="W59" t="s">
        <v>3178</v>
      </c>
      <c r="X59" t="s">
        <v>3178</v>
      </c>
      <c r="Y59" t="s">
        <v>3178</v>
      </c>
      <c r="Z59" t="s">
        <v>3178</v>
      </c>
      <c r="AA59">
        <v>261629</v>
      </c>
      <c r="AB59">
        <v>4.01</v>
      </c>
      <c r="AC59">
        <v>396019</v>
      </c>
      <c r="AD59">
        <v>4.7699999999999996</v>
      </c>
      <c r="AE59">
        <v>543033</v>
      </c>
      <c r="AF59">
        <v>7.39</v>
      </c>
      <c r="AG59">
        <v>364759</v>
      </c>
      <c r="AH59">
        <v>6.16</v>
      </c>
      <c r="AI59">
        <v>5091925</v>
      </c>
      <c r="AJ59">
        <v>86.55</v>
      </c>
      <c r="AK59">
        <v>10661505</v>
      </c>
      <c r="AL59">
        <v>167.83</v>
      </c>
      <c r="AM59">
        <v>35</v>
      </c>
    </row>
    <row r="60" spans="1:39" x14ac:dyDescent="0.25">
      <c r="A60">
        <v>81</v>
      </c>
      <c r="B60">
        <v>17819561</v>
      </c>
      <c r="C60">
        <v>1711571</v>
      </c>
      <c r="D60">
        <v>3363750</v>
      </c>
      <c r="E60">
        <v>13301715</v>
      </c>
      <c r="F60">
        <v>36196597</v>
      </c>
      <c r="G60">
        <v>53511</v>
      </c>
      <c r="H60">
        <v>1852</v>
      </c>
      <c r="I60">
        <v>221</v>
      </c>
      <c r="J60">
        <v>55584</v>
      </c>
      <c r="K60">
        <v>1557076</v>
      </c>
      <c r="L60">
        <v>21.96</v>
      </c>
      <c r="M60">
        <v>645148</v>
      </c>
      <c r="N60">
        <v>15.79</v>
      </c>
      <c r="O60" t="s">
        <v>3178</v>
      </c>
      <c r="P60" t="s">
        <v>3178</v>
      </c>
      <c r="Q60">
        <v>311146</v>
      </c>
      <c r="R60">
        <v>3.14</v>
      </c>
      <c r="S60">
        <v>62419</v>
      </c>
      <c r="T60">
        <v>2.0099999999999998</v>
      </c>
      <c r="U60" t="s">
        <v>3178</v>
      </c>
      <c r="V60" t="s">
        <v>3178</v>
      </c>
      <c r="W60">
        <v>1700036</v>
      </c>
      <c r="X60">
        <v>4.75</v>
      </c>
      <c r="Y60" t="s">
        <v>3178</v>
      </c>
      <c r="Z60" t="s">
        <v>3178</v>
      </c>
      <c r="AA60">
        <v>59579</v>
      </c>
      <c r="AB60">
        <v>1.03</v>
      </c>
      <c r="AC60">
        <v>280960</v>
      </c>
      <c r="AD60">
        <v>4.24</v>
      </c>
      <c r="AE60">
        <v>299988</v>
      </c>
      <c r="AF60">
        <v>5.33</v>
      </c>
      <c r="AG60">
        <v>269110</v>
      </c>
      <c r="AH60">
        <v>5.26</v>
      </c>
      <c r="AI60">
        <v>3980136</v>
      </c>
      <c r="AJ60">
        <v>74.989999999999995</v>
      </c>
      <c r="AK60">
        <v>9165598</v>
      </c>
      <c r="AL60">
        <v>138.5</v>
      </c>
      <c r="AM60">
        <v>28</v>
      </c>
    </row>
    <row r="61" spans="1:39" x14ac:dyDescent="0.25">
      <c r="A61">
        <v>83</v>
      </c>
      <c r="B61">
        <v>8224143</v>
      </c>
      <c r="C61">
        <v>4396366</v>
      </c>
      <c r="D61">
        <v>12377580</v>
      </c>
      <c r="E61">
        <v>12929479</v>
      </c>
      <c r="F61">
        <v>37927568</v>
      </c>
      <c r="G61">
        <v>20060</v>
      </c>
      <c r="H61">
        <v>5181</v>
      </c>
      <c r="I61">
        <v>2089</v>
      </c>
      <c r="J61">
        <v>27330</v>
      </c>
      <c r="K61">
        <v>2860320</v>
      </c>
      <c r="L61">
        <v>35.909999999999997</v>
      </c>
      <c r="M61">
        <v>125253</v>
      </c>
      <c r="N61">
        <v>2.54</v>
      </c>
      <c r="O61">
        <v>478458</v>
      </c>
      <c r="P61">
        <v>2.25</v>
      </c>
      <c r="Q61" t="s">
        <v>3178</v>
      </c>
      <c r="R61" t="s">
        <v>3178</v>
      </c>
      <c r="S61">
        <v>176174</v>
      </c>
      <c r="T61">
        <v>5</v>
      </c>
      <c r="U61">
        <v>280501</v>
      </c>
      <c r="V61">
        <v>2.27</v>
      </c>
      <c r="W61">
        <v>923065</v>
      </c>
      <c r="X61">
        <v>2.04</v>
      </c>
      <c r="Y61" t="s">
        <v>3178</v>
      </c>
      <c r="Z61" t="s">
        <v>3178</v>
      </c>
      <c r="AA61">
        <v>224936</v>
      </c>
      <c r="AB61">
        <v>3.6</v>
      </c>
      <c r="AC61">
        <v>281872</v>
      </c>
      <c r="AD61">
        <v>3.94</v>
      </c>
      <c r="AE61">
        <v>529228</v>
      </c>
      <c r="AF61">
        <v>8.34</v>
      </c>
      <c r="AG61">
        <v>343013</v>
      </c>
      <c r="AH61">
        <v>6.74</v>
      </c>
      <c r="AI61">
        <v>5568492</v>
      </c>
      <c r="AJ61">
        <v>113.07</v>
      </c>
      <c r="AK61">
        <v>11791312</v>
      </c>
      <c r="AL61">
        <v>185.7</v>
      </c>
      <c r="AM61">
        <v>25</v>
      </c>
    </row>
    <row r="62" spans="1:39" x14ac:dyDescent="0.25">
      <c r="A62">
        <v>84</v>
      </c>
      <c r="B62">
        <v>107000545</v>
      </c>
      <c r="C62">
        <v>83297934</v>
      </c>
      <c r="D62">
        <v>162389545</v>
      </c>
      <c r="E62">
        <v>145921167</v>
      </c>
      <c r="F62">
        <v>498609191</v>
      </c>
      <c r="G62">
        <v>98963</v>
      </c>
      <c r="H62">
        <v>60832</v>
      </c>
      <c r="I62">
        <v>15196</v>
      </c>
      <c r="J62">
        <v>174991</v>
      </c>
      <c r="K62">
        <v>72324967</v>
      </c>
      <c r="L62">
        <v>715.3</v>
      </c>
      <c r="M62">
        <v>68180</v>
      </c>
      <c r="N62">
        <v>1.36</v>
      </c>
      <c r="O62" t="s">
        <v>3178</v>
      </c>
      <c r="P62" t="s">
        <v>3178</v>
      </c>
      <c r="Q62">
        <v>235185</v>
      </c>
      <c r="R62">
        <v>1.98</v>
      </c>
      <c r="S62">
        <v>6732220</v>
      </c>
      <c r="T62">
        <v>147.78</v>
      </c>
      <c r="U62">
        <v>4265837</v>
      </c>
      <c r="V62">
        <v>30.46</v>
      </c>
      <c r="W62">
        <v>16042765</v>
      </c>
      <c r="X62">
        <v>44.11</v>
      </c>
      <c r="Y62">
        <v>99693</v>
      </c>
      <c r="Z62">
        <v>1.04</v>
      </c>
      <c r="AA62">
        <v>1118567</v>
      </c>
      <c r="AB62">
        <v>14.46</v>
      </c>
      <c r="AC62">
        <v>1382194</v>
      </c>
      <c r="AD62">
        <v>17.72</v>
      </c>
      <c r="AE62">
        <v>5644762</v>
      </c>
      <c r="AF62">
        <v>70.86</v>
      </c>
      <c r="AG62">
        <v>3035180</v>
      </c>
      <c r="AH62">
        <v>52.21</v>
      </c>
      <c r="AI62">
        <v>31345810</v>
      </c>
      <c r="AJ62">
        <v>542.72</v>
      </c>
      <c r="AK62">
        <v>142295360</v>
      </c>
      <c r="AL62">
        <v>1640</v>
      </c>
      <c r="AM62">
        <v>271</v>
      </c>
    </row>
    <row r="63" spans="1:39" x14ac:dyDescent="0.25">
      <c r="A63">
        <v>85</v>
      </c>
      <c r="B63">
        <v>75965454</v>
      </c>
      <c r="C63">
        <v>18584572</v>
      </c>
      <c r="D63">
        <v>13458070</v>
      </c>
      <c r="E63">
        <v>54050664</v>
      </c>
      <c r="F63">
        <v>162058760</v>
      </c>
      <c r="G63">
        <v>72741</v>
      </c>
      <c r="H63">
        <v>13310</v>
      </c>
      <c r="I63">
        <v>3183</v>
      </c>
      <c r="J63">
        <v>89234</v>
      </c>
      <c r="K63">
        <v>10221776</v>
      </c>
      <c r="L63">
        <v>122.05</v>
      </c>
      <c r="M63">
        <v>1981162</v>
      </c>
      <c r="N63">
        <v>48.58</v>
      </c>
      <c r="O63">
        <v>1479885</v>
      </c>
      <c r="P63">
        <v>6.99</v>
      </c>
      <c r="Q63">
        <v>1702940</v>
      </c>
      <c r="R63">
        <v>12.7</v>
      </c>
      <c r="S63">
        <v>1408453</v>
      </c>
      <c r="T63">
        <v>43.35</v>
      </c>
      <c r="U63">
        <v>606133</v>
      </c>
      <c r="V63">
        <v>4.92</v>
      </c>
      <c r="W63">
        <v>9586679</v>
      </c>
      <c r="X63">
        <v>27.54</v>
      </c>
      <c r="Y63">
        <v>1285912</v>
      </c>
      <c r="Z63">
        <v>8.9700000000000006</v>
      </c>
      <c r="AA63">
        <v>114889</v>
      </c>
      <c r="AB63">
        <v>1.73</v>
      </c>
      <c r="AC63">
        <v>402355</v>
      </c>
      <c r="AD63">
        <v>5.38</v>
      </c>
      <c r="AE63">
        <v>1298327</v>
      </c>
      <c r="AF63">
        <v>21.92</v>
      </c>
      <c r="AG63">
        <v>662679</v>
      </c>
      <c r="AH63">
        <v>13.36</v>
      </c>
      <c r="AI63">
        <v>19682909</v>
      </c>
      <c r="AJ63">
        <v>382.22</v>
      </c>
      <c r="AK63">
        <v>50434099</v>
      </c>
      <c r="AL63">
        <v>699.71</v>
      </c>
      <c r="AM63">
        <v>175</v>
      </c>
    </row>
    <row r="64" spans="1:39" x14ac:dyDescent="0.25">
      <c r="A64">
        <v>86</v>
      </c>
      <c r="B64">
        <v>265074708</v>
      </c>
      <c r="C64">
        <v>29312090</v>
      </c>
      <c r="D64">
        <v>134650066</v>
      </c>
      <c r="E64" t="s">
        <v>3178</v>
      </c>
      <c r="F64">
        <v>429036864</v>
      </c>
      <c r="G64">
        <v>341556</v>
      </c>
      <c r="H64">
        <v>50593</v>
      </c>
      <c r="I64">
        <v>15611</v>
      </c>
      <c r="J64">
        <v>407760</v>
      </c>
      <c r="K64">
        <v>70640520</v>
      </c>
      <c r="L64">
        <v>773.15</v>
      </c>
      <c r="M64">
        <v>103016</v>
      </c>
      <c r="N64">
        <v>2.4500000000000002</v>
      </c>
      <c r="O64">
        <v>9813103</v>
      </c>
      <c r="P64">
        <v>57.43</v>
      </c>
      <c r="Q64" t="s">
        <v>3178</v>
      </c>
      <c r="R64" t="s">
        <v>3178</v>
      </c>
      <c r="S64">
        <v>11675606</v>
      </c>
      <c r="T64">
        <v>292.97000000000003</v>
      </c>
      <c r="U64">
        <v>5040767</v>
      </c>
      <c r="V64">
        <v>37.26</v>
      </c>
      <c r="W64">
        <v>1569198</v>
      </c>
      <c r="X64">
        <v>11.52</v>
      </c>
      <c r="Y64" t="s">
        <v>3178</v>
      </c>
      <c r="Z64" t="s">
        <v>3178</v>
      </c>
      <c r="AA64">
        <v>1150863</v>
      </c>
      <c r="AB64">
        <v>17.02</v>
      </c>
      <c r="AC64">
        <v>2557246</v>
      </c>
      <c r="AD64">
        <v>34.53</v>
      </c>
      <c r="AE64">
        <v>3231284</v>
      </c>
      <c r="AF64">
        <v>46.13</v>
      </c>
      <c r="AG64">
        <v>4474569</v>
      </c>
      <c r="AH64">
        <v>70.75</v>
      </c>
      <c r="AI64">
        <v>73836088</v>
      </c>
      <c r="AJ64">
        <v>1322.66</v>
      </c>
      <c r="AK64">
        <v>184092260</v>
      </c>
      <c r="AL64">
        <v>2665.87</v>
      </c>
      <c r="AM64">
        <v>426</v>
      </c>
    </row>
    <row r="65" spans="1:39" x14ac:dyDescent="0.25">
      <c r="A65">
        <v>90</v>
      </c>
      <c r="B65">
        <v>228475058</v>
      </c>
      <c r="C65" t="s">
        <v>3178</v>
      </c>
      <c r="D65">
        <v>64518008</v>
      </c>
      <c r="E65">
        <v>266920374</v>
      </c>
      <c r="F65">
        <v>559913440</v>
      </c>
      <c r="G65">
        <v>507855</v>
      </c>
      <c r="H65" t="s">
        <v>3178</v>
      </c>
      <c r="I65">
        <v>7315</v>
      </c>
      <c r="J65">
        <v>515170</v>
      </c>
      <c r="K65">
        <v>23435147</v>
      </c>
      <c r="L65">
        <v>282.07</v>
      </c>
      <c r="M65">
        <v>2315321</v>
      </c>
      <c r="N65">
        <v>44</v>
      </c>
      <c r="O65" t="s">
        <v>3178</v>
      </c>
      <c r="P65" t="s">
        <v>3178</v>
      </c>
      <c r="Q65">
        <v>8319985</v>
      </c>
      <c r="R65">
        <v>78.25</v>
      </c>
      <c r="S65">
        <v>1782444</v>
      </c>
      <c r="T65">
        <v>49.99</v>
      </c>
      <c r="U65">
        <v>1483747</v>
      </c>
      <c r="V65">
        <v>11.37</v>
      </c>
      <c r="W65">
        <v>104023301</v>
      </c>
      <c r="X65">
        <v>276.33</v>
      </c>
      <c r="Y65">
        <v>2726286</v>
      </c>
      <c r="Z65">
        <v>25.98</v>
      </c>
      <c r="AA65">
        <v>796620</v>
      </c>
      <c r="AB65">
        <v>11.28</v>
      </c>
      <c r="AC65">
        <v>1578339</v>
      </c>
      <c r="AD65">
        <v>20.18</v>
      </c>
      <c r="AE65">
        <v>4542802</v>
      </c>
      <c r="AF65">
        <v>72.319999999999993</v>
      </c>
      <c r="AG65">
        <v>1331608</v>
      </c>
      <c r="AH65">
        <v>24.47</v>
      </c>
      <c r="AI65">
        <v>45417151</v>
      </c>
      <c r="AJ65">
        <v>1196.7</v>
      </c>
      <c r="AK65">
        <v>197752751</v>
      </c>
      <c r="AL65">
        <v>2092.94</v>
      </c>
      <c r="AM65">
        <v>165</v>
      </c>
    </row>
    <row r="66" spans="1:39" x14ac:dyDescent="0.25">
      <c r="A66">
        <v>91</v>
      </c>
      <c r="B66">
        <v>32223645</v>
      </c>
      <c r="C66">
        <v>38761747</v>
      </c>
      <c r="D66">
        <v>76802136</v>
      </c>
      <c r="E66">
        <v>249440716</v>
      </c>
      <c r="F66">
        <v>397228244</v>
      </c>
      <c r="G66">
        <v>205400</v>
      </c>
      <c r="H66">
        <v>96206</v>
      </c>
      <c r="I66">
        <v>13492</v>
      </c>
      <c r="J66">
        <v>315098</v>
      </c>
      <c r="K66">
        <v>120470077</v>
      </c>
      <c r="L66">
        <v>1157.6099999999999</v>
      </c>
      <c r="M66" t="s">
        <v>3178</v>
      </c>
      <c r="N66" t="s">
        <v>3178</v>
      </c>
      <c r="O66">
        <v>3832262</v>
      </c>
      <c r="P66">
        <v>20.18</v>
      </c>
      <c r="Q66">
        <v>15572506</v>
      </c>
      <c r="R66">
        <v>117.39</v>
      </c>
      <c r="S66">
        <v>4070799</v>
      </c>
      <c r="T66">
        <v>116.01</v>
      </c>
      <c r="U66">
        <v>6895274</v>
      </c>
      <c r="V66">
        <v>51.52</v>
      </c>
      <c r="W66">
        <v>39966080</v>
      </c>
      <c r="X66">
        <v>128.61000000000001</v>
      </c>
      <c r="Y66">
        <v>919470</v>
      </c>
      <c r="Z66">
        <v>8.01</v>
      </c>
      <c r="AA66">
        <v>1845249</v>
      </c>
      <c r="AB66">
        <v>25.87</v>
      </c>
      <c r="AC66">
        <v>2200147</v>
      </c>
      <c r="AD66">
        <v>27.98</v>
      </c>
      <c r="AE66">
        <v>5044326</v>
      </c>
      <c r="AF66">
        <v>59.53</v>
      </c>
      <c r="AG66">
        <v>5278713</v>
      </c>
      <c r="AH66">
        <v>89.67</v>
      </c>
      <c r="AI66">
        <v>133922552</v>
      </c>
      <c r="AJ66">
        <v>1886.82</v>
      </c>
      <c r="AK66">
        <v>340017455</v>
      </c>
      <c r="AL66">
        <v>3689.2</v>
      </c>
      <c r="AM66">
        <v>279</v>
      </c>
    </row>
    <row r="67" spans="1:39" x14ac:dyDescent="0.25">
      <c r="A67">
        <v>92</v>
      </c>
      <c r="B67">
        <v>5870369</v>
      </c>
      <c r="C67">
        <v>2875919</v>
      </c>
      <c r="D67">
        <v>592926</v>
      </c>
      <c r="E67">
        <v>396599</v>
      </c>
      <c r="F67">
        <v>9735813</v>
      </c>
      <c r="G67">
        <v>12288</v>
      </c>
      <c r="H67">
        <v>1759</v>
      </c>
      <c r="I67">
        <v>212</v>
      </c>
      <c r="J67">
        <v>14259</v>
      </c>
      <c r="K67">
        <v>837859</v>
      </c>
      <c r="L67">
        <v>12.63</v>
      </c>
      <c r="M67">
        <v>9875</v>
      </c>
      <c r="N67">
        <v>0.24</v>
      </c>
      <c r="O67" t="s">
        <v>3178</v>
      </c>
      <c r="P67" t="s">
        <v>3178</v>
      </c>
      <c r="Q67" t="s">
        <v>3178</v>
      </c>
      <c r="R67" t="s">
        <v>3178</v>
      </c>
      <c r="S67">
        <v>17001</v>
      </c>
      <c r="T67">
        <v>0.6</v>
      </c>
      <c r="U67" t="s">
        <v>3178</v>
      </c>
      <c r="V67" t="s">
        <v>3178</v>
      </c>
      <c r="W67" t="s">
        <v>3178</v>
      </c>
      <c r="X67" t="s">
        <v>3178</v>
      </c>
      <c r="Y67" t="s">
        <v>3178</v>
      </c>
      <c r="Z67" t="s">
        <v>3178</v>
      </c>
      <c r="AA67" t="s">
        <v>3178</v>
      </c>
      <c r="AB67" t="s">
        <v>3178</v>
      </c>
      <c r="AC67" t="s">
        <v>3178</v>
      </c>
      <c r="AD67" t="s">
        <v>3178</v>
      </c>
      <c r="AE67">
        <v>169011</v>
      </c>
      <c r="AF67">
        <v>3.33</v>
      </c>
      <c r="AG67">
        <v>230722</v>
      </c>
      <c r="AH67">
        <v>5.07</v>
      </c>
      <c r="AI67">
        <v>776134</v>
      </c>
      <c r="AJ67">
        <v>18.89</v>
      </c>
      <c r="AK67">
        <v>2040602</v>
      </c>
      <c r="AL67">
        <v>40.76</v>
      </c>
      <c r="AM67">
        <v>15</v>
      </c>
    </row>
    <row r="68" spans="1:39" x14ac:dyDescent="0.25">
      <c r="A68">
        <v>94</v>
      </c>
      <c r="B68">
        <v>11771850</v>
      </c>
      <c r="C68">
        <v>10296547</v>
      </c>
      <c r="D68">
        <v>8859041</v>
      </c>
      <c r="E68">
        <v>43481501</v>
      </c>
      <c r="F68">
        <v>74408939</v>
      </c>
      <c r="G68">
        <v>16848</v>
      </c>
      <c r="H68">
        <v>12348</v>
      </c>
      <c r="I68">
        <v>1843</v>
      </c>
      <c r="J68">
        <v>31039</v>
      </c>
      <c r="K68">
        <v>5291400</v>
      </c>
      <c r="L68">
        <v>62.56</v>
      </c>
      <c r="M68">
        <v>126271</v>
      </c>
      <c r="N68">
        <v>2.5</v>
      </c>
      <c r="O68" t="s">
        <v>3178</v>
      </c>
      <c r="P68" t="s">
        <v>3178</v>
      </c>
      <c r="Q68">
        <v>554857</v>
      </c>
      <c r="R68">
        <v>2.99</v>
      </c>
      <c r="S68">
        <v>932733</v>
      </c>
      <c r="T68">
        <v>24.8</v>
      </c>
      <c r="U68">
        <v>607220</v>
      </c>
      <c r="V68">
        <v>4.4000000000000004</v>
      </c>
      <c r="W68">
        <v>3703868</v>
      </c>
      <c r="X68">
        <v>8.77</v>
      </c>
      <c r="Y68" t="s">
        <v>3178</v>
      </c>
      <c r="Z68" t="s">
        <v>3178</v>
      </c>
      <c r="AA68" t="s">
        <v>3178</v>
      </c>
      <c r="AB68" t="s">
        <v>3178</v>
      </c>
      <c r="AC68" t="s">
        <v>3178</v>
      </c>
      <c r="AD68" t="s">
        <v>3178</v>
      </c>
      <c r="AE68">
        <v>602222</v>
      </c>
      <c r="AF68">
        <v>8.1999999999999993</v>
      </c>
      <c r="AG68">
        <v>498381</v>
      </c>
      <c r="AH68">
        <v>10.8</v>
      </c>
      <c r="AI68">
        <v>9482857</v>
      </c>
      <c r="AJ68">
        <v>173.43</v>
      </c>
      <c r="AK68">
        <v>21799809</v>
      </c>
      <c r="AL68">
        <v>298.45</v>
      </c>
      <c r="AM68">
        <v>39</v>
      </c>
    </row>
    <row r="69" spans="1:39" x14ac:dyDescent="0.25">
      <c r="A69">
        <v>98</v>
      </c>
      <c r="B69">
        <v>9581729</v>
      </c>
      <c r="C69">
        <v>4594224</v>
      </c>
      <c r="D69">
        <v>4718461</v>
      </c>
      <c r="E69">
        <v>6705926</v>
      </c>
      <c r="F69">
        <v>25600340</v>
      </c>
      <c r="G69">
        <v>15730</v>
      </c>
      <c r="H69">
        <v>3753</v>
      </c>
      <c r="I69">
        <v>884</v>
      </c>
      <c r="J69">
        <v>20367</v>
      </c>
      <c r="K69">
        <v>3110756</v>
      </c>
      <c r="L69">
        <v>38.83</v>
      </c>
      <c r="M69">
        <v>185825</v>
      </c>
      <c r="N69">
        <v>3.25</v>
      </c>
      <c r="O69" t="s">
        <v>3178</v>
      </c>
      <c r="P69" t="s">
        <v>3178</v>
      </c>
      <c r="Q69">
        <v>41823</v>
      </c>
      <c r="R69">
        <v>0.38</v>
      </c>
      <c r="S69">
        <v>62783</v>
      </c>
      <c r="T69">
        <v>1.9</v>
      </c>
      <c r="U69" t="s">
        <v>3178</v>
      </c>
      <c r="V69" t="s">
        <v>3178</v>
      </c>
      <c r="W69" t="s">
        <v>3178</v>
      </c>
      <c r="X69" t="s">
        <v>3178</v>
      </c>
      <c r="Y69" t="s">
        <v>3178</v>
      </c>
      <c r="Z69" t="s">
        <v>3178</v>
      </c>
      <c r="AA69">
        <v>64305</v>
      </c>
      <c r="AB69">
        <v>0.99</v>
      </c>
      <c r="AC69">
        <v>42846</v>
      </c>
      <c r="AD69">
        <v>0.51</v>
      </c>
      <c r="AE69">
        <v>463539</v>
      </c>
      <c r="AF69">
        <v>5.85</v>
      </c>
      <c r="AG69">
        <v>327408</v>
      </c>
      <c r="AH69">
        <v>4.9800000000000004</v>
      </c>
      <c r="AI69">
        <v>2809859</v>
      </c>
      <c r="AJ69">
        <v>61.21</v>
      </c>
      <c r="AK69">
        <v>7109144</v>
      </c>
      <c r="AL69">
        <v>117.9</v>
      </c>
      <c r="AM69">
        <v>25</v>
      </c>
    </row>
    <row r="70" spans="1:39" x14ac:dyDescent="0.25">
      <c r="A70">
        <v>99</v>
      </c>
      <c r="B70">
        <v>6119516</v>
      </c>
      <c r="C70">
        <v>967517</v>
      </c>
      <c r="D70">
        <v>1819779</v>
      </c>
      <c r="E70">
        <v>7270850</v>
      </c>
      <c r="F70">
        <v>16177662</v>
      </c>
      <c r="G70">
        <v>11163</v>
      </c>
      <c r="H70">
        <v>1566</v>
      </c>
      <c r="I70">
        <v>310</v>
      </c>
      <c r="J70">
        <v>13039</v>
      </c>
      <c r="K70">
        <v>2005128</v>
      </c>
      <c r="L70">
        <v>26.2</v>
      </c>
      <c r="M70">
        <v>191002</v>
      </c>
      <c r="N70">
        <v>4.9400000000000004</v>
      </c>
      <c r="O70">
        <v>183923</v>
      </c>
      <c r="P70">
        <v>1</v>
      </c>
      <c r="Q70">
        <v>2276</v>
      </c>
      <c r="R70">
        <v>0.02</v>
      </c>
      <c r="S70">
        <v>25356</v>
      </c>
      <c r="T70">
        <v>0.92</v>
      </c>
      <c r="U70">
        <v>124424</v>
      </c>
      <c r="V70">
        <v>1.01</v>
      </c>
      <c r="W70">
        <v>863711</v>
      </c>
      <c r="X70">
        <v>2.98</v>
      </c>
      <c r="Y70">
        <v>612599</v>
      </c>
      <c r="Z70">
        <v>4.92</v>
      </c>
      <c r="AA70" t="s">
        <v>3178</v>
      </c>
      <c r="AB70" t="s">
        <v>3178</v>
      </c>
      <c r="AC70" t="s">
        <v>3178</v>
      </c>
      <c r="AD70" t="s">
        <v>3178</v>
      </c>
      <c r="AE70">
        <v>272159</v>
      </c>
      <c r="AF70">
        <v>4.3499999999999996</v>
      </c>
      <c r="AG70">
        <v>284808</v>
      </c>
      <c r="AH70">
        <v>5.61</v>
      </c>
      <c r="AI70">
        <v>2167509</v>
      </c>
      <c r="AJ70">
        <v>48.27</v>
      </c>
      <c r="AK70">
        <v>6732895</v>
      </c>
      <c r="AL70">
        <v>100.22</v>
      </c>
      <c r="AM70">
        <v>25</v>
      </c>
    </row>
    <row r="71" spans="1:39" x14ac:dyDescent="0.25">
      <c r="A71">
        <v>100</v>
      </c>
      <c r="B71">
        <v>158944327</v>
      </c>
      <c r="C71">
        <v>42853257</v>
      </c>
      <c r="D71">
        <v>28760588</v>
      </c>
      <c r="E71">
        <v>121409686</v>
      </c>
      <c r="F71">
        <v>351967858</v>
      </c>
      <c r="G71">
        <v>316349</v>
      </c>
      <c r="H71">
        <v>30754</v>
      </c>
      <c r="I71">
        <v>3945</v>
      </c>
      <c r="J71">
        <v>351048</v>
      </c>
      <c r="K71">
        <v>23440909</v>
      </c>
      <c r="L71">
        <v>297</v>
      </c>
      <c r="M71">
        <v>4834761</v>
      </c>
      <c r="N71">
        <v>114.81</v>
      </c>
      <c r="O71">
        <v>14882</v>
      </c>
      <c r="P71">
        <v>0.09</v>
      </c>
      <c r="Q71">
        <v>5161924</v>
      </c>
      <c r="R71">
        <v>41.14</v>
      </c>
      <c r="S71">
        <v>1715424</v>
      </c>
      <c r="T71">
        <v>46.29</v>
      </c>
      <c r="U71">
        <v>2058706</v>
      </c>
      <c r="V71">
        <v>14.79</v>
      </c>
      <c r="W71">
        <v>29133292</v>
      </c>
      <c r="X71">
        <v>77.209999999999994</v>
      </c>
      <c r="Y71">
        <v>997942</v>
      </c>
      <c r="Z71">
        <v>7.94</v>
      </c>
      <c r="AA71">
        <v>519087</v>
      </c>
      <c r="AB71">
        <v>7.07</v>
      </c>
      <c r="AC71">
        <v>890435</v>
      </c>
      <c r="AD71">
        <v>10.35</v>
      </c>
      <c r="AE71">
        <v>1986410</v>
      </c>
      <c r="AF71">
        <v>32.369999999999997</v>
      </c>
      <c r="AG71">
        <v>236901</v>
      </c>
      <c r="AH71">
        <v>7.38</v>
      </c>
      <c r="AI71">
        <v>48203251</v>
      </c>
      <c r="AJ71">
        <v>634.4</v>
      </c>
      <c r="AK71">
        <v>119193924</v>
      </c>
      <c r="AL71">
        <v>1290.8399999999999</v>
      </c>
      <c r="AM71">
        <v>159</v>
      </c>
    </row>
    <row r="72" spans="1:39" x14ac:dyDescent="0.25">
      <c r="A72">
        <v>102</v>
      </c>
      <c r="B72">
        <v>51850832</v>
      </c>
      <c r="C72">
        <v>12007025</v>
      </c>
      <c r="D72">
        <v>31009382</v>
      </c>
      <c r="E72">
        <v>203968795</v>
      </c>
      <c r="F72">
        <v>298836034</v>
      </c>
      <c r="G72">
        <v>203779</v>
      </c>
      <c r="H72">
        <v>26799</v>
      </c>
      <c r="I72">
        <v>14151</v>
      </c>
      <c r="J72">
        <v>244729</v>
      </c>
      <c r="K72">
        <v>20225854</v>
      </c>
      <c r="L72">
        <v>264.60000000000002</v>
      </c>
      <c r="M72">
        <v>2261823</v>
      </c>
      <c r="N72">
        <v>58.94</v>
      </c>
      <c r="O72" t="s">
        <v>3178</v>
      </c>
      <c r="P72" t="s">
        <v>3178</v>
      </c>
      <c r="Q72" t="s">
        <v>3178</v>
      </c>
      <c r="R72" t="s">
        <v>3178</v>
      </c>
      <c r="S72">
        <v>1947965</v>
      </c>
      <c r="T72">
        <v>55.18</v>
      </c>
      <c r="U72">
        <v>1371051</v>
      </c>
      <c r="V72">
        <v>10.77</v>
      </c>
      <c r="W72">
        <v>30410721</v>
      </c>
      <c r="X72">
        <v>75.959999999999994</v>
      </c>
      <c r="Y72">
        <v>2832458</v>
      </c>
      <c r="Z72">
        <v>19.399999999999999</v>
      </c>
      <c r="AA72">
        <v>346054</v>
      </c>
      <c r="AB72">
        <v>5.0999999999999996</v>
      </c>
      <c r="AC72">
        <v>1394279</v>
      </c>
      <c r="AD72">
        <v>17.510000000000002</v>
      </c>
      <c r="AE72">
        <v>1900461</v>
      </c>
      <c r="AF72">
        <v>29.75</v>
      </c>
      <c r="AG72">
        <v>1216379</v>
      </c>
      <c r="AH72">
        <v>22.06</v>
      </c>
      <c r="AI72">
        <v>23408396</v>
      </c>
      <c r="AJ72">
        <v>393.17</v>
      </c>
      <c r="AK72">
        <v>87315441</v>
      </c>
      <c r="AL72">
        <v>952.44</v>
      </c>
      <c r="AM72">
        <v>118</v>
      </c>
    </row>
    <row r="73" spans="1:39" x14ac:dyDescent="0.25">
      <c r="A73">
        <v>103</v>
      </c>
      <c r="B73">
        <v>104261184</v>
      </c>
      <c r="C73">
        <v>107100160</v>
      </c>
      <c r="D73">
        <v>52447946</v>
      </c>
      <c r="E73">
        <v>222304503</v>
      </c>
      <c r="F73">
        <v>486113793</v>
      </c>
      <c r="G73">
        <v>309581</v>
      </c>
      <c r="H73">
        <v>72652</v>
      </c>
      <c r="I73">
        <v>7653</v>
      </c>
      <c r="J73">
        <v>389886</v>
      </c>
      <c r="K73">
        <v>58572474</v>
      </c>
      <c r="L73">
        <v>853.54</v>
      </c>
      <c r="M73">
        <v>914133</v>
      </c>
      <c r="N73">
        <v>28.99</v>
      </c>
      <c r="O73">
        <v>3167223</v>
      </c>
      <c r="P73">
        <v>28.17</v>
      </c>
      <c r="Q73">
        <v>1799543</v>
      </c>
      <c r="R73">
        <v>24.62</v>
      </c>
      <c r="S73">
        <v>5003478</v>
      </c>
      <c r="T73">
        <v>180.28</v>
      </c>
      <c r="U73">
        <v>3174319</v>
      </c>
      <c r="V73">
        <v>35.979999999999997</v>
      </c>
      <c r="W73">
        <v>42627843</v>
      </c>
      <c r="X73">
        <v>149.91</v>
      </c>
      <c r="Y73">
        <v>4345057</v>
      </c>
      <c r="Z73">
        <v>51.14</v>
      </c>
      <c r="AA73">
        <v>1110286</v>
      </c>
      <c r="AB73">
        <v>23.23</v>
      </c>
      <c r="AC73">
        <v>1186497</v>
      </c>
      <c r="AD73">
        <v>21.73</v>
      </c>
      <c r="AE73">
        <v>4337227</v>
      </c>
      <c r="AF73">
        <v>102.11</v>
      </c>
      <c r="AG73">
        <v>1276379</v>
      </c>
      <c r="AH73">
        <v>32.67</v>
      </c>
      <c r="AI73">
        <v>97956552</v>
      </c>
      <c r="AJ73">
        <v>2362.48</v>
      </c>
      <c r="AK73">
        <v>225471011</v>
      </c>
      <c r="AL73">
        <v>3894.85</v>
      </c>
      <c r="AM73">
        <v>518</v>
      </c>
    </row>
    <row r="74" spans="1:39" x14ac:dyDescent="0.25">
      <c r="A74">
        <v>104</v>
      </c>
      <c r="B74">
        <v>3601589</v>
      </c>
      <c r="C74">
        <v>1224035</v>
      </c>
      <c r="D74">
        <v>3844355</v>
      </c>
      <c r="E74">
        <v>7278684</v>
      </c>
      <c r="F74">
        <v>15948663</v>
      </c>
      <c r="G74">
        <v>17579</v>
      </c>
      <c r="H74">
        <v>1323</v>
      </c>
      <c r="I74">
        <v>735</v>
      </c>
      <c r="J74">
        <v>19637</v>
      </c>
      <c r="K74">
        <v>1312004</v>
      </c>
      <c r="L74">
        <v>17.850000000000001</v>
      </c>
      <c r="M74" t="s">
        <v>3178</v>
      </c>
      <c r="N74" t="s">
        <v>3178</v>
      </c>
      <c r="O74" t="s">
        <v>3178</v>
      </c>
      <c r="P74" t="s">
        <v>3178</v>
      </c>
      <c r="Q74" t="s">
        <v>3178</v>
      </c>
      <c r="R74" t="s">
        <v>3178</v>
      </c>
      <c r="S74">
        <v>75690</v>
      </c>
      <c r="T74">
        <v>2.42</v>
      </c>
      <c r="U74">
        <v>169634</v>
      </c>
      <c r="V74">
        <v>1.32</v>
      </c>
      <c r="W74" t="s">
        <v>3178</v>
      </c>
      <c r="X74" t="s">
        <v>3178</v>
      </c>
      <c r="Y74" t="s">
        <v>3178</v>
      </c>
      <c r="Z74" t="s">
        <v>3178</v>
      </c>
      <c r="AA74">
        <v>58392</v>
      </c>
      <c r="AB74">
        <v>0.88</v>
      </c>
      <c r="AC74">
        <v>132828</v>
      </c>
      <c r="AD74">
        <v>1.66</v>
      </c>
      <c r="AE74">
        <v>349093</v>
      </c>
      <c r="AF74">
        <v>5.53</v>
      </c>
      <c r="AG74">
        <v>265013</v>
      </c>
      <c r="AH74">
        <v>5.0199999999999996</v>
      </c>
      <c r="AI74">
        <v>2440084</v>
      </c>
      <c r="AJ74">
        <v>57.12</v>
      </c>
      <c r="AK74">
        <v>4802738</v>
      </c>
      <c r="AL74">
        <v>91.8</v>
      </c>
      <c r="AM74">
        <v>20</v>
      </c>
    </row>
    <row r="75" spans="1:39" x14ac:dyDescent="0.25">
      <c r="A75">
        <v>105</v>
      </c>
      <c r="B75">
        <v>55859557</v>
      </c>
      <c r="C75">
        <v>24643337</v>
      </c>
      <c r="D75">
        <v>32894177</v>
      </c>
      <c r="E75" t="s">
        <v>3178</v>
      </c>
      <c r="F75">
        <v>113397071</v>
      </c>
      <c r="G75">
        <v>38637</v>
      </c>
      <c r="H75">
        <v>10625</v>
      </c>
      <c r="I75">
        <v>3401</v>
      </c>
      <c r="J75">
        <v>52663</v>
      </c>
      <c r="K75">
        <v>6318678</v>
      </c>
      <c r="L75">
        <v>72.959999999999994</v>
      </c>
      <c r="M75">
        <v>236589</v>
      </c>
      <c r="N75">
        <v>4.9800000000000004</v>
      </c>
      <c r="O75">
        <v>1356444</v>
      </c>
      <c r="P75">
        <v>6.47</v>
      </c>
      <c r="Q75" t="s">
        <v>3178</v>
      </c>
      <c r="R75" t="s">
        <v>3178</v>
      </c>
      <c r="S75">
        <v>351151</v>
      </c>
      <c r="T75">
        <v>10.41</v>
      </c>
      <c r="U75">
        <v>572332</v>
      </c>
      <c r="V75">
        <v>3.83</v>
      </c>
      <c r="W75">
        <v>2410090</v>
      </c>
      <c r="X75">
        <v>6.38</v>
      </c>
      <c r="Y75" t="s">
        <v>3178</v>
      </c>
      <c r="Z75" t="s">
        <v>3178</v>
      </c>
      <c r="AA75">
        <v>370741</v>
      </c>
      <c r="AB75">
        <v>4.84</v>
      </c>
      <c r="AC75">
        <v>1077098</v>
      </c>
      <c r="AD75">
        <v>13.39</v>
      </c>
      <c r="AE75">
        <v>1105659</v>
      </c>
      <c r="AF75">
        <v>16.37</v>
      </c>
      <c r="AG75">
        <v>403663</v>
      </c>
      <c r="AH75">
        <v>7.66</v>
      </c>
      <c r="AI75">
        <v>12389338</v>
      </c>
      <c r="AJ75">
        <v>197.22</v>
      </c>
      <c r="AK75">
        <v>26591783</v>
      </c>
      <c r="AL75">
        <v>344.51</v>
      </c>
      <c r="AM75">
        <v>37</v>
      </c>
    </row>
    <row r="76" spans="1:39" x14ac:dyDescent="0.25">
      <c r="A76">
        <v>106</v>
      </c>
      <c r="B76">
        <v>35146841</v>
      </c>
      <c r="C76">
        <v>5087988</v>
      </c>
      <c r="D76">
        <v>9474617</v>
      </c>
      <c r="E76">
        <v>32037956</v>
      </c>
      <c r="F76">
        <v>81747402</v>
      </c>
      <c r="G76">
        <v>72522</v>
      </c>
      <c r="H76">
        <v>6715</v>
      </c>
      <c r="I76">
        <v>3059</v>
      </c>
      <c r="J76">
        <v>82296</v>
      </c>
      <c r="K76">
        <v>7244643</v>
      </c>
      <c r="L76">
        <v>98.86</v>
      </c>
      <c r="M76">
        <v>1755969</v>
      </c>
      <c r="N76">
        <v>40.71</v>
      </c>
      <c r="O76">
        <v>206932</v>
      </c>
      <c r="P76">
        <v>1</v>
      </c>
      <c r="Q76">
        <v>766693</v>
      </c>
      <c r="R76">
        <v>5.23</v>
      </c>
      <c r="S76">
        <v>290901</v>
      </c>
      <c r="T76">
        <v>8.6300000000000008</v>
      </c>
      <c r="U76">
        <v>442456</v>
      </c>
      <c r="V76">
        <v>3.32</v>
      </c>
      <c r="W76">
        <v>7161391</v>
      </c>
      <c r="X76">
        <v>24.4</v>
      </c>
      <c r="Y76">
        <v>12903</v>
      </c>
      <c r="Z76">
        <v>0.08</v>
      </c>
      <c r="AA76">
        <v>119068</v>
      </c>
      <c r="AB76">
        <v>1.64</v>
      </c>
      <c r="AC76">
        <v>437597</v>
      </c>
      <c r="AD76">
        <v>6.05</v>
      </c>
      <c r="AE76">
        <v>966913</v>
      </c>
      <c r="AF76">
        <v>16.39</v>
      </c>
      <c r="AG76">
        <v>1077920</v>
      </c>
      <c r="AH76">
        <v>22.81</v>
      </c>
      <c r="AI76">
        <v>7953475</v>
      </c>
      <c r="AJ76">
        <v>185.39</v>
      </c>
      <c r="AK76">
        <v>28436861</v>
      </c>
      <c r="AL76">
        <v>414.51</v>
      </c>
      <c r="AM76">
        <v>36</v>
      </c>
    </row>
    <row r="77" spans="1:39" x14ac:dyDescent="0.25">
      <c r="A77">
        <v>107</v>
      </c>
      <c r="B77">
        <v>179057482</v>
      </c>
      <c r="C77">
        <v>40958841</v>
      </c>
      <c r="D77">
        <v>37409596</v>
      </c>
      <c r="E77">
        <v>21741530</v>
      </c>
      <c r="F77">
        <v>279167449</v>
      </c>
      <c r="G77">
        <v>379548</v>
      </c>
      <c r="H77">
        <v>25026</v>
      </c>
      <c r="I77">
        <v>3287</v>
      </c>
      <c r="J77">
        <v>407861</v>
      </c>
      <c r="K77">
        <v>13498385</v>
      </c>
      <c r="L77">
        <v>157.02000000000001</v>
      </c>
      <c r="M77">
        <v>2985073</v>
      </c>
      <c r="N77">
        <v>65.239999999999995</v>
      </c>
      <c r="O77">
        <v>1266058</v>
      </c>
      <c r="P77">
        <v>6.86</v>
      </c>
      <c r="Q77">
        <v>1914507</v>
      </c>
      <c r="R77">
        <v>16.010000000000002</v>
      </c>
      <c r="S77">
        <v>1552252</v>
      </c>
      <c r="T77">
        <v>40.33</v>
      </c>
      <c r="U77">
        <v>1019030</v>
      </c>
      <c r="V77">
        <v>7.81</v>
      </c>
      <c r="W77">
        <v>31156137</v>
      </c>
      <c r="X77">
        <v>87.42</v>
      </c>
      <c r="Y77">
        <v>1646633</v>
      </c>
      <c r="Z77">
        <v>12.77</v>
      </c>
      <c r="AA77">
        <v>276032</v>
      </c>
      <c r="AB77">
        <v>3.65</v>
      </c>
      <c r="AC77">
        <v>783265</v>
      </c>
      <c r="AD77">
        <v>9.25</v>
      </c>
      <c r="AE77">
        <v>2083259</v>
      </c>
      <c r="AF77">
        <v>30.97</v>
      </c>
      <c r="AG77">
        <v>2053241</v>
      </c>
      <c r="AH77">
        <v>40</v>
      </c>
      <c r="AI77">
        <v>25413252</v>
      </c>
      <c r="AJ77">
        <v>449.89</v>
      </c>
      <c r="AK77">
        <v>85647124</v>
      </c>
      <c r="AL77">
        <v>927.22</v>
      </c>
      <c r="AM77">
        <v>61</v>
      </c>
    </row>
    <row r="78" spans="1:39" x14ac:dyDescent="0.25">
      <c r="A78">
        <v>108</v>
      </c>
      <c r="B78">
        <v>12574827</v>
      </c>
      <c r="C78">
        <v>910060</v>
      </c>
      <c r="D78">
        <v>2433030</v>
      </c>
      <c r="E78">
        <v>6889545</v>
      </c>
      <c r="F78">
        <v>22807462</v>
      </c>
      <c r="G78">
        <v>33666</v>
      </c>
      <c r="H78">
        <v>1529</v>
      </c>
      <c r="I78">
        <v>681</v>
      </c>
      <c r="J78">
        <v>35876</v>
      </c>
      <c r="K78">
        <v>1977136</v>
      </c>
      <c r="L78">
        <v>29.49</v>
      </c>
      <c r="M78">
        <v>167413</v>
      </c>
      <c r="N78">
        <v>3.31</v>
      </c>
      <c r="O78" t="s">
        <v>3178</v>
      </c>
      <c r="P78" t="s">
        <v>3178</v>
      </c>
      <c r="Q78" t="s">
        <v>3178</v>
      </c>
      <c r="R78" t="s">
        <v>3178</v>
      </c>
      <c r="S78">
        <v>55593</v>
      </c>
      <c r="T78">
        <v>1.68</v>
      </c>
      <c r="U78">
        <v>136655</v>
      </c>
      <c r="V78">
        <v>0.83</v>
      </c>
      <c r="W78" t="s">
        <v>3178</v>
      </c>
      <c r="X78" t="s">
        <v>3178</v>
      </c>
      <c r="Y78" t="s">
        <v>3178</v>
      </c>
      <c r="Z78" t="s">
        <v>3178</v>
      </c>
      <c r="AA78" t="s">
        <v>3178</v>
      </c>
      <c r="AB78" t="s">
        <v>3178</v>
      </c>
      <c r="AC78" t="s">
        <v>3178</v>
      </c>
      <c r="AD78" t="s">
        <v>3178</v>
      </c>
      <c r="AE78">
        <v>279959</v>
      </c>
      <c r="AF78">
        <v>4.29</v>
      </c>
      <c r="AG78">
        <v>323221</v>
      </c>
      <c r="AH78">
        <v>6.07</v>
      </c>
      <c r="AI78">
        <v>2754144</v>
      </c>
      <c r="AJ78">
        <v>67.319999999999993</v>
      </c>
      <c r="AK78">
        <v>5694121</v>
      </c>
      <c r="AL78">
        <v>112.99</v>
      </c>
      <c r="AM78">
        <v>25</v>
      </c>
    </row>
    <row r="79" spans="1:39" x14ac:dyDescent="0.25">
      <c r="A79">
        <v>110</v>
      </c>
      <c r="B79">
        <v>14199788</v>
      </c>
      <c r="C79">
        <v>3291590</v>
      </c>
      <c r="D79">
        <v>2329257</v>
      </c>
      <c r="E79">
        <v>21391380</v>
      </c>
      <c r="F79">
        <v>41212015</v>
      </c>
      <c r="G79">
        <v>29634</v>
      </c>
      <c r="H79">
        <v>3455</v>
      </c>
      <c r="I79">
        <v>337</v>
      </c>
      <c r="J79">
        <v>33426</v>
      </c>
      <c r="K79">
        <v>2756739</v>
      </c>
      <c r="L79">
        <v>36.799999999999997</v>
      </c>
      <c r="M79">
        <v>431562</v>
      </c>
      <c r="N79">
        <v>9.6999999999999993</v>
      </c>
      <c r="O79" t="s">
        <v>3178</v>
      </c>
      <c r="P79" t="s">
        <v>3178</v>
      </c>
      <c r="Q79">
        <v>213744</v>
      </c>
      <c r="R79">
        <v>1.9</v>
      </c>
      <c r="S79">
        <v>89296</v>
      </c>
      <c r="T79">
        <v>3.4</v>
      </c>
      <c r="U79">
        <v>444798</v>
      </c>
      <c r="V79">
        <v>3</v>
      </c>
      <c r="W79">
        <v>3136464</v>
      </c>
      <c r="X79">
        <v>11</v>
      </c>
      <c r="Y79">
        <v>375695</v>
      </c>
      <c r="Z79">
        <v>3.5</v>
      </c>
      <c r="AA79">
        <v>127313</v>
      </c>
      <c r="AB79">
        <v>1.8</v>
      </c>
      <c r="AC79">
        <v>441124</v>
      </c>
      <c r="AD79">
        <v>4.9000000000000004</v>
      </c>
      <c r="AE79">
        <v>524728</v>
      </c>
      <c r="AF79">
        <v>7.4</v>
      </c>
      <c r="AG79">
        <v>437567</v>
      </c>
      <c r="AH79">
        <v>8.3000000000000007</v>
      </c>
      <c r="AI79">
        <v>4822305</v>
      </c>
      <c r="AJ79">
        <v>106.7</v>
      </c>
      <c r="AK79">
        <v>13801335</v>
      </c>
      <c r="AL79">
        <v>198.4</v>
      </c>
      <c r="AM79">
        <v>30</v>
      </c>
    </row>
    <row r="80" spans="1:39" x14ac:dyDescent="0.25">
      <c r="A80">
        <v>112</v>
      </c>
      <c r="B80">
        <v>26642404</v>
      </c>
      <c r="C80">
        <v>5113945</v>
      </c>
      <c r="D80">
        <v>5235746</v>
      </c>
      <c r="E80">
        <v>10124657</v>
      </c>
      <c r="F80">
        <v>47116752</v>
      </c>
      <c r="G80">
        <v>72171</v>
      </c>
      <c r="H80">
        <v>6563</v>
      </c>
      <c r="I80">
        <v>1409</v>
      </c>
      <c r="J80">
        <v>80143</v>
      </c>
      <c r="K80">
        <v>2905908</v>
      </c>
      <c r="L80">
        <v>36.15</v>
      </c>
      <c r="M80" t="s">
        <v>3178</v>
      </c>
      <c r="N80" t="s">
        <v>3178</v>
      </c>
      <c r="O80">
        <v>407708</v>
      </c>
      <c r="P80">
        <v>2</v>
      </c>
      <c r="Q80" t="s">
        <v>3178</v>
      </c>
      <c r="R80" t="s">
        <v>3178</v>
      </c>
      <c r="S80">
        <v>142354</v>
      </c>
      <c r="T80">
        <v>4.5</v>
      </c>
      <c r="U80" t="s">
        <v>3178</v>
      </c>
      <c r="V80" t="s">
        <v>3178</v>
      </c>
      <c r="W80" t="s">
        <v>3178</v>
      </c>
      <c r="X80" t="s">
        <v>3178</v>
      </c>
      <c r="Y80" t="s">
        <v>3178</v>
      </c>
      <c r="Z80" t="s">
        <v>3178</v>
      </c>
      <c r="AA80">
        <v>291537</v>
      </c>
      <c r="AB80">
        <v>4.0999999999999996</v>
      </c>
      <c r="AC80">
        <v>385088</v>
      </c>
      <c r="AD80">
        <v>5.8</v>
      </c>
      <c r="AE80">
        <v>593867</v>
      </c>
      <c r="AF80">
        <v>9.0299999999999994</v>
      </c>
      <c r="AG80">
        <v>484561</v>
      </c>
      <c r="AH80">
        <v>11.09</v>
      </c>
      <c r="AI80">
        <v>5994236</v>
      </c>
      <c r="AJ80">
        <v>108.09</v>
      </c>
      <c r="AK80">
        <v>11205259</v>
      </c>
      <c r="AL80">
        <v>180.76</v>
      </c>
      <c r="AM80">
        <v>25</v>
      </c>
    </row>
    <row r="81" spans="1:39" x14ac:dyDescent="0.25">
      <c r="A81">
        <v>113</v>
      </c>
      <c r="B81">
        <v>8296700</v>
      </c>
      <c r="C81">
        <v>1747664</v>
      </c>
      <c r="D81">
        <v>2872376</v>
      </c>
      <c r="E81">
        <v>14738865</v>
      </c>
      <c r="F81">
        <v>27655605</v>
      </c>
      <c r="G81">
        <v>29605</v>
      </c>
      <c r="H81">
        <v>2512</v>
      </c>
      <c r="I81">
        <v>697</v>
      </c>
      <c r="J81">
        <v>32814</v>
      </c>
      <c r="K81">
        <v>1780963</v>
      </c>
      <c r="L81">
        <v>26.47</v>
      </c>
      <c r="M81">
        <v>428036</v>
      </c>
      <c r="N81">
        <v>11.74</v>
      </c>
      <c r="O81">
        <v>101576</v>
      </c>
      <c r="P81">
        <v>0.56000000000000005</v>
      </c>
      <c r="Q81" t="s">
        <v>3178</v>
      </c>
      <c r="R81" t="s">
        <v>3178</v>
      </c>
      <c r="S81">
        <v>18203</v>
      </c>
      <c r="T81">
        <v>0.74</v>
      </c>
      <c r="U81">
        <v>126199</v>
      </c>
      <c r="V81">
        <v>1.01</v>
      </c>
      <c r="W81" t="s">
        <v>3178</v>
      </c>
      <c r="X81" t="s">
        <v>3178</v>
      </c>
      <c r="Y81" t="s">
        <v>3178</v>
      </c>
      <c r="Z81" t="s">
        <v>3178</v>
      </c>
      <c r="AA81">
        <v>127250</v>
      </c>
      <c r="AB81">
        <v>1.68</v>
      </c>
      <c r="AC81">
        <v>267488</v>
      </c>
      <c r="AD81">
        <v>3.71</v>
      </c>
      <c r="AE81">
        <v>278779</v>
      </c>
      <c r="AF81">
        <v>5.32</v>
      </c>
      <c r="AG81">
        <v>394708</v>
      </c>
      <c r="AH81">
        <v>7.57</v>
      </c>
      <c r="AI81">
        <v>4366049</v>
      </c>
      <c r="AJ81">
        <v>108.55</v>
      </c>
      <c r="AK81">
        <v>7889251</v>
      </c>
      <c r="AL81">
        <v>167.35</v>
      </c>
      <c r="AM81">
        <v>44</v>
      </c>
    </row>
    <row r="82" spans="1:39" x14ac:dyDescent="0.25">
      <c r="A82">
        <v>114</v>
      </c>
      <c r="B82">
        <v>5135493</v>
      </c>
      <c r="C82">
        <v>6154397</v>
      </c>
      <c r="D82">
        <v>2266224</v>
      </c>
      <c r="E82">
        <v>22927828</v>
      </c>
      <c r="F82">
        <v>36483942</v>
      </c>
      <c r="G82">
        <v>24476</v>
      </c>
      <c r="H82">
        <v>5924</v>
      </c>
      <c r="I82">
        <v>374</v>
      </c>
      <c r="J82">
        <v>30774</v>
      </c>
      <c r="K82">
        <v>4500437</v>
      </c>
      <c r="L82">
        <v>52.02</v>
      </c>
      <c r="M82">
        <v>222575</v>
      </c>
      <c r="N82">
        <v>4.51</v>
      </c>
      <c r="O82">
        <v>681806</v>
      </c>
      <c r="P82">
        <v>3.13</v>
      </c>
      <c r="Q82" t="s">
        <v>3178</v>
      </c>
      <c r="R82" t="s">
        <v>3178</v>
      </c>
      <c r="S82">
        <v>142677</v>
      </c>
      <c r="T82">
        <v>4.43</v>
      </c>
      <c r="U82">
        <v>230818</v>
      </c>
      <c r="V82">
        <v>1.69</v>
      </c>
      <c r="W82">
        <v>2095869</v>
      </c>
      <c r="X82">
        <v>5.71</v>
      </c>
      <c r="Y82">
        <v>38169</v>
      </c>
      <c r="Z82">
        <v>0.76</v>
      </c>
      <c r="AA82">
        <v>102674</v>
      </c>
      <c r="AB82">
        <v>1.36</v>
      </c>
      <c r="AC82">
        <v>407370</v>
      </c>
      <c r="AD82">
        <v>5.18</v>
      </c>
      <c r="AE82">
        <v>702787</v>
      </c>
      <c r="AF82">
        <v>10.48</v>
      </c>
      <c r="AG82">
        <v>553812</v>
      </c>
      <c r="AH82">
        <v>9.26</v>
      </c>
      <c r="AI82">
        <v>2856420</v>
      </c>
      <c r="AJ82">
        <v>58.98</v>
      </c>
      <c r="AK82">
        <v>12535414</v>
      </c>
      <c r="AL82">
        <v>157.51</v>
      </c>
      <c r="AM82">
        <v>49</v>
      </c>
    </row>
    <row r="83" spans="1:39" x14ac:dyDescent="0.25">
      <c r="A83">
        <v>115</v>
      </c>
      <c r="B83">
        <v>25597007</v>
      </c>
      <c r="C83">
        <v>10919267</v>
      </c>
      <c r="D83">
        <v>20950851</v>
      </c>
      <c r="E83">
        <v>17918757</v>
      </c>
      <c r="F83">
        <v>75385882</v>
      </c>
      <c r="G83">
        <v>17402</v>
      </c>
      <c r="H83">
        <v>9692</v>
      </c>
      <c r="I83">
        <v>3748</v>
      </c>
      <c r="J83">
        <v>30842</v>
      </c>
      <c r="K83">
        <v>6164805</v>
      </c>
      <c r="L83">
        <v>64.069999999999993</v>
      </c>
      <c r="M83">
        <v>89415</v>
      </c>
      <c r="N83">
        <v>1.78</v>
      </c>
      <c r="O83" t="s">
        <v>3178</v>
      </c>
      <c r="P83" t="s">
        <v>3178</v>
      </c>
      <c r="Q83" t="s">
        <v>3178</v>
      </c>
      <c r="R83" t="s">
        <v>3178</v>
      </c>
      <c r="S83">
        <v>40391</v>
      </c>
      <c r="T83">
        <v>1.1200000000000001</v>
      </c>
      <c r="U83">
        <v>730764</v>
      </c>
      <c r="V83">
        <v>5.34</v>
      </c>
      <c r="W83">
        <v>1476104</v>
      </c>
      <c r="X83">
        <v>3.98</v>
      </c>
      <c r="Y83" t="s">
        <v>3178</v>
      </c>
      <c r="Z83" t="s">
        <v>3178</v>
      </c>
      <c r="AA83">
        <v>129778</v>
      </c>
      <c r="AB83">
        <v>1.76</v>
      </c>
      <c r="AC83">
        <v>606759</v>
      </c>
      <c r="AD83">
        <v>7.65</v>
      </c>
      <c r="AE83">
        <v>1180543</v>
      </c>
      <c r="AF83">
        <v>16.5</v>
      </c>
      <c r="AG83">
        <v>653386</v>
      </c>
      <c r="AH83">
        <v>11.2</v>
      </c>
      <c r="AI83">
        <v>6346625</v>
      </c>
      <c r="AJ83">
        <v>119.24</v>
      </c>
      <c r="AK83">
        <v>17418570</v>
      </c>
      <c r="AL83">
        <v>232.64</v>
      </c>
      <c r="AM83">
        <v>57</v>
      </c>
    </row>
    <row r="84" spans="1:39" x14ac:dyDescent="0.25">
      <c r="A84">
        <v>116</v>
      </c>
      <c r="B84">
        <v>13982205</v>
      </c>
      <c r="C84">
        <v>1603750</v>
      </c>
      <c r="D84">
        <v>4285779</v>
      </c>
      <c r="E84">
        <v>8739181</v>
      </c>
      <c r="F84">
        <v>28610915</v>
      </c>
      <c r="G84">
        <v>36401</v>
      </c>
      <c r="H84">
        <v>2756</v>
      </c>
      <c r="I84">
        <v>1028</v>
      </c>
      <c r="J84">
        <v>40185</v>
      </c>
      <c r="K84">
        <v>2070994</v>
      </c>
      <c r="L84">
        <v>34</v>
      </c>
      <c r="M84">
        <v>403184</v>
      </c>
      <c r="N84">
        <v>11</v>
      </c>
      <c r="O84">
        <v>280369</v>
      </c>
      <c r="P84">
        <v>1</v>
      </c>
      <c r="Q84">
        <v>99883</v>
      </c>
      <c r="R84">
        <v>1</v>
      </c>
      <c r="S84">
        <v>25163</v>
      </c>
      <c r="T84">
        <v>0.9</v>
      </c>
      <c r="U84" t="s">
        <v>3178</v>
      </c>
      <c r="V84" t="s">
        <v>3178</v>
      </c>
      <c r="W84">
        <v>2183911</v>
      </c>
      <c r="X84">
        <v>8</v>
      </c>
      <c r="Y84">
        <v>668558</v>
      </c>
      <c r="Z84">
        <v>6</v>
      </c>
      <c r="AA84" t="s">
        <v>3178</v>
      </c>
      <c r="AB84" t="s">
        <v>3178</v>
      </c>
      <c r="AC84" t="s">
        <v>3178</v>
      </c>
      <c r="AD84" t="s">
        <v>3178</v>
      </c>
      <c r="AE84">
        <v>364594</v>
      </c>
      <c r="AF84">
        <v>7</v>
      </c>
      <c r="AG84">
        <v>304144</v>
      </c>
      <c r="AH84">
        <v>7</v>
      </c>
      <c r="AI84">
        <v>3066729</v>
      </c>
      <c r="AJ84">
        <v>69</v>
      </c>
      <c r="AK84">
        <v>9467529</v>
      </c>
      <c r="AL84">
        <v>144.9</v>
      </c>
      <c r="AM84">
        <v>35</v>
      </c>
    </row>
    <row r="85" spans="1:39" x14ac:dyDescent="0.25">
      <c r="A85">
        <v>117</v>
      </c>
      <c r="B85">
        <v>29057194</v>
      </c>
      <c r="C85">
        <v>17186434</v>
      </c>
      <c r="D85">
        <v>12229085</v>
      </c>
      <c r="E85">
        <v>25256435</v>
      </c>
      <c r="F85">
        <v>83729148</v>
      </c>
      <c r="G85">
        <v>18982</v>
      </c>
      <c r="H85">
        <v>13284</v>
      </c>
      <c r="I85">
        <v>1938</v>
      </c>
      <c r="J85">
        <v>34204</v>
      </c>
      <c r="K85">
        <v>5880261</v>
      </c>
      <c r="L85">
        <v>68.790000000000006</v>
      </c>
      <c r="M85">
        <v>40731</v>
      </c>
      <c r="N85">
        <v>0.8</v>
      </c>
      <c r="O85">
        <v>956337</v>
      </c>
      <c r="P85">
        <v>4.24</v>
      </c>
      <c r="Q85">
        <v>118757</v>
      </c>
      <c r="R85">
        <v>0.95</v>
      </c>
      <c r="S85">
        <v>105839</v>
      </c>
      <c r="T85">
        <v>2.82</v>
      </c>
      <c r="U85">
        <v>577834</v>
      </c>
      <c r="V85">
        <v>4.3</v>
      </c>
      <c r="W85">
        <v>55147</v>
      </c>
      <c r="X85">
        <v>0.21</v>
      </c>
      <c r="Y85" t="s">
        <v>3178</v>
      </c>
      <c r="Z85" t="s">
        <v>3178</v>
      </c>
      <c r="AA85" t="s">
        <v>3178</v>
      </c>
      <c r="AB85" t="s">
        <v>3178</v>
      </c>
      <c r="AC85" t="s">
        <v>3178</v>
      </c>
      <c r="AD85" t="s">
        <v>3178</v>
      </c>
      <c r="AE85">
        <v>898784</v>
      </c>
      <c r="AF85">
        <v>12.31</v>
      </c>
      <c r="AG85">
        <v>603288</v>
      </c>
      <c r="AH85">
        <v>10.33</v>
      </c>
      <c r="AI85">
        <v>7118634</v>
      </c>
      <c r="AJ85">
        <v>124.25</v>
      </c>
      <c r="AK85">
        <v>16355612</v>
      </c>
      <c r="AL85">
        <v>229</v>
      </c>
      <c r="AM85">
        <v>49</v>
      </c>
    </row>
    <row r="86" spans="1:39" x14ac:dyDescent="0.25">
      <c r="A86">
        <v>118</v>
      </c>
      <c r="B86">
        <v>4597666</v>
      </c>
      <c r="C86">
        <v>9019378</v>
      </c>
      <c r="D86">
        <v>20510535</v>
      </c>
      <c r="E86">
        <v>30111030</v>
      </c>
      <c r="F86">
        <v>64238609</v>
      </c>
      <c r="G86">
        <v>15113</v>
      </c>
      <c r="H86">
        <v>13755</v>
      </c>
      <c r="I86">
        <v>2396</v>
      </c>
      <c r="J86">
        <v>31264</v>
      </c>
      <c r="K86">
        <v>10405956</v>
      </c>
      <c r="L86">
        <v>127.1</v>
      </c>
      <c r="M86">
        <v>248002</v>
      </c>
      <c r="N86">
        <v>4.71</v>
      </c>
      <c r="O86" t="s">
        <v>3178</v>
      </c>
      <c r="P86" t="s">
        <v>3178</v>
      </c>
      <c r="Q86">
        <v>279294</v>
      </c>
      <c r="R86">
        <v>2.33</v>
      </c>
      <c r="S86">
        <v>1100986</v>
      </c>
      <c r="T86">
        <v>33.11</v>
      </c>
      <c r="U86">
        <v>1159751</v>
      </c>
      <c r="V86">
        <v>8.3800000000000008</v>
      </c>
      <c r="W86">
        <v>2302517</v>
      </c>
      <c r="X86">
        <v>6.68</v>
      </c>
      <c r="Y86" t="s">
        <v>3178</v>
      </c>
      <c r="Z86" t="s">
        <v>3178</v>
      </c>
      <c r="AA86">
        <v>253430</v>
      </c>
      <c r="AB86">
        <v>3.84</v>
      </c>
      <c r="AC86">
        <v>605813</v>
      </c>
      <c r="AD86">
        <v>7.78</v>
      </c>
      <c r="AE86" t="s">
        <v>3178</v>
      </c>
      <c r="AF86" t="s">
        <v>3178</v>
      </c>
      <c r="AG86">
        <v>1858459</v>
      </c>
      <c r="AH86">
        <v>31.66</v>
      </c>
      <c r="AI86">
        <v>14372984</v>
      </c>
      <c r="AJ86">
        <v>293.08999999999997</v>
      </c>
      <c r="AK86">
        <v>32587192</v>
      </c>
      <c r="AL86">
        <v>518.67999999999995</v>
      </c>
      <c r="AM86">
        <v>136</v>
      </c>
    </row>
    <row r="87" spans="1:39" x14ac:dyDescent="0.25">
      <c r="A87">
        <v>119</v>
      </c>
      <c r="B87">
        <v>17141405</v>
      </c>
      <c r="C87">
        <v>4094372</v>
      </c>
      <c r="D87">
        <v>11608885</v>
      </c>
      <c r="E87">
        <v>11963338</v>
      </c>
      <c r="F87">
        <v>44808000</v>
      </c>
      <c r="G87">
        <v>36575</v>
      </c>
      <c r="H87">
        <v>6312</v>
      </c>
      <c r="I87">
        <v>401</v>
      </c>
      <c r="J87">
        <v>43288</v>
      </c>
      <c r="K87">
        <v>2515446</v>
      </c>
      <c r="L87">
        <v>64.64</v>
      </c>
      <c r="M87">
        <v>395677</v>
      </c>
      <c r="N87">
        <v>14.42</v>
      </c>
      <c r="O87">
        <v>426368</v>
      </c>
      <c r="P87">
        <v>2</v>
      </c>
      <c r="Q87">
        <v>189266</v>
      </c>
      <c r="R87">
        <v>1.58</v>
      </c>
      <c r="S87">
        <v>109253</v>
      </c>
      <c r="T87">
        <v>6.24</v>
      </c>
      <c r="U87">
        <v>246778</v>
      </c>
      <c r="V87">
        <v>3.36</v>
      </c>
      <c r="W87">
        <v>481625</v>
      </c>
      <c r="X87">
        <v>1.62</v>
      </c>
      <c r="Y87" t="s">
        <v>3178</v>
      </c>
      <c r="Z87" t="s">
        <v>3178</v>
      </c>
      <c r="AA87">
        <v>246916</v>
      </c>
      <c r="AB87">
        <v>5.39</v>
      </c>
      <c r="AC87">
        <v>364583</v>
      </c>
      <c r="AD87">
        <v>6.78</v>
      </c>
      <c r="AE87">
        <v>761760</v>
      </c>
      <c r="AF87">
        <v>18.28</v>
      </c>
      <c r="AG87">
        <v>429582</v>
      </c>
      <c r="AH87">
        <v>12.09</v>
      </c>
      <c r="AI87">
        <v>6783630</v>
      </c>
      <c r="AJ87">
        <v>155.69999999999999</v>
      </c>
      <c r="AK87">
        <v>12950884</v>
      </c>
      <c r="AL87">
        <v>292.10000000000002</v>
      </c>
      <c r="AM87">
        <v>49</v>
      </c>
    </row>
    <row r="88" spans="1:39" x14ac:dyDescent="0.25">
      <c r="A88">
        <v>121</v>
      </c>
      <c r="B88">
        <v>6607756</v>
      </c>
      <c r="C88">
        <v>2822251</v>
      </c>
      <c r="D88">
        <v>2701361</v>
      </c>
      <c r="E88">
        <v>26538603</v>
      </c>
      <c r="F88">
        <v>38669971</v>
      </c>
      <c r="G88">
        <v>30246</v>
      </c>
      <c r="H88">
        <v>9349</v>
      </c>
      <c r="I88">
        <v>1041</v>
      </c>
      <c r="J88">
        <v>40636</v>
      </c>
      <c r="K88">
        <v>3193806</v>
      </c>
      <c r="L88">
        <v>42.29</v>
      </c>
      <c r="M88">
        <v>547988</v>
      </c>
      <c r="N88">
        <v>10.71</v>
      </c>
      <c r="O88" t="s">
        <v>3178</v>
      </c>
      <c r="P88" t="s">
        <v>3178</v>
      </c>
      <c r="Q88" t="s">
        <v>3178</v>
      </c>
      <c r="R88" t="s">
        <v>3178</v>
      </c>
      <c r="S88">
        <v>83073</v>
      </c>
      <c r="T88">
        <v>2.0699999999999998</v>
      </c>
      <c r="U88">
        <v>298424</v>
      </c>
      <c r="V88">
        <v>2.0699999999999998</v>
      </c>
      <c r="W88" t="s">
        <v>3178</v>
      </c>
      <c r="X88" t="s">
        <v>3178</v>
      </c>
      <c r="Y88" t="s">
        <v>3178</v>
      </c>
      <c r="Z88" t="s">
        <v>3178</v>
      </c>
      <c r="AA88">
        <v>274259</v>
      </c>
      <c r="AB88">
        <v>4.45</v>
      </c>
      <c r="AC88">
        <v>523621</v>
      </c>
      <c r="AD88">
        <v>6.79</v>
      </c>
      <c r="AE88">
        <v>605332</v>
      </c>
      <c r="AF88">
        <v>8.31</v>
      </c>
      <c r="AG88">
        <v>748173</v>
      </c>
      <c r="AH88">
        <v>12.45</v>
      </c>
      <c r="AI88">
        <v>4311429</v>
      </c>
      <c r="AJ88">
        <v>80.819999999999993</v>
      </c>
      <c r="AK88">
        <v>10586105</v>
      </c>
      <c r="AL88">
        <v>169.96</v>
      </c>
      <c r="AM88">
        <v>25</v>
      </c>
    </row>
    <row r="89" spans="1:39" x14ac:dyDescent="0.25">
      <c r="A89">
        <v>124</v>
      </c>
      <c r="B89">
        <v>6810751</v>
      </c>
      <c r="C89">
        <v>4465503</v>
      </c>
      <c r="D89">
        <v>1023119</v>
      </c>
      <c r="E89">
        <v>4925155</v>
      </c>
      <c r="F89">
        <v>17224528</v>
      </c>
      <c r="G89">
        <v>8885</v>
      </c>
      <c r="H89">
        <v>3517</v>
      </c>
      <c r="I89">
        <v>337</v>
      </c>
      <c r="J89">
        <v>12739</v>
      </c>
      <c r="K89">
        <v>1340659</v>
      </c>
      <c r="L89">
        <v>16.14</v>
      </c>
      <c r="M89">
        <v>24296</v>
      </c>
      <c r="N89">
        <v>0.53</v>
      </c>
      <c r="O89" t="s">
        <v>3178</v>
      </c>
      <c r="P89" t="s">
        <v>3178</v>
      </c>
      <c r="Q89">
        <v>64117</v>
      </c>
      <c r="R89">
        <v>0.14000000000000001</v>
      </c>
      <c r="S89">
        <v>123397</v>
      </c>
      <c r="T89">
        <v>4.3600000000000003</v>
      </c>
      <c r="U89">
        <v>177418</v>
      </c>
      <c r="V89">
        <v>2.11</v>
      </c>
      <c r="W89">
        <v>1044023</v>
      </c>
      <c r="X89">
        <v>3.37</v>
      </c>
      <c r="Y89">
        <v>3827</v>
      </c>
      <c r="Z89">
        <v>0.04</v>
      </c>
      <c r="AA89">
        <v>114134</v>
      </c>
      <c r="AB89">
        <v>1.57</v>
      </c>
      <c r="AC89">
        <v>154899</v>
      </c>
      <c r="AD89">
        <v>2.58</v>
      </c>
      <c r="AE89">
        <v>131608</v>
      </c>
      <c r="AF89">
        <v>2.31</v>
      </c>
      <c r="AG89">
        <v>54266</v>
      </c>
      <c r="AH89">
        <v>4.22</v>
      </c>
      <c r="AI89">
        <v>2567394</v>
      </c>
      <c r="AJ89">
        <v>57.22</v>
      </c>
      <c r="AK89">
        <v>5800038</v>
      </c>
      <c r="AL89">
        <v>94.59</v>
      </c>
      <c r="AM89">
        <v>30</v>
      </c>
    </row>
    <row r="90" spans="1:39" x14ac:dyDescent="0.25">
      <c r="A90">
        <v>127</v>
      </c>
      <c r="B90">
        <v>29737900</v>
      </c>
      <c r="C90">
        <v>8914415</v>
      </c>
      <c r="D90">
        <v>10386759</v>
      </c>
      <c r="E90">
        <v>82815975</v>
      </c>
      <c r="F90">
        <v>131855049</v>
      </c>
      <c r="G90">
        <v>82409</v>
      </c>
      <c r="H90">
        <v>12001</v>
      </c>
      <c r="I90">
        <v>2778</v>
      </c>
      <c r="J90">
        <v>97188</v>
      </c>
      <c r="K90">
        <v>7322598</v>
      </c>
      <c r="L90">
        <v>81.37</v>
      </c>
      <c r="M90">
        <v>2628857</v>
      </c>
      <c r="N90">
        <v>61.42</v>
      </c>
      <c r="O90">
        <v>1088083</v>
      </c>
      <c r="P90">
        <v>4.2300000000000004</v>
      </c>
      <c r="Q90">
        <v>755647</v>
      </c>
      <c r="R90">
        <v>7.04</v>
      </c>
      <c r="S90" t="s">
        <v>3178</v>
      </c>
      <c r="T90" t="s">
        <v>3178</v>
      </c>
      <c r="U90">
        <v>463773</v>
      </c>
      <c r="V90">
        <v>3.01</v>
      </c>
      <c r="W90">
        <v>2369699</v>
      </c>
      <c r="X90">
        <v>7.72</v>
      </c>
      <c r="Y90">
        <v>361316</v>
      </c>
      <c r="Z90">
        <v>3.07</v>
      </c>
      <c r="AA90">
        <v>145582</v>
      </c>
      <c r="AB90">
        <v>1.77</v>
      </c>
      <c r="AC90">
        <v>608702</v>
      </c>
      <c r="AD90">
        <v>7.88</v>
      </c>
      <c r="AE90">
        <v>1141613</v>
      </c>
      <c r="AF90">
        <v>14.52</v>
      </c>
      <c r="AG90">
        <v>1000484</v>
      </c>
      <c r="AH90">
        <v>18.07</v>
      </c>
      <c r="AI90">
        <v>9125109</v>
      </c>
      <c r="AJ90">
        <v>186.96</v>
      </c>
      <c r="AK90">
        <v>27011463</v>
      </c>
      <c r="AL90">
        <v>397.06</v>
      </c>
      <c r="AM90">
        <v>62</v>
      </c>
    </row>
    <row r="91" spans="1:39" x14ac:dyDescent="0.25">
      <c r="A91">
        <v>129</v>
      </c>
      <c r="B91">
        <v>8153828</v>
      </c>
      <c r="C91">
        <v>1877876</v>
      </c>
      <c r="D91">
        <v>1585511</v>
      </c>
      <c r="E91">
        <v>109942</v>
      </c>
      <c r="F91">
        <v>11727157</v>
      </c>
      <c r="G91">
        <v>10378</v>
      </c>
      <c r="H91">
        <v>1065</v>
      </c>
      <c r="I91">
        <v>254</v>
      </c>
      <c r="J91">
        <v>11697</v>
      </c>
      <c r="K91">
        <v>1626000</v>
      </c>
      <c r="L91">
        <v>23.11</v>
      </c>
      <c r="M91">
        <v>167813</v>
      </c>
      <c r="N91">
        <v>2.63</v>
      </c>
      <c r="O91" t="s">
        <v>3178</v>
      </c>
      <c r="P91" t="s">
        <v>3178</v>
      </c>
      <c r="Q91" t="s">
        <v>3178</v>
      </c>
      <c r="R91" t="s">
        <v>3178</v>
      </c>
      <c r="S91">
        <v>61489</v>
      </c>
      <c r="T91">
        <v>1.86</v>
      </c>
      <c r="U91" t="s">
        <v>3178</v>
      </c>
      <c r="V91" t="s">
        <v>3178</v>
      </c>
      <c r="W91" t="s">
        <v>3178</v>
      </c>
      <c r="X91" t="s">
        <v>3178</v>
      </c>
      <c r="Y91" t="s">
        <v>3178</v>
      </c>
      <c r="Z91" t="s">
        <v>3178</v>
      </c>
      <c r="AA91" t="s">
        <v>3178</v>
      </c>
      <c r="AB91" t="s">
        <v>3178</v>
      </c>
      <c r="AC91">
        <v>180218</v>
      </c>
      <c r="AD91">
        <v>1.59</v>
      </c>
      <c r="AE91">
        <v>236589</v>
      </c>
      <c r="AF91">
        <v>3.76</v>
      </c>
      <c r="AG91">
        <v>480726</v>
      </c>
      <c r="AH91">
        <v>8.6199999999999992</v>
      </c>
      <c r="AI91">
        <v>2584110</v>
      </c>
      <c r="AJ91">
        <v>45.28</v>
      </c>
      <c r="AK91">
        <v>5336945</v>
      </c>
      <c r="AL91">
        <v>86.85</v>
      </c>
      <c r="AM91">
        <v>16</v>
      </c>
    </row>
    <row r="92" spans="1:39" x14ac:dyDescent="0.25">
      <c r="A92">
        <v>130</v>
      </c>
      <c r="B92">
        <v>1750208</v>
      </c>
      <c r="C92">
        <v>1600000</v>
      </c>
      <c r="D92">
        <v>620517</v>
      </c>
      <c r="E92">
        <v>11383707</v>
      </c>
      <c r="F92">
        <v>15354432</v>
      </c>
      <c r="G92">
        <v>20980</v>
      </c>
      <c r="H92">
        <v>1680</v>
      </c>
      <c r="I92">
        <v>228</v>
      </c>
      <c r="J92">
        <v>22888</v>
      </c>
      <c r="K92">
        <v>1474140</v>
      </c>
      <c r="L92">
        <v>18.48</v>
      </c>
      <c r="M92">
        <v>311991</v>
      </c>
      <c r="N92">
        <v>6.86</v>
      </c>
      <c r="O92">
        <v>35910</v>
      </c>
      <c r="P92">
        <v>0.18</v>
      </c>
      <c r="Q92">
        <v>474555</v>
      </c>
      <c r="R92">
        <v>3.9</v>
      </c>
      <c r="S92">
        <v>70055</v>
      </c>
      <c r="T92">
        <v>2.02</v>
      </c>
      <c r="U92">
        <v>125909</v>
      </c>
      <c r="V92">
        <v>1.01</v>
      </c>
      <c r="W92">
        <v>662486</v>
      </c>
      <c r="X92">
        <v>2.64</v>
      </c>
      <c r="Y92">
        <v>281020</v>
      </c>
      <c r="Z92">
        <v>1.89</v>
      </c>
      <c r="AA92">
        <v>88692</v>
      </c>
      <c r="AB92">
        <v>1.02</v>
      </c>
      <c r="AC92">
        <v>85158</v>
      </c>
      <c r="AD92">
        <v>1.1499999999999999</v>
      </c>
      <c r="AE92">
        <v>233524</v>
      </c>
      <c r="AF92">
        <v>3.27</v>
      </c>
      <c r="AG92">
        <v>287616</v>
      </c>
      <c r="AH92">
        <v>5.46</v>
      </c>
      <c r="AI92">
        <v>1204098</v>
      </c>
      <c r="AJ92">
        <v>19.68</v>
      </c>
      <c r="AK92">
        <v>5335154</v>
      </c>
      <c r="AL92">
        <v>67.56</v>
      </c>
      <c r="AM92">
        <v>24</v>
      </c>
    </row>
    <row r="93" spans="1:39" x14ac:dyDescent="0.25">
      <c r="A93">
        <v>132</v>
      </c>
      <c r="B93">
        <v>308433491</v>
      </c>
      <c r="C93">
        <v>31176785</v>
      </c>
      <c r="D93">
        <v>98516401</v>
      </c>
      <c r="E93">
        <v>336129450</v>
      </c>
      <c r="F93">
        <v>774256127</v>
      </c>
      <c r="G93">
        <v>432691</v>
      </c>
      <c r="H93">
        <v>49772</v>
      </c>
      <c r="I93">
        <v>16630</v>
      </c>
      <c r="J93">
        <v>499093</v>
      </c>
      <c r="K93">
        <v>114906725</v>
      </c>
      <c r="L93">
        <v>1201.4100000000001</v>
      </c>
      <c r="M93">
        <v>8017750</v>
      </c>
      <c r="N93">
        <v>174.28</v>
      </c>
      <c r="O93" t="s">
        <v>3178</v>
      </c>
      <c r="P93" t="s">
        <v>3178</v>
      </c>
      <c r="Q93">
        <v>2670445</v>
      </c>
      <c r="R93">
        <v>21.62</v>
      </c>
      <c r="S93">
        <v>17812809</v>
      </c>
      <c r="T93">
        <v>523.15</v>
      </c>
      <c r="U93">
        <v>5558188</v>
      </c>
      <c r="V93">
        <v>37.32</v>
      </c>
      <c r="W93">
        <v>5531656</v>
      </c>
      <c r="X93">
        <v>34.79</v>
      </c>
      <c r="Y93">
        <v>737563</v>
      </c>
      <c r="Z93">
        <v>6.54</v>
      </c>
      <c r="AA93">
        <v>1922937</v>
      </c>
      <c r="AB93">
        <v>25.5</v>
      </c>
      <c r="AC93">
        <v>3092380</v>
      </c>
      <c r="AD93">
        <v>36.15</v>
      </c>
      <c r="AE93">
        <v>10480070</v>
      </c>
      <c r="AF93">
        <v>133.6</v>
      </c>
      <c r="AG93">
        <v>13241</v>
      </c>
      <c r="AH93">
        <v>0.18</v>
      </c>
      <c r="AI93">
        <v>105519334</v>
      </c>
      <c r="AJ93">
        <v>1936.07</v>
      </c>
      <c r="AK93">
        <v>276263098</v>
      </c>
      <c r="AL93">
        <v>4130.6099999999997</v>
      </c>
      <c r="AM93">
        <v>489</v>
      </c>
    </row>
    <row r="94" spans="1:39" x14ac:dyDescent="0.25">
      <c r="A94">
        <v>133</v>
      </c>
      <c r="B94">
        <v>11473151</v>
      </c>
      <c r="C94">
        <v>2921107</v>
      </c>
      <c r="D94">
        <v>4397706</v>
      </c>
      <c r="E94" t="s">
        <v>3178</v>
      </c>
      <c r="F94">
        <v>18791964</v>
      </c>
      <c r="G94">
        <v>15252</v>
      </c>
      <c r="H94">
        <v>3578</v>
      </c>
      <c r="I94">
        <v>700</v>
      </c>
      <c r="J94">
        <v>19530</v>
      </c>
      <c r="K94">
        <v>1703451</v>
      </c>
      <c r="L94">
        <v>21.9</v>
      </c>
      <c r="M94">
        <v>212104</v>
      </c>
      <c r="N94">
        <v>3.5</v>
      </c>
      <c r="O94">
        <v>210820</v>
      </c>
      <c r="P94">
        <v>1</v>
      </c>
      <c r="Q94" t="s">
        <v>3178</v>
      </c>
      <c r="R94" t="s">
        <v>3178</v>
      </c>
      <c r="S94">
        <v>13405</v>
      </c>
      <c r="T94">
        <v>0.5</v>
      </c>
      <c r="U94">
        <v>593290</v>
      </c>
      <c r="V94">
        <v>4.5999999999999996</v>
      </c>
      <c r="W94" t="s">
        <v>3178</v>
      </c>
      <c r="X94" t="s">
        <v>3178</v>
      </c>
      <c r="Y94" t="s">
        <v>3178</v>
      </c>
      <c r="Z94" t="s">
        <v>3178</v>
      </c>
      <c r="AA94">
        <v>7638</v>
      </c>
      <c r="AB94">
        <v>0.1</v>
      </c>
      <c r="AC94">
        <v>406851</v>
      </c>
      <c r="AD94">
        <v>5.4</v>
      </c>
      <c r="AE94">
        <v>350028</v>
      </c>
      <c r="AF94">
        <v>4.8</v>
      </c>
      <c r="AG94">
        <v>318437</v>
      </c>
      <c r="AH94">
        <v>5.5</v>
      </c>
      <c r="AI94">
        <v>3271791</v>
      </c>
      <c r="AJ94">
        <v>100</v>
      </c>
      <c r="AK94">
        <v>7087815</v>
      </c>
      <c r="AL94">
        <v>147.30000000000001</v>
      </c>
      <c r="AM94">
        <v>25</v>
      </c>
    </row>
    <row r="95" spans="1:39" x14ac:dyDescent="0.25">
      <c r="A95">
        <v>134</v>
      </c>
      <c r="B95">
        <v>8491506</v>
      </c>
      <c r="C95">
        <v>7368600</v>
      </c>
      <c r="D95">
        <v>4884031</v>
      </c>
      <c r="E95">
        <v>6461734</v>
      </c>
      <c r="F95">
        <v>27205871</v>
      </c>
      <c r="G95">
        <v>12400</v>
      </c>
      <c r="H95">
        <v>5776</v>
      </c>
      <c r="I95">
        <v>1058</v>
      </c>
      <c r="J95">
        <v>19234</v>
      </c>
      <c r="K95">
        <v>2704344</v>
      </c>
      <c r="L95">
        <v>39.24</v>
      </c>
      <c r="M95">
        <v>266232</v>
      </c>
      <c r="N95">
        <v>6.32</v>
      </c>
      <c r="O95" t="s">
        <v>3178</v>
      </c>
      <c r="P95" t="s">
        <v>3178</v>
      </c>
      <c r="Q95">
        <v>94104</v>
      </c>
      <c r="R95">
        <v>1.04</v>
      </c>
      <c r="S95">
        <v>122910</v>
      </c>
      <c r="T95">
        <v>3.75</v>
      </c>
      <c r="U95">
        <v>152157</v>
      </c>
      <c r="V95">
        <v>1.36</v>
      </c>
      <c r="W95">
        <v>727458</v>
      </c>
      <c r="X95">
        <v>2</v>
      </c>
      <c r="Y95" t="s">
        <v>3178</v>
      </c>
      <c r="Z95" t="s">
        <v>3178</v>
      </c>
      <c r="AA95">
        <v>49460</v>
      </c>
      <c r="AB95">
        <v>0.69</v>
      </c>
      <c r="AC95">
        <v>214716</v>
      </c>
      <c r="AD95">
        <v>2.71</v>
      </c>
      <c r="AE95">
        <v>309862</v>
      </c>
      <c r="AF95">
        <v>3.89</v>
      </c>
      <c r="AG95">
        <v>402402</v>
      </c>
      <c r="AH95">
        <v>6.69</v>
      </c>
      <c r="AI95">
        <v>2182682</v>
      </c>
      <c r="AJ95">
        <v>47.81</v>
      </c>
      <c r="AK95">
        <v>7226327</v>
      </c>
      <c r="AL95">
        <v>115.5</v>
      </c>
      <c r="AM95">
        <v>25</v>
      </c>
    </row>
    <row r="96" spans="1:39" x14ac:dyDescent="0.25">
      <c r="A96">
        <v>135</v>
      </c>
      <c r="B96">
        <v>16049633</v>
      </c>
      <c r="C96">
        <v>29231455</v>
      </c>
      <c r="D96">
        <v>30806443</v>
      </c>
      <c r="E96">
        <v>103138431</v>
      </c>
      <c r="F96">
        <v>179225962</v>
      </c>
      <c r="G96">
        <v>49161</v>
      </c>
      <c r="H96">
        <v>30039</v>
      </c>
      <c r="I96">
        <v>3161</v>
      </c>
      <c r="J96">
        <v>82361</v>
      </c>
      <c r="K96">
        <v>19898681</v>
      </c>
      <c r="L96">
        <v>195.7</v>
      </c>
      <c r="M96" t="s">
        <v>3178</v>
      </c>
      <c r="N96" t="s">
        <v>3178</v>
      </c>
      <c r="O96">
        <v>2415463</v>
      </c>
      <c r="P96">
        <v>13.5</v>
      </c>
      <c r="Q96" t="s">
        <v>3178</v>
      </c>
      <c r="R96" t="s">
        <v>3178</v>
      </c>
      <c r="S96">
        <v>1531724</v>
      </c>
      <c r="T96">
        <v>35.799999999999997</v>
      </c>
      <c r="U96">
        <v>1537357</v>
      </c>
      <c r="V96">
        <v>10.11</v>
      </c>
      <c r="W96">
        <v>3559205</v>
      </c>
      <c r="X96">
        <v>6.66</v>
      </c>
      <c r="Y96">
        <v>124255</v>
      </c>
      <c r="Z96">
        <v>0.8</v>
      </c>
      <c r="AA96" t="s">
        <v>3178</v>
      </c>
      <c r="AB96" t="s">
        <v>3178</v>
      </c>
      <c r="AC96" t="s">
        <v>3178</v>
      </c>
      <c r="AD96" t="s">
        <v>3178</v>
      </c>
      <c r="AE96">
        <v>3028261</v>
      </c>
      <c r="AF96">
        <v>37.380000000000003</v>
      </c>
      <c r="AG96">
        <v>1492852</v>
      </c>
      <c r="AH96">
        <v>24.93</v>
      </c>
      <c r="AI96">
        <v>17915581</v>
      </c>
      <c r="AJ96">
        <v>235.39</v>
      </c>
      <c r="AK96">
        <v>51503379</v>
      </c>
      <c r="AL96">
        <v>560.27</v>
      </c>
      <c r="AM96">
        <v>93</v>
      </c>
    </row>
    <row r="97" spans="1:39" x14ac:dyDescent="0.25">
      <c r="A97">
        <v>136</v>
      </c>
      <c r="B97">
        <v>70564034</v>
      </c>
      <c r="C97">
        <v>10673831</v>
      </c>
      <c r="D97">
        <v>14049064</v>
      </c>
      <c r="E97" t="s">
        <v>3178</v>
      </c>
      <c r="F97">
        <v>95286929</v>
      </c>
      <c r="G97">
        <v>111734</v>
      </c>
      <c r="H97">
        <v>10122</v>
      </c>
      <c r="I97">
        <v>1397</v>
      </c>
      <c r="J97">
        <v>123253</v>
      </c>
      <c r="K97">
        <v>5957451</v>
      </c>
      <c r="L97">
        <v>69.92</v>
      </c>
      <c r="M97">
        <v>1517549</v>
      </c>
      <c r="N97">
        <v>35.86</v>
      </c>
      <c r="O97" t="s">
        <v>3178</v>
      </c>
      <c r="P97" t="s">
        <v>3178</v>
      </c>
      <c r="Q97">
        <v>221429</v>
      </c>
      <c r="R97">
        <v>2.1800000000000002</v>
      </c>
      <c r="S97">
        <v>544350</v>
      </c>
      <c r="T97">
        <v>16.489999999999998</v>
      </c>
      <c r="U97">
        <v>501461</v>
      </c>
      <c r="V97">
        <v>3.68</v>
      </c>
      <c r="W97">
        <v>7540954</v>
      </c>
      <c r="X97">
        <v>23.55</v>
      </c>
      <c r="Y97">
        <v>889816</v>
      </c>
      <c r="Z97">
        <v>7.85</v>
      </c>
      <c r="AA97">
        <v>369558</v>
      </c>
      <c r="AB97">
        <v>4.72</v>
      </c>
      <c r="AC97">
        <v>620232</v>
      </c>
      <c r="AD97">
        <v>7.23</v>
      </c>
      <c r="AE97">
        <v>850679</v>
      </c>
      <c r="AF97">
        <v>13.55</v>
      </c>
      <c r="AG97">
        <v>842599</v>
      </c>
      <c r="AH97">
        <v>16.850000000000001</v>
      </c>
      <c r="AI97">
        <v>5253557</v>
      </c>
      <c r="AJ97">
        <v>114.03</v>
      </c>
      <c r="AK97">
        <v>25109635</v>
      </c>
      <c r="AL97">
        <v>315.91000000000003</v>
      </c>
      <c r="AM97">
        <v>49</v>
      </c>
    </row>
    <row r="98" spans="1:39" x14ac:dyDescent="0.25">
      <c r="A98">
        <v>138</v>
      </c>
      <c r="B98">
        <v>19876542</v>
      </c>
      <c r="C98">
        <v>8756281</v>
      </c>
      <c r="D98">
        <v>19647678</v>
      </c>
      <c r="E98">
        <v>118715090</v>
      </c>
      <c r="F98">
        <v>166995591</v>
      </c>
      <c r="G98">
        <v>151536</v>
      </c>
      <c r="H98">
        <v>9695</v>
      </c>
      <c r="I98">
        <v>2081</v>
      </c>
      <c r="J98">
        <v>163312</v>
      </c>
      <c r="K98">
        <v>10970262</v>
      </c>
      <c r="L98">
        <v>123.26</v>
      </c>
      <c r="M98">
        <v>1960902</v>
      </c>
      <c r="N98">
        <v>42.89</v>
      </c>
      <c r="O98">
        <v>1156804</v>
      </c>
      <c r="P98">
        <v>6.12</v>
      </c>
      <c r="Q98">
        <v>611850</v>
      </c>
      <c r="R98">
        <v>4.71</v>
      </c>
      <c r="S98">
        <v>135846</v>
      </c>
      <c r="T98">
        <v>3.91</v>
      </c>
      <c r="U98">
        <v>1106240</v>
      </c>
      <c r="V98">
        <v>8.2799999999999994</v>
      </c>
      <c r="W98">
        <v>12400934</v>
      </c>
      <c r="X98">
        <v>36.92</v>
      </c>
      <c r="Y98">
        <v>1406023</v>
      </c>
      <c r="Z98">
        <v>11.43</v>
      </c>
      <c r="AA98">
        <v>187319</v>
      </c>
      <c r="AB98">
        <v>2.62</v>
      </c>
      <c r="AC98">
        <v>757745</v>
      </c>
      <c r="AD98">
        <v>10.58</v>
      </c>
      <c r="AE98">
        <v>110917</v>
      </c>
      <c r="AF98">
        <v>1.73</v>
      </c>
      <c r="AG98">
        <v>417127</v>
      </c>
      <c r="AH98">
        <v>8.0399999999999991</v>
      </c>
      <c r="AI98">
        <v>17614273</v>
      </c>
      <c r="AJ98">
        <v>241.26</v>
      </c>
      <c r="AK98">
        <v>48836242</v>
      </c>
      <c r="AL98">
        <v>501.75</v>
      </c>
      <c r="AM98">
        <v>50</v>
      </c>
    </row>
    <row r="99" spans="1:39" x14ac:dyDescent="0.25">
      <c r="A99">
        <v>140</v>
      </c>
      <c r="B99">
        <v>22860462</v>
      </c>
      <c r="C99">
        <v>11488272</v>
      </c>
      <c r="D99">
        <v>10886180</v>
      </c>
      <c r="E99">
        <v>9220364</v>
      </c>
      <c r="F99">
        <v>54455278</v>
      </c>
      <c r="G99">
        <v>26407</v>
      </c>
      <c r="H99">
        <v>11062</v>
      </c>
      <c r="I99">
        <v>2057</v>
      </c>
      <c r="J99">
        <v>39526</v>
      </c>
      <c r="K99">
        <v>5885078</v>
      </c>
      <c r="L99">
        <v>71.11</v>
      </c>
      <c r="M99">
        <v>225510</v>
      </c>
      <c r="N99">
        <v>4.1900000000000004</v>
      </c>
      <c r="O99" t="s">
        <v>3178</v>
      </c>
      <c r="P99" t="s">
        <v>3178</v>
      </c>
      <c r="Q99" t="s">
        <v>3178</v>
      </c>
      <c r="R99" t="s">
        <v>3178</v>
      </c>
      <c r="S99">
        <v>414100</v>
      </c>
      <c r="T99">
        <v>11.77</v>
      </c>
      <c r="U99">
        <v>315855</v>
      </c>
      <c r="V99">
        <v>2.4500000000000002</v>
      </c>
      <c r="W99">
        <v>1956246</v>
      </c>
      <c r="X99">
        <v>6.26</v>
      </c>
      <c r="Y99" t="s">
        <v>3178</v>
      </c>
      <c r="Z99" t="s">
        <v>3178</v>
      </c>
      <c r="AA99">
        <v>139848</v>
      </c>
      <c r="AB99">
        <v>1.99</v>
      </c>
      <c r="AC99">
        <v>381396</v>
      </c>
      <c r="AD99">
        <v>5.08</v>
      </c>
      <c r="AE99">
        <v>609149</v>
      </c>
      <c r="AF99">
        <v>8.59</v>
      </c>
      <c r="AG99">
        <v>450146</v>
      </c>
      <c r="AH99">
        <v>9.11</v>
      </c>
      <c r="AI99">
        <v>4227559</v>
      </c>
      <c r="AJ99">
        <v>81.09</v>
      </c>
      <c r="AK99">
        <v>14604887</v>
      </c>
      <c r="AL99">
        <v>201.64</v>
      </c>
      <c r="AM99">
        <v>50</v>
      </c>
    </row>
    <row r="100" spans="1:39" x14ac:dyDescent="0.25">
      <c r="A100">
        <v>141</v>
      </c>
      <c r="B100">
        <v>185692602</v>
      </c>
      <c r="C100">
        <v>27152523</v>
      </c>
      <c r="D100">
        <v>36458786</v>
      </c>
      <c r="E100" t="s">
        <v>3178</v>
      </c>
      <c r="F100">
        <v>249303911</v>
      </c>
      <c r="G100">
        <v>28540</v>
      </c>
      <c r="H100">
        <v>23873</v>
      </c>
      <c r="I100">
        <v>2238</v>
      </c>
      <c r="J100">
        <v>54651</v>
      </c>
      <c r="K100">
        <v>40389580</v>
      </c>
      <c r="L100">
        <v>399.59</v>
      </c>
      <c r="M100">
        <v>798453</v>
      </c>
      <c r="N100">
        <v>15</v>
      </c>
      <c r="O100" t="s">
        <v>3178</v>
      </c>
      <c r="P100" t="s">
        <v>3178</v>
      </c>
      <c r="Q100" t="s">
        <v>3178</v>
      </c>
      <c r="R100" t="s">
        <v>3178</v>
      </c>
      <c r="S100">
        <v>3399999</v>
      </c>
      <c r="T100">
        <v>84.95</v>
      </c>
      <c r="U100">
        <v>3116184</v>
      </c>
      <c r="V100">
        <v>23.53</v>
      </c>
      <c r="W100">
        <v>4089795</v>
      </c>
      <c r="X100">
        <v>10.27</v>
      </c>
      <c r="Y100" t="s">
        <v>3178</v>
      </c>
      <c r="Z100" t="s">
        <v>3178</v>
      </c>
      <c r="AA100">
        <v>1045516</v>
      </c>
      <c r="AB100">
        <v>14.34</v>
      </c>
      <c r="AC100">
        <v>375623</v>
      </c>
      <c r="AD100">
        <v>4.45</v>
      </c>
      <c r="AE100">
        <v>3874135</v>
      </c>
      <c r="AF100">
        <v>44.24</v>
      </c>
      <c r="AG100">
        <v>6393203</v>
      </c>
      <c r="AH100">
        <v>118.74</v>
      </c>
      <c r="AI100">
        <v>31558884</v>
      </c>
      <c r="AJ100">
        <v>569.6</v>
      </c>
      <c r="AK100">
        <v>95041372</v>
      </c>
      <c r="AL100">
        <v>1284.71</v>
      </c>
      <c r="AM100">
        <v>401</v>
      </c>
    </row>
    <row r="101" spans="1:39" x14ac:dyDescent="0.25">
      <c r="A101">
        <v>142</v>
      </c>
      <c r="B101">
        <v>14956025</v>
      </c>
      <c r="C101">
        <v>38199416</v>
      </c>
      <c r="D101">
        <v>74606930</v>
      </c>
      <c r="E101">
        <v>139230537</v>
      </c>
      <c r="F101">
        <v>266992908</v>
      </c>
      <c r="G101">
        <v>54224</v>
      </c>
      <c r="H101">
        <v>26791</v>
      </c>
      <c r="I101">
        <v>1342</v>
      </c>
      <c r="J101">
        <v>82357</v>
      </c>
      <c r="K101">
        <v>17132983</v>
      </c>
      <c r="L101">
        <v>203.61</v>
      </c>
      <c r="M101">
        <v>3436346</v>
      </c>
      <c r="N101">
        <v>89.01</v>
      </c>
      <c r="O101">
        <v>1927262</v>
      </c>
      <c r="P101">
        <v>10.08</v>
      </c>
      <c r="Q101">
        <v>2007457</v>
      </c>
      <c r="R101">
        <v>18.59</v>
      </c>
      <c r="S101">
        <v>549912</v>
      </c>
      <c r="T101">
        <v>17.09</v>
      </c>
      <c r="U101">
        <v>1521065</v>
      </c>
      <c r="V101">
        <v>12.03</v>
      </c>
      <c r="W101">
        <v>23166295</v>
      </c>
      <c r="X101">
        <v>65.38</v>
      </c>
      <c r="Y101">
        <v>694596</v>
      </c>
      <c r="Z101">
        <v>6.09</v>
      </c>
      <c r="AA101">
        <v>309987</v>
      </c>
      <c r="AB101">
        <v>4.1399999999999997</v>
      </c>
      <c r="AC101">
        <v>879410</v>
      </c>
      <c r="AD101">
        <v>9.92</v>
      </c>
      <c r="AE101">
        <v>2693598</v>
      </c>
      <c r="AF101">
        <v>39.590000000000003</v>
      </c>
      <c r="AG101">
        <v>1709005</v>
      </c>
      <c r="AH101">
        <v>28.36</v>
      </c>
      <c r="AI101">
        <v>16579834</v>
      </c>
      <c r="AJ101">
        <v>405.23</v>
      </c>
      <c r="AK101">
        <v>72607750</v>
      </c>
      <c r="AL101">
        <v>909.12</v>
      </c>
      <c r="AM101">
        <v>162</v>
      </c>
    </row>
    <row r="102" spans="1:39" x14ac:dyDescent="0.25">
      <c r="A102">
        <v>143</v>
      </c>
      <c r="B102">
        <v>319703994</v>
      </c>
      <c r="C102">
        <v>33958119</v>
      </c>
      <c r="D102">
        <v>77790478</v>
      </c>
      <c r="E102" t="s">
        <v>3178</v>
      </c>
      <c r="F102">
        <v>431452591</v>
      </c>
      <c r="G102">
        <v>562010</v>
      </c>
      <c r="H102">
        <v>39883</v>
      </c>
      <c r="I102">
        <v>11105</v>
      </c>
      <c r="J102">
        <v>612998</v>
      </c>
      <c r="K102">
        <v>30362829</v>
      </c>
      <c r="L102">
        <v>342.81</v>
      </c>
      <c r="M102">
        <v>2247155</v>
      </c>
      <c r="N102">
        <v>43.87</v>
      </c>
      <c r="O102">
        <v>4536364</v>
      </c>
      <c r="P102">
        <v>22.83</v>
      </c>
      <c r="Q102">
        <v>1478121</v>
      </c>
      <c r="R102">
        <v>13.47</v>
      </c>
      <c r="S102">
        <v>3761689</v>
      </c>
      <c r="T102">
        <v>99.25</v>
      </c>
      <c r="U102">
        <v>1659651</v>
      </c>
      <c r="V102">
        <v>12.55</v>
      </c>
      <c r="W102">
        <v>58918719</v>
      </c>
      <c r="X102">
        <v>152.44999999999999</v>
      </c>
      <c r="Y102">
        <v>1648150</v>
      </c>
      <c r="Z102">
        <v>12.47</v>
      </c>
      <c r="AA102">
        <v>439357</v>
      </c>
      <c r="AB102">
        <v>7.17</v>
      </c>
      <c r="AC102">
        <v>1431982</v>
      </c>
      <c r="AD102">
        <v>18.350000000000001</v>
      </c>
      <c r="AE102">
        <v>838608</v>
      </c>
      <c r="AF102">
        <v>13.26</v>
      </c>
      <c r="AG102">
        <v>1715100</v>
      </c>
      <c r="AH102">
        <v>25.93</v>
      </c>
      <c r="AI102">
        <v>64759738</v>
      </c>
      <c r="AJ102">
        <v>1271.98</v>
      </c>
      <c r="AK102">
        <v>173797463</v>
      </c>
      <c r="AL102">
        <v>2036.39</v>
      </c>
      <c r="AM102">
        <v>267</v>
      </c>
    </row>
    <row r="103" spans="1:39" x14ac:dyDescent="0.25">
      <c r="A103">
        <v>145</v>
      </c>
      <c r="B103">
        <v>112302226</v>
      </c>
      <c r="C103">
        <v>109267968</v>
      </c>
      <c r="D103">
        <v>473892511</v>
      </c>
      <c r="E103">
        <v>816077245</v>
      </c>
      <c r="F103">
        <v>1511539950</v>
      </c>
      <c r="G103">
        <v>245059</v>
      </c>
      <c r="H103">
        <v>72247</v>
      </c>
      <c r="I103">
        <v>62539</v>
      </c>
      <c r="J103">
        <v>379845</v>
      </c>
      <c r="K103">
        <v>346273764</v>
      </c>
      <c r="L103">
        <v>3705.95</v>
      </c>
      <c r="M103">
        <v>2485869</v>
      </c>
      <c r="N103">
        <v>44.56</v>
      </c>
      <c r="O103" t="s">
        <v>3178</v>
      </c>
      <c r="P103" t="s">
        <v>3178</v>
      </c>
      <c r="Q103">
        <v>356734</v>
      </c>
      <c r="R103">
        <v>2.67</v>
      </c>
      <c r="S103">
        <v>21840112</v>
      </c>
      <c r="T103">
        <v>527.02</v>
      </c>
      <c r="U103">
        <v>25543736</v>
      </c>
      <c r="V103">
        <v>171.73</v>
      </c>
      <c r="W103" t="s">
        <v>3178</v>
      </c>
      <c r="X103" t="s">
        <v>3178</v>
      </c>
      <c r="Y103" t="s">
        <v>3178</v>
      </c>
      <c r="Z103" t="s">
        <v>3178</v>
      </c>
      <c r="AA103" t="s">
        <v>3178</v>
      </c>
      <c r="AB103" t="s">
        <v>3178</v>
      </c>
      <c r="AC103" t="s">
        <v>3178</v>
      </c>
      <c r="AD103" t="s">
        <v>3178</v>
      </c>
      <c r="AE103">
        <v>6800928</v>
      </c>
      <c r="AF103">
        <v>80.22</v>
      </c>
      <c r="AG103">
        <v>2147845</v>
      </c>
      <c r="AH103">
        <v>31.69</v>
      </c>
      <c r="AI103">
        <v>148754752</v>
      </c>
      <c r="AJ103">
        <v>3051.54</v>
      </c>
      <c r="AK103">
        <v>554203740</v>
      </c>
      <c r="AL103">
        <v>7615.38</v>
      </c>
      <c r="AM103">
        <v>2059</v>
      </c>
    </row>
    <row r="104" spans="1:39" x14ac:dyDescent="0.25">
      <c r="A104">
        <v>147</v>
      </c>
      <c r="B104">
        <v>71604286</v>
      </c>
      <c r="C104">
        <v>12060209</v>
      </c>
      <c r="D104">
        <v>16488954</v>
      </c>
      <c r="E104">
        <v>37061257</v>
      </c>
      <c r="F104">
        <v>137214706</v>
      </c>
      <c r="G104">
        <v>211354</v>
      </c>
      <c r="H104">
        <v>12770</v>
      </c>
      <c r="I104">
        <v>3536</v>
      </c>
      <c r="J104">
        <v>227660</v>
      </c>
      <c r="K104">
        <v>6038559</v>
      </c>
      <c r="L104">
        <v>87.6</v>
      </c>
      <c r="M104">
        <v>1499742</v>
      </c>
      <c r="N104">
        <v>42.91</v>
      </c>
      <c r="O104">
        <v>1230747</v>
      </c>
      <c r="P104">
        <v>5.97</v>
      </c>
      <c r="Q104">
        <v>897864</v>
      </c>
      <c r="R104">
        <v>6.77</v>
      </c>
      <c r="S104">
        <v>39943</v>
      </c>
      <c r="T104">
        <v>1.31</v>
      </c>
      <c r="U104">
        <v>483227</v>
      </c>
      <c r="V104">
        <v>3.92</v>
      </c>
      <c r="W104">
        <v>13097973</v>
      </c>
      <c r="X104">
        <v>37.94</v>
      </c>
      <c r="Y104">
        <v>994059</v>
      </c>
      <c r="Z104">
        <v>6.49</v>
      </c>
      <c r="AA104">
        <v>265384</v>
      </c>
      <c r="AB104">
        <v>3.84</v>
      </c>
      <c r="AC104">
        <v>569943</v>
      </c>
      <c r="AD104">
        <v>7.62</v>
      </c>
      <c r="AE104">
        <v>1597428</v>
      </c>
      <c r="AF104">
        <v>26.96</v>
      </c>
      <c r="AG104">
        <v>650362</v>
      </c>
      <c r="AH104">
        <v>14.13</v>
      </c>
      <c r="AI104">
        <v>9234907</v>
      </c>
      <c r="AJ104">
        <v>196.94</v>
      </c>
      <c r="AK104">
        <v>36600138</v>
      </c>
      <c r="AL104">
        <v>442.4</v>
      </c>
      <c r="AM104">
        <v>87</v>
      </c>
    </row>
    <row r="105" spans="1:39" x14ac:dyDescent="0.25">
      <c r="A105">
        <v>148</v>
      </c>
      <c r="B105">
        <v>164720122</v>
      </c>
      <c r="C105">
        <v>44902290</v>
      </c>
      <c r="D105">
        <v>31625390</v>
      </c>
      <c r="E105">
        <v>60154236</v>
      </c>
      <c r="F105">
        <v>301402038</v>
      </c>
      <c r="G105">
        <v>74210</v>
      </c>
      <c r="H105">
        <v>44071</v>
      </c>
      <c r="I105">
        <v>3491</v>
      </c>
      <c r="J105">
        <v>121772</v>
      </c>
      <c r="K105">
        <v>67311649</v>
      </c>
      <c r="L105">
        <v>733.57</v>
      </c>
      <c r="M105">
        <v>1790718</v>
      </c>
      <c r="N105">
        <v>32.159999999999997</v>
      </c>
      <c r="O105" t="s">
        <v>3178</v>
      </c>
      <c r="P105" t="s">
        <v>3178</v>
      </c>
      <c r="Q105">
        <v>1696510</v>
      </c>
      <c r="R105">
        <v>15.23</v>
      </c>
      <c r="S105">
        <v>5786639</v>
      </c>
      <c r="T105">
        <v>158.41999999999999</v>
      </c>
      <c r="U105">
        <v>5513404</v>
      </c>
      <c r="V105">
        <v>62.79</v>
      </c>
      <c r="W105">
        <v>14405300</v>
      </c>
      <c r="X105">
        <v>31.3</v>
      </c>
      <c r="Y105">
        <v>919101</v>
      </c>
      <c r="Z105">
        <v>8.4</v>
      </c>
      <c r="AA105">
        <v>646428</v>
      </c>
      <c r="AB105">
        <v>9.26</v>
      </c>
      <c r="AC105">
        <v>1097257</v>
      </c>
      <c r="AD105">
        <v>15.38</v>
      </c>
      <c r="AE105">
        <v>9456302</v>
      </c>
      <c r="AF105">
        <v>135.63</v>
      </c>
      <c r="AG105">
        <v>7260637</v>
      </c>
      <c r="AH105">
        <v>125.33</v>
      </c>
      <c r="AI105">
        <v>37780874</v>
      </c>
      <c r="AJ105">
        <v>760.4</v>
      </c>
      <c r="AK105">
        <v>153664819</v>
      </c>
      <c r="AL105">
        <v>2087.87</v>
      </c>
      <c r="AM105">
        <v>380</v>
      </c>
    </row>
    <row r="106" spans="1:39" x14ac:dyDescent="0.25">
      <c r="A106">
        <v>149</v>
      </c>
      <c r="B106">
        <v>9703970</v>
      </c>
      <c r="C106">
        <v>2314391</v>
      </c>
      <c r="D106">
        <v>3315908</v>
      </c>
      <c r="E106">
        <v>13257696</v>
      </c>
      <c r="F106">
        <v>28591965</v>
      </c>
      <c r="G106">
        <v>23730</v>
      </c>
      <c r="H106">
        <v>2776</v>
      </c>
      <c r="I106">
        <v>686</v>
      </c>
      <c r="J106">
        <v>27192</v>
      </c>
      <c r="K106">
        <v>1536334</v>
      </c>
      <c r="L106">
        <v>19.5</v>
      </c>
      <c r="M106">
        <v>595565</v>
      </c>
      <c r="N106">
        <v>13.88</v>
      </c>
      <c r="O106" t="s">
        <v>3178</v>
      </c>
      <c r="P106" t="s">
        <v>3178</v>
      </c>
      <c r="Q106" t="s">
        <v>3178</v>
      </c>
      <c r="R106" t="s">
        <v>3178</v>
      </c>
      <c r="S106">
        <v>37152</v>
      </c>
      <c r="T106">
        <v>1.25</v>
      </c>
      <c r="U106">
        <v>163837</v>
      </c>
      <c r="V106">
        <v>1</v>
      </c>
      <c r="W106">
        <v>2231948</v>
      </c>
      <c r="X106">
        <v>6.6</v>
      </c>
      <c r="Y106">
        <v>358297</v>
      </c>
      <c r="Z106">
        <v>2.9</v>
      </c>
      <c r="AA106">
        <v>71602</v>
      </c>
      <c r="AB106">
        <v>1.34</v>
      </c>
      <c r="AC106">
        <v>422582</v>
      </c>
      <c r="AD106">
        <v>6.17</v>
      </c>
      <c r="AE106">
        <v>347915</v>
      </c>
      <c r="AF106">
        <v>5.01</v>
      </c>
      <c r="AG106">
        <v>457633</v>
      </c>
      <c r="AH106">
        <v>7.06</v>
      </c>
      <c r="AI106">
        <v>2729826</v>
      </c>
      <c r="AJ106">
        <v>60.57</v>
      </c>
      <c r="AK106">
        <v>8952691</v>
      </c>
      <c r="AL106">
        <v>125.28</v>
      </c>
      <c r="AM106">
        <v>28</v>
      </c>
    </row>
    <row r="107" spans="1:39" x14ac:dyDescent="0.25">
      <c r="A107">
        <v>151</v>
      </c>
      <c r="B107">
        <v>180565638</v>
      </c>
      <c r="C107">
        <v>76409904</v>
      </c>
      <c r="D107">
        <v>80137019</v>
      </c>
      <c r="E107">
        <v>472690392</v>
      </c>
      <c r="F107">
        <v>809802953</v>
      </c>
      <c r="G107">
        <v>174836</v>
      </c>
      <c r="H107">
        <v>79279</v>
      </c>
      <c r="I107">
        <v>11254</v>
      </c>
      <c r="J107">
        <v>265369</v>
      </c>
      <c r="K107">
        <v>99064704</v>
      </c>
      <c r="L107">
        <v>1123.9100000000001</v>
      </c>
      <c r="M107">
        <v>423023</v>
      </c>
      <c r="N107">
        <v>9.7100000000000009</v>
      </c>
      <c r="O107">
        <v>10651164</v>
      </c>
      <c r="P107">
        <v>65.77</v>
      </c>
      <c r="Q107">
        <v>1609440</v>
      </c>
      <c r="R107">
        <v>14.21</v>
      </c>
      <c r="S107">
        <v>12375554</v>
      </c>
      <c r="T107">
        <v>330.04</v>
      </c>
      <c r="U107">
        <v>6505205</v>
      </c>
      <c r="V107">
        <v>47.85</v>
      </c>
      <c r="W107" t="s">
        <v>3178</v>
      </c>
      <c r="X107" t="s">
        <v>3178</v>
      </c>
      <c r="Y107">
        <v>665781</v>
      </c>
      <c r="Z107">
        <v>5.22</v>
      </c>
      <c r="AA107">
        <v>2601622</v>
      </c>
      <c r="AB107">
        <v>36.18</v>
      </c>
      <c r="AC107">
        <v>3020508</v>
      </c>
      <c r="AD107">
        <v>39.03</v>
      </c>
      <c r="AE107">
        <v>8256126</v>
      </c>
      <c r="AF107">
        <v>124.4</v>
      </c>
      <c r="AG107">
        <v>9285512</v>
      </c>
      <c r="AH107">
        <v>158.94999999999999</v>
      </c>
      <c r="AI107">
        <v>108648291</v>
      </c>
      <c r="AJ107">
        <v>1901.51</v>
      </c>
      <c r="AK107">
        <v>263106930</v>
      </c>
      <c r="AL107">
        <v>3856.78</v>
      </c>
      <c r="AM107">
        <v>454</v>
      </c>
    </row>
    <row r="108" spans="1:39" x14ac:dyDescent="0.25">
      <c r="A108">
        <v>152</v>
      </c>
      <c r="B108">
        <v>7068886</v>
      </c>
      <c r="C108">
        <v>2254938</v>
      </c>
      <c r="D108">
        <v>4115926</v>
      </c>
      <c r="E108">
        <v>31511649</v>
      </c>
      <c r="F108">
        <v>44951399</v>
      </c>
      <c r="G108">
        <v>66675</v>
      </c>
      <c r="H108">
        <v>2666</v>
      </c>
      <c r="I108">
        <v>421</v>
      </c>
      <c r="J108">
        <v>69762</v>
      </c>
      <c r="K108">
        <v>2897425</v>
      </c>
      <c r="L108">
        <v>32.18</v>
      </c>
      <c r="M108">
        <v>1015621</v>
      </c>
      <c r="N108">
        <v>23.41</v>
      </c>
      <c r="O108">
        <v>453371</v>
      </c>
      <c r="P108">
        <v>0.98</v>
      </c>
      <c r="Q108">
        <v>112597</v>
      </c>
      <c r="R108">
        <v>0.87</v>
      </c>
      <c r="S108">
        <v>529902</v>
      </c>
      <c r="T108">
        <v>18.07</v>
      </c>
      <c r="U108">
        <v>368752</v>
      </c>
      <c r="V108">
        <v>2.99</v>
      </c>
      <c r="W108">
        <v>3847255</v>
      </c>
      <c r="X108">
        <v>13.23</v>
      </c>
      <c r="Y108" t="s">
        <v>3178</v>
      </c>
      <c r="Z108" t="s">
        <v>3178</v>
      </c>
      <c r="AA108" t="s">
        <v>3178</v>
      </c>
      <c r="AB108" t="s">
        <v>3178</v>
      </c>
      <c r="AC108" t="s">
        <v>3178</v>
      </c>
      <c r="AD108" t="s">
        <v>3178</v>
      </c>
      <c r="AE108">
        <v>559074</v>
      </c>
      <c r="AF108">
        <v>7.81</v>
      </c>
      <c r="AG108">
        <v>373838</v>
      </c>
      <c r="AH108">
        <v>6.99</v>
      </c>
      <c r="AI108">
        <v>5703164</v>
      </c>
      <c r="AJ108">
        <v>118.06</v>
      </c>
      <c r="AK108">
        <v>15860999</v>
      </c>
      <c r="AL108">
        <v>224.59</v>
      </c>
      <c r="AM108">
        <v>54</v>
      </c>
    </row>
    <row r="109" spans="1:39" x14ac:dyDescent="0.25">
      <c r="A109">
        <v>153</v>
      </c>
      <c r="B109">
        <v>10160695</v>
      </c>
      <c r="C109">
        <v>720012</v>
      </c>
      <c r="D109">
        <v>1590435</v>
      </c>
      <c r="E109" t="s">
        <v>3178</v>
      </c>
      <c r="F109">
        <v>12471142</v>
      </c>
      <c r="G109">
        <v>9965</v>
      </c>
      <c r="H109">
        <v>1512</v>
      </c>
      <c r="I109">
        <v>445</v>
      </c>
      <c r="J109">
        <v>11922</v>
      </c>
      <c r="K109">
        <v>1257695</v>
      </c>
      <c r="L109">
        <v>17.239999999999998</v>
      </c>
      <c r="M109">
        <v>121194</v>
      </c>
      <c r="N109">
        <v>2.38</v>
      </c>
      <c r="O109" t="s">
        <v>3178</v>
      </c>
      <c r="P109" t="s">
        <v>3178</v>
      </c>
      <c r="Q109" t="s">
        <v>3178</v>
      </c>
      <c r="R109" t="s">
        <v>3178</v>
      </c>
      <c r="S109" t="s">
        <v>3178</v>
      </c>
      <c r="T109" t="s">
        <v>3178</v>
      </c>
      <c r="U109">
        <v>150072</v>
      </c>
      <c r="V109">
        <v>1.1499999999999999</v>
      </c>
      <c r="W109" t="s">
        <v>3178</v>
      </c>
      <c r="X109" t="s">
        <v>3178</v>
      </c>
      <c r="Y109" t="s">
        <v>3178</v>
      </c>
      <c r="Z109" t="s">
        <v>3178</v>
      </c>
      <c r="AA109" t="s">
        <v>3178</v>
      </c>
      <c r="AB109" t="s">
        <v>3178</v>
      </c>
      <c r="AC109" t="s">
        <v>3178</v>
      </c>
      <c r="AD109" t="s">
        <v>3178</v>
      </c>
      <c r="AE109">
        <v>221837</v>
      </c>
      <c r="AF109">
        <v>2.54</v>
      </c>
      <c r="AG109">
        <v>198659</v>
      </c>
      <c r="AH109">
        <v>2.92</v>
      </c>
      <c r="AI109">
        <v>1744290</v>
      </c>
      <c r="AJ109">
        <v>32.93</v>
      </c>
      <c r="AK109">
        <v>3693747</v>
      </c>
      <c r="AL109">
        <v>59.16</v>
      </c>
      <c r="AM109">
        <v>31</v>
      </c>
    </row>
    <row r="110" spans="1:39" x14ac:dyDescent="0.25">
      <c r="A110">
        <v>156</v>
      </c>
      <c r="B110">
        <v>4046630</v>
      </c>
      <c r="C110">
        <v>926322</v>
      </c>
      <c r="D110">
        <v>821683</v>
      </c>
      <c r="E110">
        <v>6568180</v>
      </c>
      <c r="F110">
        <v>12362815</v>
      </c>
      <c r="G110">
        <v>9147</v>
      </c>
      <c r="H110">
        <v>1074</v>
      </c>
      <c r="I110">
        <v>168</v>
      </c>
      <c r="J110">
        <v>10389</v>
      </c>
      <c r="K110">
        <v>1127873</v>
      </c>
      <c r="L110">
        <v>17</v>
      </c>
      <c r="M110">
        <v>39795</v>
      </c>
      <c r="N110">
        <v>0.77</v>
      </c>
      <c r="O110" t="s">
        <v>3178</v>
      </c>
      <c r="P110" t="s">
        <v>3178</v>
      </c>
      <c r="Q110" t="s">
        <v>3178</v>
      </c>
      <c r="R110" t="s">
        <v>3178</v>
      </c>
      <c r="S110">
        <v>36687</v>
      </c>
      <c r="T110">
        <v>1.22</v>
      </c>
      <c r="U110">
        <v>90279</v>
      </c>
      <c r="V110">
        <v>0.7</v>
      </c>
      <c r="W110">
        <v>38448</v>
      </c>
      <c r="X110">
        <v>0.14000000000000001</v>
      </c>
      <c r="Y110">
        <v>1555</v>
      </c>
      <c r="Z110">
        <v>0.02</v>
      </c>
      <c r="AA110">
        <v>90018</v>
      </c>
      <c r="AB110">
        <v>1.26</v>
      </c>
      <c r="AC110">
        <v>156700</v>
      </c>
      <c r="AD110">
        <v>1.84</v>
      </c>
      <c r="AE110">
        <v>129097</v>
      </c>
      <c r="AF110">
        <v>2.5</v>
      </c>
      <c r="AG110">
        <v>139205</v>
      </c>
      <c r="AH110">
        <v>3</v>
      </c>
      <c r="AI110">
        <v>1162354</v>
      </c>
      <c r="AJ110">
        <v>26.06</v>
      </c>
      <c r="AK110">
        <v>3012011</v>
      </c>
      <c r="AL110">
        <v>54.51</v>
      </c>
      <c r="AM110">
        <v>25</v>
      </c>
    </row>
    <row r="111" spans="1:39" x14ac:dyDescent="0.25">
      <c r="A111">
        <v>157</v>
      </c>
      <c r="B111">
        <v>14822712</v>
      </c>
      <c r="C111">
        <v>4222294</v>
      </c>
      <c r="D111">
        <v>9407223</v>
      </c>
      <c r="E111">
        <v>47938798</v>
      </c>
      <c r="F111">
        <v>76391027</v>
      </c>
      <c r="G111">
        <v>100987</v>
      </c>
      <c r="H111">
        <v>6153</v>
      </c>
      <c r="I111">
        <v>2541</v>
      </c>
      <c r="J111">
        <v>109681</v>
      </c>
      <c r="K111">
        <v>4527126</v>
      </c>
      <c r="L111">
        <v>50.13</v>
      </c>
      <c r="M111">
        <v>1690342</v>
      </c>
      <c r="N111">
        <v>39.79</v>
      </c>
      <c r="O111">
        <v>953274</v>
      </c>
      <c r="P111">
        <v>4.01</v>
      </c>
      <c r="Q111">
        <v>710664</v>
      </c>
      <c r="R111">
        <v>6.15</v>
      </c>
      <c r="S111">
        <v>217105</v>
      </c>
      <c r="T111">
        <v>6.45</v>
      </c>
      <c r="U111">
        <v>563294</v>
      </c>
      <c r="V111">
        <v>4.0599999999999996</v>
      </c>
      <c r="W111">
        <v>1211633</v>
      </c>
      <c r="X111">
        <v>2.7</v>
      </c>
      <c r="Y111">
        <v>890480</v>
      </c>
      <c r="Z111">
        <v>7.79</v>
      </c>
      <c r="AA111">
        <v>105310</v>
      </c>
      <c r="AB111">
        <v>1.34</v>
      </c>
      <c r="AC111">
        <v>733010</v>
      </c>
      <c r="AD111">
        <v>8.19</v>
      </c>
      <c r="AE111">
        <v>992281</v>
      </c>
      <c r="AF111">
        <v>12.3</v>
      </c>
      <c r="AG111">
        <v>1226415</v>
      </c>
      <c r="AH111">
        <v>21.74</v>
      </c>
      <c r="AI111">
        <v>7929524</v>
      </c>
      <c r="AJ111">
        <v>196.13</v>
      </c>
      <c r="AK111">
        <v>21750458</v>
      </c>
      <c r="AL111">
        <v>360.78</v>
      </c>
      <c r="AM111">
        <v>49</v>
      </c>
    </row>
    <row r="112" spans="1:39" x14ac:dyDescent="0.25">
      <c r="A112">
        <v>159</v>
      </c>
      <c r="B112">
        <v>4877048</v>
      </c>
      <c r="C112">
        <v>1454627</v>
      </c>
      <c r="D112">
        <v>910286</v>
      </c>
      <c r="E112">
        <v>3862604</v>
      </c>
      <c r="F112">
        <v>11104565</v>
      </c>
      <c r="G112">
        <v>8267</v>
      </c>
      <c r="H112">
        <v>1353</v>
      </c>
      <c r="I112">
        <v>146</v>
      </c>
      <c r="J112">
        <v>9766</v>
      </c>
      <c r="K112">
        <v>1035268</v>
      </c>
      <c r="L112">
        <v>15.98</v>
      </c>
      <c r="M112">
        <v>184304</v>
      </c>
      <c r="N112">
        <v>4.17</v>
      </c>
      <c r="O112" t="s">
        <v>3178</v>
      </c>
      <c r="P112" t="s">
        <v>3178</v>
      </c>
      <c r="Q112">
        <v>20727</v>
      </c>
      <c r="R112">
        <v>0.4</v>
      </c>
      <c r="S112">
        <v>43842</v>
      </c>
      <c r="T112">
        <v>1.1200000000000001</v>
      </c>
      <c r="U112">
        <v>171314</v>
      </c>
      <c r="V112">
        <v>1.6</v>
      </c>
      <c r="W112">
        <v>159043</v>
      </c>
      <c r="X112">
        <v>1.73</v>
      </c>
      <c r="Y112" t="s">
        <v>3178</v>
      </c>
      <c r="Z112" t="s">
        <v>3178</v>
      </c>
      <c r="AA112" t="s">
        <v>3178</v>
      </c>
      <c r="AB112" t="s">
        <v>3178</v>
      </c>
      <c r="AC112">
        <v>61369</v>
      </c>
      <c r="AD112">
        <v>0.99</v>
      </c>
      <c r="AE112">
        <v>194878</v>
      </c>
      <c r="AF112">
        <v>3.31</v>
      </c>
      <c r="AG112">
        <v>99452</v>
      </c>
      <c r="AH112">
        <v>1.91</v>
      </c>
      <c r="AI112">
        <v>550098</v>
      </c>
      <c r="AJ112">
        <v>19.89</v>
      </c>
      <c r="AK112">
        <v>2520295</v>
      </c>
      <c r="AL112">
        <v>51.1</v>
      </c>
      <c r="AM112">
        <v>15</v>
      </c>
    </row>
    <row r="113" spans="1:39" x14ac:dyDescent="0.25">
      <c r="A113">
        <v>161</v>
      </c>
      <c r="B113">
        <v>2863456</v>
      </c>
      <c r="C113">
        <v>5643476</v>
      </c>
      <c r="D113">
        <v>14120254</v>
      </c>
      <c r="E113">
        <v>66733264</v>
      </c>
      <c r="F113">
        <v>89360450</v>
      </c>
      <c r="G113">
        <v>135574</v>
      </c>
      <c r="H113">
        <v>7867</v>
      </c>
      <c r="I113">
        <v>1461</v>
      </c>
      <c r="J113">
        <v>144902</v>
      </c>
      <c r="K113">
        <v>7872805</v>
      </c>
      <c r="L113">
        <v>98.34</v>
      </c>
      <c r="M113">
        <v>2056356</v>
      </c>
      <c r="N113">
        <v>50.15</v>
      </c>
      <c r="O113">
        <v>1017401</v>
      </c>
      <c r="P113">
        <v>4</v>
      </c>
      <c r="Q113">
        <v>722232</v>
      </c>
      <c r="R113">
        <v>6.18</v>
      </c>
      <c r="S113">
        <v>423420</v>
      </c>
      <c r="T113">
        <v>13.27</v>
      </c>
      <c r="U113">
        <v>921910</v>
      </c>
      <c r="V113">
        <v>9.89</v>
      </c>
      <c r="W113" t="s">
        <v>3178</v>
      </c>
      <c r="X113" t="s">
        <v>3178</v>
      </c>
      <c r="Y113">
        <v>1006233</v>
      </c>
      <c r="Z113">
        <v>7.02</v>
      </c>
      <c r="AA113" t="s">
        <v>3178</v>
      </c>
      <c r="AB113" t="s">
        <v>3178</v>
      </c>
      <c r="AC113">
        <v>47433</v>
      </c>
      <c r="AD113">
        <v>1.04</v>
      </c>
      <c r="AE113">
        <v>698136</v>
      </c>
      <c r="AF113">
        <v>9.9600000000000009</v>
      </c>
      <c r="AG113">
        <v>889002</v>
      </c>
      <c r="AH113">
        <v>18</v>
      </c>
      <c r="AI113">
        <v>16638798</v>
      </c>
      <c r="AJ113">
        <v>242.53</v>
      </c>
      <c r="AK113">
        <v>32293726</v>
      </c>
      <c r="AL113">
        <v>460.38</v>
      </c>
      <c r="AM113">
        <v>37</v>
      </c>
    </row>
    <row r="114" spans="1:39" x14ac:dyDescent="0.25">
      <c r="A114">
        <v>162</v>
      </c>
      <c r="B114">
        <v>23281665</v>
      </c>
      <c r="C114">
        <v>1815921</v>
      </c>
      <c r="D114">
        <v>3020095</v>
      </c>
      <c r="E114">
        <v>4312191</v>
      </c>
      <c r="F114">
        <v>32429872</v>
      </c>
      <c r="G114">
        <v>46807</v>
      </c>
      <c r="H114">
        <v>4493</v>
      </c>
      <c r="I114">
        <v>748</v>
      </c>
      <c r="J114">
        <v>52048</v>
      </c>
      <c r="K114">
        <v>1888653</v>
      </c>
      <c r="L114">
        <v>22.57</v>
      </c>
      <c r="M114">
        <v>741207</v>
      </c>
      <c r="N114">
        <v>14.99</v>
      </c>
      <c r="O114">
        <v>426966</v>
      </c>
      <c r="P114">
        <v>1.83</v>
      </c>
      <c r="Q114">
        <v>281178</v>
      </c>
      <c r="R114">
        <v>2.34</v>
      </c>
      <c r="S114">
        <v>249393</v>
      </c>
      <c r="T114">
        <v>7.72</v>
      </c>
      <c r="U114">
        <v>271583</v>
      </c>
      <c r="V114">
        <v>1.84</v>
      </c>
      <c r="W114">
        <v>2019373</v>
      </c>
      <c r="X114">
        <v>6.37</v>
      </c>
      <c r="Y114">
        <v>255277</v>
      </c>
      <c r="Z114">
        <v>1.78</v>
      </c>
      <c r="AA114">
        <v>157782</v>
      </c>
      <c r="AB114">
        <v>1.77</v>
      </c>
      <c r="AC114">
        <v>218534</v>
      </c>
      <c r="AD114">
        <v>3.55</v>
      </c>
      <c r="AE114">
        <v>372231</v>
      </c>
      <c r="AF114">
        <v>3.79</v>
      </c>
      <c r="AG114">
        <v>433427</v>
      </c>
      <c r="AH114">
        <v>7.51</v>
      </c>
      <c r="AI114">
        <v>2712090</v>
      </c>
      <c r="AJ114">
        <v>67.239999999999995</v>
      </c>
      <c r="AK114">
        <v>10027694</v>
      </c>
      <c r="AL114">
        <v>143.30000000000001</v>
      </c>
      <c r="AM114">
        <v>43</v>
      </c>
    </row>
    <row r="115" spans="1:39" x14ac:dyDescent="0.25">
      <c r="A115">
        <v>163</v>
      </c>
      <c r="B115">
        <v>218733981</v>
      </c>
      <c r="C115">
        <v>65798004</v>
      </c>
      <c r="D115">
        <v>138534941</v>
      </c>
      <c r="E115">
        <v>185113360</v>
      </c>
      <c r="F115">
        <v>608180286</v>
      </c>
      <c r="G115">
        <v>89868</v>
      </c>
      <c r="H115">
        <v>49513</v>
      </c>
      <c r="I115">
        <v>9595</v>
      </c>
      <c r="J115">
        <v>148976</v>
      </c>
      <c r="K115">
        <v>91855136</v>
      </c>
      <c r="L115">
        <v>932.8</v>
      </c>
      <c r="M115">
        <v>610936</v>
      </c>
      <c r="N115">
        <v>10.32</v>
      </c>
      <c r="O115" t="s">
        <v>3178</v>
      </c>
      <c r="P115" t="s">
        <v>3178</v>
      </c>
      <c r="Q115">
        <v>2023500</v>
      </c>
      <c r="R115">
        <v>16.89</v>
      </c>
      <c r="S115">
        <v>6918719</v>
      </c>
      <c r="T115">
        <v>146.59</v>
      </c>
      <c r="U115">
        <v>4741416</v>
      </c>
      <c r="V115">
        <v>34.21</v>
      </c>
      <c r="W115">
        <v>43527015</v>
      </c>
      <c r="X115">
        <v>116.51</v>
      </c>
      <c r="Y115">
        <v>345342</v>
      </c>
      <c r="Z115">
        <v>2.96</v>
      </c>
      <c r="AA115">
        <v>1072781</v>
      </c>
      <c r="AB115">
        <v>14.55</v>
      </c>
      <c r="AC115">
        <v>2385100</v>
      </c>
      <c r="AD115">
        <v>29.59</v>
      </c>
      <c r="AE115">
        <v>9275510</v>
      </c>
      <c r="AF115">
        <v>120.04</v>
      </c>
      <c r="AG115">
        <v>2461181</v>
      </c>
      <c r="AH115">
        <v>39.72</v>
      </c>
      <c r="AI115">
        <v>47828065</v>
      </c>
      <c r="AJ115">
        <v>807.86</v>
      </c>
      <c r="AK115">
        <v>213044701</v>
      </c>
      <c r="AL115">
        <v>2272.04</v>
      </c>
      <c r="AM115">
        <v>546</v>
      </c>
    </row>
    <row r="116" spans="1:39" x14ac:dyDescent="0.25">
      <c r="A116">
        <v>164</v>
      </c>
      <c r="B116">
        <v>52822597</v>
      </c>
      <c r="C116">
        <v>58085435</v>
      </c>
      <c r="D116">
        <v>31445261</v>
      </c>
      <c r="E116">
        <v>69124186</v>
      </c>
      <c r="F116">
        <v>211477479</v>
      </c>
      <c r="G116">
        <v>34333</v>
      </c>
      <c r="H116">
        <v>47282</v>
      </c>
      <c r="I116">
        <v>3199</v>
      </c>
      <c r="J116">
        <v>84814</v>
      </c>
      <c r="K116">
        <v>36724761</v>
      </c>
      <c r="L116">
        <v>368.67</v>
      </c>
      <c r="M116">
        <v>273</v>
      </c>
      <c r="N116">
        <v>0.01</v>
      </c>
      <c r="O116" t="s">
        <v>3178</v>
      </c>
      <c r="P116" t="s">
        <v>3178</v>
      </c>
      <c r="Q116">
        <v>531143</v>
      </c>
      <c r="R116">
        <v>4.55</v>
      </c>
      <c r="S116">
        <v>3772227</v>
      </c>
      <c r="T116">
        <v>80.92</v>
      </c>
      <c r="U116">
        <v>2676818</v>
      </c>
      <c r="V116">
        <v>18.850000000000001</v>
      </c>
      <c r="W116">
        <v>12451642</v>
      </c>
      <c r="X116">
        <v>26.91</v>
      </c>
      <c r="Y116" t="s">
        <v>3178</v>
      </c>
      <c r="Z116" t="s">
        <v>3178</v>
      </c>
      <c r="AA116">
        <v>743190</v>
      </c>
      <c r="AB116">
        <v>10.17</v>
      </c>
      <c r="AC116">
        <v>768219</v>
      </c>
      <c r="AD116">
        <v>9.69</v>
      </c>
      <c r="AE116">
        <v>3223920</v>
      </c>
      <c r="AF116">
        <v>37.979999999999997</v>
      </c>
      <c r="AG116">
        <v>1940362</v>
      </c>
      <c r="AH116">
        <v>34.270000000000003</v>
      </c>
      <c r="AI116">
        <v>19379732</v>
      </c>
      <c r="AJ116">
        <v>334.82</v>
      </c>
      <c r="AK116">
        <v>82212287</v>
      </c>
      <c r="AL116">
        <v>926.84</v>
      </c>
      <c r="AM116">
        <v>275</v>
      </c>
    </row>
    <row r="117" spans="1:39" x14ac:dyDescent="0.25">
      <c r="A117">
        <v>167</v>
      </c>
      <c r="B117">
        <v>52196857</v>
      </c>
      <c r="C117">
        <v>10937571</v>
      </c>
      <c r="D117">
        <v>24181846</v>
      </c>
      <c r="E117">
        <v>32101703</v>
      </c>
      <c r="F117">
        <v>119417977</v>
      </c>
      <c r="G117">
        <v>108239</v>
      </c>
      <c r="H117">
        <v>12730</v>
      </c>
      <c r="I117">
        <v>3161</v>
      </c>
      <c r="J117">
        <v>124130</v>
      </c>
      <c r="K117">
        <v>8812778</v>
      </c>
      <c r="L117">
        <v>105</v>
      </c>
      <c r="M117">
        <v>1216160</v>
      </c>
      <c r="N117">
        <v>31.02</v>
      </c>
      <c r="O117">
        <v>1263677</v>
      </c>
      <c r="P117">
        <v>6.86</v>
      </c>
      <c r="Q117">
        <v>1295350</v>
      </c>
      <c r="R117">
        <v>13.81</v>
      </c>
      <c r="S117">
        <v>349975</v>
      </c>
      <c r="T117">
        <v>11.1</v>
      </c>
      <c r="U117">
        <v>473201</v>
      </c>
      <c r="V117">
        <v>3.85</v>
      </c>
      <c r="W117">
        <v>8291065</v>
      </c>
      <c r="X117">
        <v>23.26</v>
      </c>
      <c r="Y117">
        <v>78379</v>
      </c>
      <c r="Z117">
        <v>0.65</v>
      </c>
      <c r="AA117" t="s">
        <v>3178</v>
      </c>
      <c r="AB117" t="s">
        <v>3178</v>
      </c>
      <c r="AC117" t="s">
        <v>3178</v>
      </c>
      <c r="AD117" t="s">
        <v>3178</v>
      </c>
      <c r="AE117">
        <v>1395024</v>
      </c>
      <c r="AF117">
        <v>22.15</v>
      </c>
      <c r="AG117">
        <v>1112781</v>
      </c>
      <c r="AH117">
        <v>22.62</v>
      </c>
      <c r="AI117">
        <v>9028728</v>
      </c>
      <c r="AJ117">
        <v>180.1</v>
      </c>
      <c r="AK117">
        <v>33317118</v>
      </c>
      <c r="AL117">
        <v>420.42</v>
      </c>
      <c r="AM117">
        <v>83</v>
      </c>
    </row>
    <row r="118" spans="1:39" x14ac:dyDescent="0.25">
      <c r="A118">
        <v>168</v>
      </c>
      <c r="B118">
        <v>18630044</v>
      </c>
      <c r="C118">
        <v>31215868</v>
      </c>
      <c r="D118">
        <v>40208714</v>
      </c>
      <c r="E118">
        <v>223852490</v>
      </c>
      <c r="F118">
        <v>313907116</v>
      </c>
      <c r="G118">
        <v>137096</v>
      </c>
      <c r="H118">
        <v>34102</v>
      </c>
      <c r="I118">
        <v>3034</v>
      </c>
      <c r="J118">
        <v>174232</v>
      </c>
      <c r="K118">
        <v>24009452</v>
      </c>
      <c r="L118">
        <v>255.1</v>
      </c>
      <c r="M118">
        <v>217931</v>
      </c>
      <c r="N118">
        <v>3.8</v>
      </c>
      <c r="O118">
        <v>2722292</v>
      </c>
      <c r="P118">
        <v>14.9</v>
      </c>
      <c r="Q118">
        <v>898196</v>
      </c>
      <c r="R118">
        <v>8.5</v>
      </c>
      <c r="S118">
        <v>5647216</v>
      </c>
      <c r="T118">
        <v>139.69999999999999</v>
      </c>
      <c r="U118">
        <v>1348159</v>
      </c>
      <c r="V118">
        <v>10</v>
      </c>
      <c r="W118" t="s">
        <v>3178</v>
      </c>
      <c r="X118" t="s">
        <v>3178</v>
      </c>
      <c r="Y118">
        <v>1028562</v>
      </c>
      <c r="Z118">
        <v>7.4</v>
      </c>
      <c r="AA118">
        <v>431031</v>
      </c>
      <c r="AB118">
        <v>5.5</v>
      </c>
      <c r="AC118">
        <v>1955944</v>
      </c>
      <c r="AD118">
        <v>23.6</v>
      </c>
      <c r="AE118">
        <v>4620120</v>
      </c>
      <c r="AF118">
        <v>58.8</v>
      </c>
      <c r="AG118">
        <v>2425603</v>
      </c>
      <c r="AH118">
        <v>42.4</v>
      </c>
      <c r="AI118">
        <v>35999316</v>
      </c>
      <c r="AJ118">
        <v>600.79999999999995</v>
      </c>
      <c r="AK118">
        <v>81303822</v>
      </c>
      <c r="AL118">
        <v>1170.5</v>
      </c>
      <c r="AM118">
        <v>109</v>
      </c>
    </row>
    <row r="119" spans="1:39" x14ac:dyDescent="0.25">
      <c r="A119">
        <v>169</v>
      </c>
      <c r="B119">
        <v>3025517</v>
      </c>
      <c r="C119">
        <v>546466</v>
      </c>
      <c r="D119" t="s">
        <v>3178</v>
      </c>
      <c r="E119">
        <v>3719473</v>
      </c>
      <c r="F119">
        <v>7291456</v>
      </c>
      <c r="G119">
        <v>10073</v>
      </c>
      <c r="H119">
        <v>1370</v>
      </c>
      <c r="I119" t="s">
        <v>3178</v>
      </c>
      <c r="J119">
        <v>11443</v>
      </c>
      <c r="K119">
        <v>1124130</v>
      </c>
      <c r="L119">
        <v>17.600000000000001</v>
      </c>
      <c r="M119">
        <v>187708</v>
      </c>
      <c r="N119">
        <v>4.8499999999999996</v>
      </c>
      <c r="O119" t="s">
        <v>3178</v>
      </c>
      <c r="P119" t="s">
        <v>3178</v>
      </c>
      <c r="Q119">
        <v>218725</v>
      </c>
      <c r="R119">
        <v>1</v>
      </c>
      <c r="S119">
        <v>113390</v>
      </c>
      <c r="T119">
        <v>3.58</v>
      </c>
      <c r="U119">
        <v>3276</v>
      </c>
      <c r="V119">
        <v>0.03</v>
      </c>
      <c r="W119">
        <v>281569</v>
      </c>
      <c r="X119">
        <v>1</v>
      </c>
      <c r="Y119">
        <v>240552</v>
      </c>
      <c r="Z119">
        <v>1.73</v>
      </c>
      <c r="AA119" t="s">
        <v>3178</v>
      </c>
      <c r="AB119" t="s">
        <v>3178</v>
      </c>
      <c r="AC119">
        <v>237523</v>
      </c>
      <c r="AD119">
        <v>2.89</v>
      </c>
      <c r="AE119">
        <v>216968</v>
      </c>
      <c r="AF119">
        <v>3.38</v>
      </c>
      <c r="AG119">
        <v>202863</v>
      </c>
      <c r="AH119">
        <v>3.82</v>
      </c>
      <c r="AI119">
        <v>820204</v>
      </c>
      <c r="AJ119">
        <v>21.16</v>
      </c>
      <c r="AK119">
        <v>3646908</v>
      </c>
      <c r="AL119">
        <v>61.04</v>
      </c>
      <c r="AM119">
        <v>12</v>
      </c>
    </row>
    <row r="120" spans="1:39" x14ac:dyDescent="0.25">
      <c r="A120">
        <v>170</v>
      </c>
      <c r="B120">
        <v>4593792</v>
      </c>
      <c r="C120">
        <v>2491627</v>
      </c>
      <c r="D120">
        <v>2074225</v>
      </c>
      <c r="E120">
        <v>20090658</v>
      </c>
      <c r="F120">
        <v>29250302</v>
      </c>
      <c r="G120">
        <v>38952</v>
      </c>
      <c r="H120">
        <v>4395</v>
      </c>
      <c r="I120">
        <v>498</v>
      </c>
      <c r="J120">
        <v>43845</v>
      </c>
      <c r="K120">
        <v>1929925</v>
      </c>
      <c r="L120">
        <v>24.65</v>
      </c>
      <c r="M120">
        <v>447977</v>
      </c>
      <c r="N120">
        <v>10.17</v>
      </c>
      <c r="O120" t="s">
        <v>3178</v>
      </c>
      <c r="P120" t="s">
        <v>3178</v>
      </c>
      <c r="Q120">
        <v>409023</v>
      </c>
      <c r="R120">
        <v>3.55</v>
      </c>
      <c r="S120">
        <v>198274</v>
      </c>
      <c r="T120">
        <v>6.37</v>
      </c>
      <c r="U120">
        <v>136773</v>
      </c>
      <c r="V120">
        <v>1.01</v>
      </c>
      <c r="W120">
        <v>1994391</v>
      </c>
      <c r="X120">
        <v>8.32</v>
      </c>
      <c r="Y120">
        <v>700558</v>
      </c>
      <c r="Z120">
        <v>4.72</v>
      </c>
      <c r="AA120">
        <v>69825</v>
      </c>
      <c r="AB120">
        <v>1</v>
      </c>
      <c r="AC120">
        <v>217281</v>
      </c>
      <c r="AD120">
        <v>3.39</v>
      </c>
      <c r="AE120">
        <v>364719</v>
      </c>
      <c r="AF120">
        <v>5.46</v>
      </c>
      <c r="AG120">
        <v>451620</v>
      </c>
      <c r="AH120">
        <v>8.67</v>
      </c>
      <c r="AI120">
        <v>1421027</v>
      </c>
      <c r="AJ120">
        <v>25.75</v>
      </c>
      <c r="AK120">
        <v>8341393</v>
      </c>
      <c r="AL120">
        <v>103.06</v>
      </c>
      <c r="AM120">
        <v>35</v>
      </c>
    </row>
    <row r="121" spans="1:39" x14ac:dyDescent="0.25">
      <c r="A121">
        <v>171</v>
      </c>
      <c r="B121">
        <v>5097028</v>
      </c>
      <c r="C121">
        <v>2566994</v>
      </c>
      <c r="D121">
        <v>1533547</v>
      </c>
      <c r="E121">
        <v>16912054</v>
      </c>
      <c r="F121">
        <v>26109623</v>
      </c>
      <c r="G121">
        <v>47963</v>
      </c>
      <c r="H121">
        <v>3177</v>
      </c>
      <c r="I121">
        <v>398</v>
      </c>
      <c r="J121">
        <v>51538</v>
      </c>
      <c r="K121">
        <v>1586416</v>
      </c>
      <c r="L121">
        <v>20.73</v>
      </c>
      <c r="M121">
        <v>375818</v>
      </c>
      <c r="N121">
        <v>8.5299999999999994</v>
      </c>
      <c r="O121">
        <v>42924</v>
      </c>
      <c r="P121">
        <v>0.21</v>
      </c>
      <c r="Q121">
        <v>652930</v>
      </c>
      <c r="R121">
        <v>4.6500000000000004</v>
      </c>
      <c r="S121">
        <v>45554</v>
      </c>
      <c r="T121">
        <v>1.31</v>
      </c>
      <c r="U121">
        <v>138404</v>
      </c>
      <c r="V121">
        <v>1.01</v>
      </c>
      <c r="W121">
        <v>1267988</v>
      </c>
      <c r="X121">
        <v>4.55</v>
      </c>
      <c r="Y121">
        <v>269738</v>
      </c>
      <c r="Z121">
        <v>2.29</v>
      </c>
      <c r="AA121" t="s">
        <v>3178</v>
      </c>
      <c r="AB121" t="s">
        <v>3178</v>
      </c>
      <c r="AC121" t="s">
        <v>3178</v>
      </c>
      <c r="AD121" t="s">
        <v>3178</v>
      </c>
      <c r="AE121">
        <v>280282</v>
      </c>
      <c r="AF121">
        <v>3.85</v>
      </c>
      <c r="AG121">
        <v>316649</v>
      </c>
      <c r="AH121">
        <v>5.81</v>
      </c>
      <c r="AI121">
        <v>1197497</v>
      </c>
      <c r="AJ121">
        <v>20.69</v>
      </c>
      <c r="AK121">
        <v>6174200</v>
      </c>
      <c r="AL121">
        <v>73.63</v>
      </c>
      <c r="AM121">
        <v>25</v>
      </c>
    </row>
    <row r="122" spans="1:39" x14ac:dyDescent="0.25">
      <c r="A122">
        <v>172</v>
      </c>
      <c r="B122">
        <v>8000000</v>
      </c>
      <c r="C122">
        <v>10000000</v>
      </c>
      <c r="D122">
        <v>12062037</v>
      </c>
      <c r="E122">
        <v>32937963</v>
      </c>
      <c r="F122">
        <v>63000000</v>
      </c>
      <c r="G122">
        <v>41268</v>
      </c>
      <c r="H122">
        <v>7698</v>
      </c>
      <c r="I122">
        <v>2361</v>
      </c>
      <c r="J122">
        <v>51327</v>
      </c>
      <c r="K122">
        <v>5005428</v>
      </c>
      <c r="L122">
        <v>65.06</v>
      </c>
      <c r="M122">
        <v>103929</v>
      </c>
      <c r="N122">
        <v>2.63</v>
      </c>
      <c r="O122">
        <v>907406</v>
      </c>
      <c r="P122">
        <v>3.36</v>
      </c>
      <c r="Q122">
        <v>660375</v>
      </c>
      <c r="R122">
        <v>6.04</v>
      </c>
      <c r="S122">
        <v>517482</v>
      </c>
      <c r="T122">
        <v>16.73</v>
      </c>
      <c r="U122">
        <v>426477</v>
      </c>
      <c r="V122">
        <v>3.41</v>
      </c>
      <c r="W122">
        <v>7041707</v>
      </c>
      <c r="X122">
        <v>19.57</v>
      </c>
      <c r="Y122">
        <v>71332</v>
      </c>
      <c r="Z122">
        <v>0.85</v>
      </c>
      <c r="AA122" t="s">
        <v>3178</v>
      </c>
      <c r="AB122" t="s">
        <v>3178</v>
      </c>
      <c r="AC122" t="s">
        <v>3178</v>
      </c>
      <c r="AD122" t="s">
        <v>3178</v>
      </c>
      <c r="AE122">
        <v>605958</v>
      </c>
      <c r="AF122">
        <v>9.73</v>
      </c>
      <c r="AG122">
        <v>352468</v>
      </c>
      <c r="AH122">
        <v>7.5</v>
      </c>
      <c r="AI122">
        <v>1844809</v>
      </c>
      <c r="AJ122">
        <v>100.12</v>
      </c>
      <c r="AK122">
        <v>17537371</v>
      </c>
      <c r="AL122">
        <v>235</v>
      </c>
      <c r="AM122">
        <v>49</v>
      </c>
    </row>
    <row r="123" spans="1:39" x14ac:dyDescent="0.25">
      <c r="A123">
        <v>174</v>
      </c>
      <c r="B123">
        <v>812860</v>
      </c>
      <c r="C123">
        <v>409871</v>
      </c>
      <c r="D123">
        <v>733467</v>
      </c>
      <c r="E123">
        <v>3583646</v>
      </c>
      <c r="F123">
        <v>5539844</v>
      </c>
      <c r="G123">
        <v>6497</v>
      </c>
      <c r="H123">
        <v>848</v>
      </c>
      <c r="I123">
        <v>198</v>
      </c>
      <c r="J123">
        <v>7543</v>
      </c>
      <c r="K123">
        <v>604074</v>
      </c>
      <c r="L123">
        <v>9.3800000000000008</v>
      </c>
      <c r="M123">
        <v>162950</v>
      </c>
      <c r="N123">
        <v>3.48</v>
      </c>
      <c r="O123" t="s">
        <v>3178</v>
      </c>
      <c r="P123" t="s">
        <v>3178</v>
      </c>
      <c r="Q123">
        <v>121304</v>
      </c>
      <c r="R123">
        <v>0.81</v>
      </c>
      <c r="S123">
        <v>25641</v>
      </c>
      <c r="T123">
        <v>0.79</v>
      </c>
      <c r="U123">
        <v>127811</v>
      </c>
      <c r="V123">
        <v>1.03</v>
      </c>
      <c r="W123">
        <v>92003</v>
      </c>
      <c r="X123">
        <v>0.44</v>
      </c>
      <c r="Y123" t="s">
        <v>3178</v>
      </c>
      <c r="Z123" t="s">
        <v>3178</v>
      </c>
      <c r="AA123" t="s">
        <v>3178</v>
      </c>
      <c r="AB123" t="s">
        <v>3178</v>
      </c>
      <c r="AC123" t="s">
        <v>3178</v>
      </c>
      <c r="AD123" t="s">
        <v>3178</v>
      </c>
      <c r="AE123">
        <v>197452</v>
      </c>
      <c r="AF123">
        <v>3.09</v>
      </c>
      <c r="AG123">
        <v>165901</v>
      </c>
      <c r="AH123">
        <v>2.84</v>
      </c>
      <c r="AI123">
        <v>665651</v>
      </c>
      <c r="AJ123">
        <v>15.86</v>
      </c>
      <c r="AK123">
        <v>2162787</v>
      </c>
      <c r="AL123">
        <v>37.72</v>
      </c>
      <c r="AM123">
        <v>25</v>
      </c>
    </row>
    <row r="124" spans="1:39" x14ac:dyDescent="0.25">
      <c r="A124">
        <v>175</v>
      </c>
      <c r="B124">
        <v>6087788</v>
      </c>
      <c r="C124">
        <v>4406280</v>
      </c>
      <c r="D124">
        <v>937519</v>
      </c>
      <c r="E124">
        <v>8466689</v>
      </c>
      <c r="F124">
        <v>19898276</v>
      </c>
      <c r="G124">
        <v>29828</v>
      </c>
      <c r="H124">
        <v>3524</v>
      </c>
      <c r="I124">
        <v>250</v>
      </c>
      <c r="J124">
        <v>33602</v>
      </c>
      <c r="K124">
        <v>1242176</v>
      </c>
      <c r="L124">
        <v>15.46</v>
      </c>
      <c r="M124">
        <v>407974</v>
      </c>
      <c r="N124">
        <v>10.26</v>
      </c>
      <c r="O124" t="s">
        <v>3178</v>
      </c>
      <c r="P124" t="s">
        <v>3178</v>
      </c>
      <c r="Q124">
        <v>471102</v>
      </c>
      <c r="R124">
        <v>4.3</v>
      </c>
      <c r="S124">
        <v>931</v>
      </c>
      <c r="T124">
        <v>0.02</v>
      </c>
      <c r="U124">
        <v>185675</v>
      </c>
      <c r="V124">
        <v>2.11</v>
      </c>
      <c r="W124">
        <v>1008981</v>
      </c>
      <c r="X124">
        <v>3.27</v>
      </c>
      <c r="Y124">
        <v>167731</v>
      </c>
      <c r="Z124">
        <v>1.39</v>
      </c>
      <c r="AA124">
        <v>153162</v>
      </c>
      <c r="AB124">
        <v>2.08</v>
      </c>
      <c r="AC124">
        <v>332900</v>
      </c>
      <c r="AD124">
        <v>5.91</v>
      </c>
      <c r="AE124">
        <v>215529</v>
      </c>
      <c r="AF124">
        <v>3.16</v>
      </c>
      <c r="AG124">
        <v>350114</v>
      </c>
      <c r="AH124">
        <v>4.84</v>
      </c>
      <c r="AI124">
        <v>1961881</v>
      </c>
      <c r="AJ124">
        <v>43.28</v>
      </c>
      <c r="AK124">
        <v>6498156</v>
      </c>
      <c r="AL124">
        <v>96.08</v>
      </c>
      <c r="AM124">
        <v>16</v>
      </c>
    </row>
    <row r="125" spans="1:39" x14ac:dyDescent="0.25">
      <c r="A125">
        <v>176</v>
      </c>
      <c r="B125">
        <v>3174766</v>
      </c>
      <c r="C125">
        <v>2469123</v>
      </c>
      <c r="D125">
        <v>3509338</v>
      </c>
      <c r="E125">
        <v>10930402</v>
      </c>
      <c r="F125">
        <v>20083629</v>
      </c>
      <c r="G125">
        <v>10251</v>
      </c>
      <c r="H125">
        <v>3664</v>
      </c>
      <c r="I125">
        <v>955</v>
      </c>
      <c r="J125">
        <v>14870</v>
      </c>
      <c r="K125">
        <v>1906111</v>
      </c>
      <c r="L125">
        <v>23.35</v>
      </c>
      <c r="M125">
        <v>44237</v>
      </c>
      <c r="N125">
        <v>0.91</v>
      </c>
      <c r="O125" t="s">
        <v>3178</v>
      </c>
      <c r="P125" t="s">
        <v>3178</v>
      </c>
      <c r="Q125" t="s">
        <v>3178</v>
      </c>
      <c r="R125" t="s">
        <v>3178</v>
      </c>
      <c r="S125">
        <v>76317</v>
      </c>
      <c r="T125">
        <v>2.5499999999999998</v>
      </c>
      <c r="U125">
        <v>129754</v>
      </c>
      <c r="V125">
        <v>0.93</v>
      </c>
      <c r="W125" t="s">
        <v>3178</v>
      </c>
      <c r="X125" t="s">
        <v>3178</v>
      </c>
      <c r="Y125" t="s">
        <v>3178</v>
      </c>
      <c r="Z125" t="s">
        <v>3178</v>
      </c>
      <c r="AA125" t="s">
        <v>3178</v>
      </c>
      <c r="AB125" t="s">
        <v>3178</v>
      </c>
      <c r="AC125">
        <v>306158</v>
      </c>
      <c r="AD125">
        <v>3.77</v>
      </c>
      <c r="AE125">
        <v>355938</v>
      </c>
      <c r="AF125">
        <v>5.08</v>
      </c>
      <c r="AG125">
        <v>456206</v>
      </c>
      <c r="AH125">
        <v>7.41</v>
      </c>
      <c r="AI125">
        <v>2711223</v>
      </c>
      <c r="AJ125">
        <v>57.86</v>
      </c>
      <c r="AK125">
        <v>5985944</v>
      </c>
      <c r="AL125">
        <v>101.86</v>
      </c>
      <c r="AM125">
        <v>18</v>
      </c>
    </row>
    <row r="126" spans="1:39" x14ac:dyDescent="0.25">
      <c r="A126">
        <v>177</v>
      </c>
      <c r="B126">
        <v>14784410</v>
      </c>
      <c r="C126">
        <v>6451786</v>
      </c>
      <c r="D126">
        <v>6595781</v>
      </c>
      <c r="E126">
        <v>36729778</v>
      </c>
      <c r="F126">
        <v>64561755</v>
      </c>
      <c r="G126">
        <v>35013</v>
      </c>
      <c r="H126">
        <v>6013</v>
      </c>
      <c r="I126">
        <v>2412</v>
      </c>
      <c r="J126">
        <v>43438</v>
      </c>
      <c r="K126">
        <v>5030022</v>
      </c>
      <c r="L126">
        <v>70.44</v>
      </c>
      <c r="M126">
        <v>778559</v>
      </c>
      <c r="N126">
        <v>18.63</v>
      </c>
      <c r="O126">
        <v>521062</v>
      </c>
      <c r="P126">
        <v>3</v>
      </c>
      <c r="Q126">
        <v>245278</v>
      </c>
      <c r="R126">
        <v>2.83</v>
      </c>
      <c r="S126">
        <v>133708</v>
      </c>
      <c r="T126">
        <v>4.1399999999999997</v>
      </c>
      <c r="U126">
        <v>344172</v>
      </c>
      <c r="V126">
        <v>2.86</v>
      </c>
      <c r="W126">
        <v>4259766</v>
      </c>
      <c r="X126">
        <v>13.56</v>
      </c>
      <c r="Y126">
        <v>103070</v>
      </c>
      <c r="Z126">
        <v>1.1100000000000001</v>
      </c>
      <c r="AA126">
        <v>69596</v>
      </c>
      <c r="AB126">
        <v>1.03</v>
      </c>
      <c r="AC126">
        <v>335710</v>
      </c>
      <c r="AD126">
        <v>4.03</v>
      </c>
      <c r="AE126">
        <v>356602</v>
      </c>
      <c r="AF126">
        <v>6.58</v>
      </c>
      <c r="AG126">
        <v>476711</v>
      </c>
      <c r="AH126">
        <v>9.9700000000000006</v>
      </c>
      <c r="AI126">
        <v>5614013</v>
      </c>
      <c r="AJ126">
        <v>137.06</v>
      </c>
      <c r="AK126">
        <v>18268269</v>
      </c>
      <c r="AL126">
        <v>275.24</v>
      </c>
      <c r="AM126">
        <v>48</v>
      </c>
    </row>
    <row r="127" spans="1:39" x14ac:dyDescent="0.25">
      <c r="A127">
        <v>180</v>
      </c>
      <c r="B127">
        <v>251107708</v>
      </c>
      <c r="C127">
        <v>43308688</v>
      </c>
      <c r="D127">
        <v>58417810</v>
      </c>
      <c r="E127" t="s">
        <v>3178</v>
      </c>
      <c r="F127">
        <v>352834206</v>
      </c>
      <c r="G127">
        <v>67420</v>
      </c>
      <c r="H127">
        <v>38047</v>
      </c>
      <c r="I127">
        <v>4443</v>
      </c>
      <c r="J127">
        <v>109910</v>
      </c>
      <c r="K127">
        <v>39060262</v>
      </c>
      <c r="L127">
        <v>398.15</v>
      </c>
      <c r="M127">
        <v>441467</v>
      </c>
      <c r="N127">
        <v>8.49</v>
      </c>
      <c r="O127" t="s">
        <v>3178</v>
      </c>
      <c r="P127" t="s">
        <v>3178</v>
      </c>
      <c r="Q127">
        <v>363966</v>
      </c>
      <c r="R127">
        <v>3.34</v>
      </c>
      <c r="S127">
        <v>3173157</v>
      </c>
      <c r="T127">
        <v>82.47</v>
      </c>
      <c r="U127">
        <v>2880452</v>
      </c>
      <c r="V127">
        <v>21.67</v>
      </c>
      <c r="W127">
        <v>4957958</v>
      </c>
      <c r="X127">
        <v>15.73</v>
      </c>
      <c r="Y127">
        <v>531801</v>
      </c>
      <c r="Z127">
        <v>4.82</v>
      </c>
      <c r="AA127">
        <v>588560</v>
      </c>
      <c r="AB127">
        <v>7.76</v>
      </c>
      <c r="AC127">
        <v>1975564</v>
      </c>
      <c r="AD127">
        <v>24.56</v>
      </c>
      <c r="AE127">
        <v>4899169</v>
      </c>
      <c r="AF127">
        <v>59.57</v>
      </c>
      <c r="AG127">
        <v>2093911</v>
      </c>
      <c r="AH127">
        <v>36.19</v>
      </c>
      <c r="AI127">
        <v>26837020</v>
      </c>
      <c r="AJ127">
        <v>454.03</v>
      </c>
      <c r="AK127">
        <v>87803287</v>
      </c>
      <c r="AL127">
        <v>1116.78</v>
      </c>
      <c r="AM127">
        <v>184</v>
      </c>
    </row>
    <row r="128" spans="1:39" x14ac:dyDescent="0.25">
      <c r="A128">
        <v>183</v>
      </c>
      <c r="B128" t="s">
        <v>3178</v>
      </c>
      <c r="C128" t="s">
        <v>3178</v>
      </c>
      <c r="D128" t="s">
        <v>3178</v>
      </c>
      <c r="E128" t="s">
        <v>3178</v>
      </c>
      <c r="F128">
        <v>0</v>
      </c>
      <c r="G128" t="s">
        <v>3178</v>
      </c>
      <c r="H128" t="s">
        <v>3178</v>
      </c>
      <c r="I128" t="s">
        <v>3178</v>
      </c>
      <c r="J128" t="s">
        <v>3178</v>
      </c>
      <c r="K128">
        <v>6964400</v>
      </c>
      <c r="L128">
        <v>80.66</v>
      </c>
      <c r="M128">
        <v>76321</v>
      </c>
      <c r="N128">
        <v>1.41</v>
      </c>
      <c r="O128" t="s">
        <v>3178</v>
      </c>
      <c r="P128" t="s">
        <v>3178</v>
      </c>
      <c r="Q128">
        <v>62451</v>
      </c>
      <c r="R128">
        <v>0.62</v>
      </c>
      <c r="S128">
        <v>1819472</v>
      </c>
      <c r="T128">
        <v>49.77</v>
      </c>
      <c r="U128">
        <v>668800</v>
      </c>
      <c r="V128">
        <v>6.88</v>
      </c>
      <c r="W128">
        <v>1163185</v>
      </c>
      <c r="X128">
        <v>4.67</v>
      </c>
      <c r="Y128" t="s">
        <v>3178</v>
      </c>
      <c r="Z128" t="s">
        <v>3178</v>
      </c>
      <c r="AA128">
        <v>308958</v>
      </c>
      <c r="AB128">
        <v>4.9800000000000004</v>
      </c>
      <c r="AC128">
        <v>329770</v>
      </c>
      <c r="AD128">
        <v>4.67</v>
      </c>
      <c r="AE128" t="s">
        <v>3178</v>
      </c>
      <c r="AF128" t="s">
        <v>3178</v>
      </c>
      <c r="AG128" t="s">
        <v>3178</v>
      </c>
      <c r="AH128" t="s">
        <v>3178</v>
      </c>
      <c r="AI128">
        <v>5497014</v>
      </c>
      <c r="AJ128">
        <v>96.67</v>
      </c>
      <c r="AK128">
        <v>16890371</v>
      </c>
      <c r="AL128">
        <v>250.33</v>
      </c>
      <c r="AM128">
        <v>92</v>
      </c>
    </row>
    <row r="129" spans="1:39" x14ac:dyDescent="0.25">
      <c r="A129">
        <v>184</v>
      </c>
      <c r="B129">
        <v>4120743</v>
      </c>
      <c r="C129" t="s">
        <v>3178</v>
      </c>
      <c r="D129">
        <v>42355163</v>
      </c>
      <c r="E129">
        <v>29731499</v>
      </c>
      <c r="F129">
        <v>76207405</v>
      </c>
      <c r="G129">
        <v>3103</v>
      </c>
      <c r="H129" t="s">
        <v>3178</v>
      </c>
      <c r="I129">
        <v>11453</v>
      </c>
      <c r="J129">
        <v>14556</v>
      </c>
      <c r="K129">
        <v>5012847</v>
      </c>
      <c r="L129">
        <v>49.09</v>
      </c>
      <c r="M129">
        <v>114907</v>
      </c>
      <c r="N129">
        <v>1.85</v>
      </c>
      <c r="O129" t="s">
        <v>3178</v>
      </c>
      <c r="P129" t="s">
        <v>3178</v>
      </c>
      <c r="Q129" t="s">
        <v>3178</v>
      </c>
      <c r="R129" t="s">
        <v>3178</v>
      </c>
      <c r="S129">
        <v>311933</v>
      </c>
      <c r="T129">
        <v>6.8</v>
      </c>
      <c r="U129">
        <v>378880</v>
      </c>
      <c r="V129">
        <v>2.7</v>
      </c>
      <c r="W129" t="s">
        <v>3178</v>
      </c>
      <c r="X129" t="s">
        <v>3178</v>
      </c>
      <c r="Y129" t="s">
        <v>3178</v>
      </c>
      <c r="Z129" t="s">
        <v>3178</v>
      </c>
      <c r="AA129" t="s">
        <v>3178</v>
      </c>
      <c r="AB129" t="s">
        <v>3178</v>
      </c>
      <c r="AC129" t="s">
        <v>3178</v>
      </c>
      <c r="AD129" t="s">
        <v>3178</v>
      </c>
      <c r="AE129" t="s">
        <v>3178</v>
      </c>
      <c r="AF129" t="s">
        <v>3178</v>
      </c>
      <c r="AG129" t="s">
        <v>3178</v>
      </c>
      <c r="AH129" t="s">
        <v>3178</v>
      </c>
      <c r="AI129">
        <v>4446606</v>
      </c>
      <c r="AJ129">
        <v>71.03</v>
      </c>
      <c r="AK129">
        <v>10265173</v>
      </c>
      <c r="AL129">
        <v>131.47</v>
      </c>
      <c r="AM129">
        <v>20</v>
      </c>
    </row>
    <row r="130" spans="1:39" x14ac:dyDescent="0.25">
      <c r="A130">
        <v>185</v>
      </c>
      <c r="B130">
        <v>703181572</v>
      </c>
      <c r="C130">
        <v>47977860</v>
      </c>
      <c r="D130">
        <v>200652925</v>
      </c>
      <c r="E130">
        <v>480292688</v>
      </c>
      <c r="F130">
        <v>1432105045</v>
      </c>
      <c r="G130">
        <v>517052</v>
      </c>
      <c r="H130">
        <v>65220</v>
      </c>
      <c r="I130">
        <v>19512</v>
      </c>
      <c r="J130">
        <v>601784</v>
      </c>
      <c r="K130">
        <v>168405807</v>
      </c>
      <c r="L130">
        <v>1711.56</v>
      </c>
      <c r="M130">
        <v>570148</v>
      </c>
      <c r="N130">
        <v>10.76</v>
      </c>
      <c r="O130">
        <v>14958072</v>
      </c>
      <c r="P130">
        <v>83.6</v>
      </c>
      <c r="Q130">
        <v>5372736</v>
      </c>
      <c r="R130">
        <v>41.56</v>
      </c>
      <c r="S130">
        <v>2730366</v>
      </c>
      <c r="T130">
        <v>63.66</v>
      </c>
      <c r="U130">
        <v>11147115</v>
      </c>
      <c r="V130">
        <v>90.92</v>
      </c>
      <c r="W130">
        <v>25500727</v>
      </c>
      <c r="X130">
        <v>71.040000000000006</v>
      </c>
      <c r="Y130">
        <v>3013614</v>
      </c>
      <c r="Z130">
        <v>24.79</v>
      </c>
      <c r="AA130">
        <v>3858118</v>
      </c>
      <c r="AB130">
        <v>53.9</v>
      </c>
      <c r="AC130">
        <v>3512906</v>
      </c>
      <c r="AD130">
        <v>44.29</v>
      </c>
      <c r="AE130">
        <v>9748278</v>
      </c>
      <c r="AF130">
        <v>119.93</v>
      </c>
      <c r="AG130">
        <v>25339027</v>
      </c>
      <c r="AH130">
        <v>390.52</v>
      </c>
      <c r="AI130">
        <v>148217902</v>
      </c>
      <c r="AJ130">
        <v>2424.7399999999998</v>
      </c>
      <c r="AK130">
        <v>422374816</v>
      </c>
      <c r="AL130">
        <v>5131.2700000000004</v>
      </c>
      <c r="AM130">
        <v>1700</v>
      </c>
    </row>
    <row r="131" spans="1:39" x14ac:dyDescent="0.25">
      <c r="A131">
        <v>186</v>
      </c>
      <c r="B131">
        <v>52876718</v>
      </c>
      <c r="C131">
        <v>25418441</v>
      </c>
      <c r="D131">
        <v>31922988</v>
      </c>
      <c r="E131">
        <v>41250139</v>
      </c>
      <c r="F131">
        <v>151468286</v>
      </c>
      <c r="G131">
        <v>62675</v>
      </c>
      <c r="H131">
        <v>27176</v>
      </c>
      <c r="I131">
        <v>6821</v>
      </c>
      <c r="J131">
        <v>96672</v>
      </c>
      <c r="K131">
        <v>13289959</v>
      </c>
      <c r="L131">
        <v>128.53</v>
      </c>
      <c r="M131">
        <v>120559</v>
      </c>
      <c r="N131">
        <v>2.14</v>
      </c>
      <c r="O131" t="s">
        <v>3178</v>
      </c>
      <c r="P131" t="s">
        <v>3178</v>
      </c>
      <c r="Q131">
        <v>19929</v>
      </c>
      <c r="R131">
        <v>0.1</v>
      </c>
      <c r="S131">
        <v>282621</v>
      </c>
      <c r="T131">
        <v>6.79</v>
      </c>
      <c r="U131">
        <v>1205684</v>
      </c>
      <c r="V131">
        <v>8.2899999999999991</v>
      </c>
      <c r="W131">
        <v>7462454</v>
      </c>
      <c r="X131">
        <v>20.91</v>
      </c>
      <c r="Y131">
        <v>913625</v>
      </c>
      <c r="Z131">
        <v>7.62</v>
      </c>
      <c r="AA131">
        <v>75734</v>
      </c>
      <c r="AB131">
        <v>1.07</v>
      </c>
      <c r="AC131">
        <v>1182269</v>
      </c>
      <c r="AD131">
        <v>15.11</v>
      </c>
      <c r="AE131">
        <v>2095224</v>
      </c>
      <c r="AF131">
        <v>26.61</v>
      </c>
      <c r="AG131">
        <v>1061910</v>
      </c>
      <c r="AH131">
        <v>17.68</v>
      </c>
      <c r="AI131">
        <v>13703135</v>
      </c>
      <c r="AJ131">
        <v>205.88</v>
      </c>
      <c r="AK131">
        <v>41413103</v>
      </c>
      <c r="AL131">
        <v>440.73</v>
      </c>
      <c r="AM131">
        <v>61</v>
      </c>
    </row>
    <row r="132" spans="1:39" x14ac:dyDescent="0.25">
      <c r="A132">
        <v>187</v>
      </c>
      <c r="B132">
        <v>118467975</v>
      </c>
      <c r="C132">
        <v>33513785</v>
      </c>
      <c r="D132">
        <v>28858670</v>
      </c>
      <c r="E132" t="s">
        <v>3178</v>
      </c>
      <c r="F132">
        <v>180840430</v>
      </c>
      <c r="G132">
        <v>30154</v>
      </c>
      <c r="H132">
        <v>27886</v>
      </c>
      <c r="I132">
        <v>2124</v>
      </c>
      <c r="J132">
        <v>60164</v>
      </c>
      <c r="K132">
        <v>19951322</v>
      </c>
      <c r="L132">
        <v>205.03</v>
      </c>
      <c r="M132" t="s">
        <v>3178</v>
      </c>
      <c r="N132" t="s">
        <v>3178</v>
      </c>
      <c r="O132" t="s">
        <v>3178</v>
      </c>
      <c r="P132" t="s">
        <v>3178</v>
      </c>
      <c r="Q132">
        <v>131212</v>
      </c>
      <c r="R132">
        <v>0.78</v>
      </c>
      <c r="S132">
        <v>1310107</v>
      </c>
      <c r="T132">
        <v>33.19</v>
      </c>
      <c r="U132">
        <v>2158505</v>
      </c>
      <c r="V132">
        <v>16.03</v>
      </c>
      <c r="W132">
        <v>2631810</v>
      </c>
      <c r="X132">
        <v>11.41</v>
      </c>
      <c r="Y132">
        <v>156581</v>
      </c>
      <c r="Z132">
        <v>1</v>
      </c>
      <c r="AA132">
        <v>295358</v>
      </c>
      <c r="AB132">
        <v>4.08</v>
      </c>
      <c r="AC132">
        <v>314385</v>
      </c>
      <c r="AD132">
        <v>3.78</v>
      </c>
      <c r="AE132">
        <v>2573685</v>
      </c>
      <c r="AF132">
        <v>33.54</v>
      </c>
      <c r="AG132">
        <v>1274890</v>
      </c>
      <c r="AH132">
        <v>23.13</v>
      </c>
      <c r="AI132">
        <v>14962012</v>
      </c>
      <c r="AJ132">
        <v>250.41</v>
      </c>
      <c r="AK132">
        <v>45759867</v>
      </c>
      <c r="AL132">
        <v>582.38</v>
      </c>
      <c r="AM132">
        <v>86</v>
      </c>
    </row>
    <row r="133" spans="1:39" x14ac:dyDescent="0.25">
      <c r="A133">
        <v>191</v>
      </c>
      <c r="B133">
        <v>42982528</v>
      </c>
      <c r="C133">
        <v>59738493</v>
      </c>
      <c r="D133">
        <v>37352518</v>
      </c>
      <c r="E133">
        <v>25708616</v>
      </c>
      <c r="F133">
        <v>165782155</v>
      </c>
      <c r="G133">
        <v>5706</v>
      </c>
      <c r="H133">
        <v>37983</v>
      </c>
      <c r="I133">
        <v>4005</v>
      </c>
      <c r="J133">
        <v>47694</v>
      </c>
      <c r="K133">
        <v>23730193</v>
      </c>
      <c r="L133">
        <v>251.2</v>
      </c>
      <c r="M133" t="s">
        <v>3178</v>
      </c>
      <c r="N133" t="s">
        <v>3178</v>
      </c>
      <c r="O133" t="s">
        <v>3178</v>
      </c>
      <c r="P133" t="s">
        <v>3178</v>
      </c>
      <c r="Q133" t="s">
        <v>3178</v>
      </c>
      <c r="R133" t="s">
        <v>3178</v>
      </c>
      <c r="S133">
        <v>2270013</v>
      </c>
      <c r="T133">
        <v>57.5</v>
      </c>
      <c r="U133">
        <v>1868079</v>
      </c>
      <c r="V133">
        <v>13.69</v>
      </c>
      <c r="W133" t="s">
        <v>3178</v>
      </c>
      <c r="X133" t="s">
        <v>3178</v>
      </c>
      <c r="Y133" t="s">
        <v>3178</v>
      </c>
      <c r="Z133" t="s">
        <v>3178</v>
      </c>
      <c r="AA133" t="s">
        <v>3178</v>
      </c>
      <c r="AB133" t="s">
        <v>3178</v>
      </c>
      <c r="AC133" t="s">
        <v>3178</v>
      </c>
      <c r="AD133" t="s">
        <v>3178</v>
      </c>
      <c r="AE133">
        <v>1363233</v>
      </c>
      <c r="AF133">
        <v>17.510000000000002</v>
      </c>
      <c r="AG133">
        <v>413228</v>
      </c>
      <c r="AH133">
        <v>8.35</v>
      </c>
      <c r="AI133">
        <v>20540115</v>
      </c>
      <c r="AJ133">
        <v>293.49</v>
      </c>
      <c r="AK133">
        <v>50184861</v>
      </c>
      <c r="AL133">
        <v>641.74</v>
      </c>
      <c r="AM133">
        <v>130</v>
      </c>
    </row>
    <row r="134" spans="1:39" x14ac:dyDescent="0.25">
      <c r="A134">
        <v>200</v>
      </c>
      <c r="B134" t="s">
        <v>3178</v>
      </c>
      <c r="C134" t="s">
        <v>3178</v>
      </c>
      <c r="D134" t="s">
        <v>3178</v>
      </c>
      <c r="E134" t="s">
        <v>3178</v>
      </c>
      <c r="F134">
        <v>0</v>
      </c>
      <c r="G134" t="s">
        <v>3178</v>
      </c>
      <c r="H134" t="s">
        <v>3178</v>
      </c>
      <c r="I134" t="s">
        <v>3178</v>
      </c>
      <c r="J134" t="s">
        <v>3178</v>
      </c>
      <c r="K134" t="s">
        <v>3178</v>
      </c>
      <c r="L134">
        <v>80.69</v>
      </c>
      <c r="M134" t="s">
        <v>3178</v>
      </c>
      <c r="N134">
        <v>49.65</v>
      </c>
      <c r="O134" t="s">
        <v>3178</v>
      </c>
      <c r="P134" t="s">
        <v>3178</v>
      </c>
      <c r="Q134" t="s">
        <v>3178</v>
      </c>
      <c r="R134">
        <v>6.61</v>
      </c>
      <c r="S134" t="s">
        <v>3178</v>
      </c>
      <c r="T134">
        <v>64.930000000000007</v>
      </c>
      <c r="U134" t="s">
        <v>3178</v>
      </c>
      <c r="V134" t="s">
        <v>3178</v>
      </c>
      <c r="W134" t="s">
        <v>3178</v>
      </c>
      <c r="X134">
        <v>5.93</v>
      </c>
      <c r="Y134" t="s">
        <v>3178</v>
      </c>
      <c r="Z134" t="s">
        <v>3178</v>
      </c>
      <c r="AA134" t="s">
        <v>3178</v>
      </c>
      <c r="AB134">
        <v>4</v>
      </c>
      <c r="AC134" t="s">
        <v>3178</v>
      </c>
      <c r="AD134" t="s">
        <v>3178</v>
      </c>
      <c r="AE134" t="s">
        <v>3178</v>
      </c>
      <c r="AF134" t="s">
        <v>3178</v>
      </c>
      <c r="AG134" t="s">
        <v>3178</v>
      </c>
      <c r="AH134" t="s">
        <v>3178</v>
      </c>
      <c r="AI134">
        <v>0</v>
      </c>
      <c r="AJ134">
        <v>128.38999999999999</v>
      </c>
      <c r="AK134">
        <v>0</v>
      </c>
      <c r="AL134">
        <v>340.2</v>
      </c>
      <c r="AM134">
        <v>175</v>
      </c>
    </row>
    <row r="135" spans="1:39" x14ac:dyDescent="0.25">
      <c r="A135">
        <v>209</v>
      </c>
      <c r="B135" t="s">
        <v>3178</v>
      </c>
      <c r="C135" t="s">
        <v>3178</v>
      </c>
      <c r="D135" t="s">
        <v>3178</v>
      </c>
      <c r="E135" t="s">
        <v>3178</v>
      </c>
      <c r="F135">
        <v>0</v>
      </c>
      <c r="G135" t="s">
        <v>3178</v>
      </c>
      <c r="H135" t="s">
        <v>3178</v>
      </c>
      <c r="I135" t="s">
        <v>3178</v>
      </c>
      <c r="J135" t="s">
        <v>3178</v>
      </c>
      <c r="K135" t="s">
        <v>3178</v>
      </c>
      <c r="L135">
        <v>14.01</v>
      </c>
      <c r="M135" t="s">
        <v>3178</v>
      </c>
      <c r="N135">
        <v>2.15</v>
      </c>
      <c r="O135" t="s">
        <v>3178</v>
      </c>
      <c r="P135" t="s">
        <v>3178</v>
      </c>
      <c r="Q135" t="s">
        <v>3178</v>
      </c>
      <c r="R135">
        <v>0.28999999999999998</v>
      </c>
      <c r="S135" t="s">
        <v>3178</v>
      </c>
      <c r="T135">
        <v>16.350000000000001</v>
      </c>
      <c r="U135" t="s">
        <v>3178</v>
      </c>
      <c r="V135" t="s">
        <v>3178</v>
      </c>
      <c r="W135" t="s">
        <v>3178</v>
      </c>
      <c r="X135">
        <v>1.02</v>
      </c>
      <c r="Y135" t="s">
        <v>3178</v>
      </c>
      <c r="Z135" t="s">
        <v>3178</v>
      </c>
      <c r="AA135" t="s">
        <v>3178</v>
      </c>
      <c r="AB135" t="s">
        <v>3178</v>
      </c>
      <c r="AC135" t="s">
        <v>3178</v>
      </c>
      <c r="AD135" t="s">
        <v>3178</v>
      </c>
      <c r="AE135" t="s">
        <v>3178</v>
      </c>
      <c r="AF135" t="s">
        <v>3178</v>
      </c>
      <c r="AG135" t="s">
        <v>3178</v>
      </c>
      <c r="AH135" t="s">
        <v>3178</v>
      </c>
      <c r="AI135">
        <v>0</v>
      </c>
      <c r="AJ135">
        <v>6.79</v>
      </c>
      <c r="AK135">
        <v>0</v>
      </c>
      <c r="AL135">
        <v>40.61</v>
      </c>
      <c r="AM135">
        <v>16</v>
      </c>
    </row>
    <row r="136" spans="1:39" x14ac:dyDescent="0.25">
      <c r="A136">
        <v>210</v>
      </c>
      <c r="B136" t="s">
        <v>3178</v>
      </c>
      <c r="C136" t="s">
        <v>3178</v>
      </c>
      <c r="D136" t="s">
        <v>3178</v>
      </c>
      <c r="E136" t="s">
        <v>3178</v>
      </c>
      <c r="F136">
        <v>0</v>
      </c>
      <c r="G136">
        <v>5661</v>
      </c>
      <c r="H136" t="s">
        <v>3178</v>
      </c>
      <c r="I136">
        <v>371</v>
      </c>
      <c r="J136">
        <v>6032</v>
      </c>
      <c r="K136" t="s">
        <v>3178</v>
      </c>
      <c r="L136">
        <v>22.77</v>
      </c>
      <c r="M136" t="s">
        <v>3178</v>
      </c>
      <c r="N136" t="s">
        <v>3178</v>
      </c>
      <c r="O136" t="s">
        <v>3178</v>
      </c>
      <c r="P136">
        <v>0.6</v>
      </c>
      <c r="Q136" t="s">
        <v>3178</v>
      </c>
      <c r="R136" t="s">
        <v>3178</v>
      </c>
      <c r="S136" t="s">
        <v>3178</v>
      </c>
      <c r="T136" t="s">
        <v>3178</v>
      </c>
      <c r="U136" t="s">
        <v>3178</v>
      </c>
      <c r="V136" t="s">
        <v>3178</v>
      </c>
      <c r="W136" t="s">
        <v>3178</v>
      </c>
      <c r="X136">
        <v>4.57</v>
      </c>
      <c r="Y136" t="s">
        <v>3178</v>
      </c>
      <c r="Z136">
        <v>3.42</v>
      </c>
      <c r="AA136" t="s">
        <v>3178</v>
      </c>
      <c r="AB136">
        <v>2.3199999999999998</v>
      </c>
      <c r="AC136" t="s">
        <v>3178</v>
      </c>
      <c r="AD136">
        <v>3.39</v>
      </c>
      <c r="AE136" t="s">
        <v>3178</v>
      </c>
      <c r="AF136">
        <v>3.24</v>
      </c>
      <c r="AG136" t="s">
        <v>3178</v>
      </c>
      <c r="AH136">
        <v>2.2400000000000002</v>
      </c>
      <c r="AI136">
        <v>0</v>
      </c>
      <c r="AJ136">
        <v>83.74</v>
      </c>
      <c r="AK136">
        <v>0</v>
      </c>
      <c r="AL136">
        <v>126.29</v>
      </c>
      <c r="AM136">
        <v>40</v>
      </c>
    </row>
    <row r="137" spans="1:39" x14ac:dyDescent="0.25">
      <c r="A137">
        <v>211</v>
      </c>
      <c r="B137" t="s">
        <v>3178</v>
      </c>
      <c r="C137" t="s">
        <v>3178</v>
      </c>
      <c r="D137" t="s">
        <v>3178</v>
      </c>
      <c r="E137" t="s">
        <v>3178</v>
      </c>
      <c r="F137">
        <v>0</v>
      </c>
      <c r="G137">
        <v>872923</v>
      </c>
      <c r="H137">
        <v>22882</v>
      </c>
      <c r="I137">
        <v>7475</v>
      </c>
      <c r="J137">
        <v>903280</v>
      </c>
      <c r="K137">
        <v>88468899</v>
      </c>
      <c r="L137">
        <v>846.05</v>
      </c>
      <c r="M137">
        <v>7909420</v>
      </c>
      <c r="N137">
        <v>279.89</v>
      </c>
      <c r="O137">
        <v>4669046</v>
      </c>
      <c r="P137">
        <v>27.07</v>
      </c>
      <c r="Q137">
        <v>3950777</v>
      </c>
      <c r="R137">
        <v>31.98</v>
      </c>
      <c r="S137">
        <v>4640505</v>
      </c>
      <c r="T137">
        <v>106.16</v>
      </c>
      <c r="U137">
        <v>12714460</v>
      </c>
      <c r="V137">
        <v>93.07</v>
      </c>
      <c r="W137">
        <v>75685671</v>
      </c>
      <c r="X137">
        <v>287.3</v>
      </c>
      <c r="Y137">
        <v>1833942</v>
      </c>
      <c r="Z137">
        <v>16.37</v>
      </c>
      <c r="AA137">
        <v>2462542</v>
      </c>
      <c r="AB137">
        <v>31.79</v>
      </c>
      <c r="AC137">
        <v>3093375</v>
      </c>
      <c r="AD137">
        <v>37.1</v>
      </c>
      <c r="AE137">
        <v>4060217</v>
      </c>
      <c r="AF137">
        <v>52.33</v>
      </c>
      <c r="AG137">
        <v>6036004</v>
      </c>
      <c r="AH137">
        <v>91.54</v>
      </c>
      <c r="AI137">
        <v>110362670</v>
      </c>
      <c r="AJ137">
        <v>1740.35</v>
      </c>
      <c r="AK137">
        <v>325887528</v>
      </c>
      <c r="AL137">
        <v>3641</v>
      </c>
      <c r="AM137">
        <v>305</v>
      </c>
    </row>
    <row r="138" spans="1:39" x14ac:dyDescent="0.25">
      <c r="A138">
        <v>212</v>
      </c>
      <c r="B138" t="s">
        <v>3178</v>
      </c>
      <c r="C138" t="s">
        <v>3178</v>
      </c>
      <c r="D138" t="s">
        <v>3178</v>
      </c>
      <c r="E138" t="s">
        <v>3178</v>
      </c>
      <c r="F138">
        <v>0</v>
      </c>
      <c r="G138">
        <v>484474</v>
      </c>
      <c r="H138" t="s">
        <v>3178</v>
      </c>
      <c r="I138">
        <v>10251</v>
      </c>
      <c r="J138">
        <v>494725</v>
      </c>
      <c r="K138">
        <v>28431664</v>
      </c>
      <c r="L138">
        <v>254.77</v>
      </c>
      <c r="M138">
        <v>15374869</v>
      </c>
      <c r="N138">
        <v>210.17</v>
      </c>
      <c r="O138">
        <v>1050754</v>
      </c>
      <c r="P138">
        <v>5</v>
      </c>
      <c r="Q138">
        <v>3341551</v>
      </c>
      <c r="R138">
        <v>22.25</v>
      </c>
      <c r="S138">
        <v>4696408</v>
      </c>
      <c r="T138">
        <v>83.18</v>
      </c>
      <c r="U138">
        <v>6332458</v>
      </c>
      <c r="V138">
        <v>35.15</v>
      </c>
      <c r="W138">
        <v>14511780</v>
      </c>
      <c r="X138">
        <v>47.05</v>
      </c>
      <c r="Y138">
        <v>1093061</v>
      </c>
      <c r="Z138">
        <v>6.88</v>
      </c>
      <c r="AA138">
        <v>657647</v>
      </c>
      <c r="AB138">
        <v>6.42</v>
      </c>
      <c r="AC138">
        <v>894125</v>
      </c>
      <c r="AD138">
        <v>7.53</v>
      </c>
      <c r="AE138">
        <v>1077870</v>
      </c>
      <c r="AF138">
        <v>11.58</v>
      </c>
      <c r="AG138">
        <v>1954078</v>
      </c>
      <c r="AH138">
        <v>23.21</v>
      </c>
      <c r="AI138">
        <v>67518571</v>
      </c>
      <c r="AJ138">
        <v>867.16</v>
      </c>
      <c r="AK138">
        <v>146934836</v>
      </c>
      <c r="AL138">
        <v>1580.35</v>
      </c>
      <c r="AM138">
        <v>35</v>
      </c>
    </row>
    <row r="139" spans="1:39" x14ac:dyDescent="0.25">
      <c r="A139">
        <v>248</v>
      </c>
      <c r="B139" t="s">
        <v>3178</v>
      </c>
      <c r="C139" t="s">
        <v>3178</v>
      </c>
      <c r="D139" t="s">
        <v>3178</v>
      </c>
      <c r="E139" t="s">
        <v>3178</v>
      </c>
      <c r="F139">
        <v>0</v>
      </c>
      <c r="G139" t="s">
        <v>3178</v>
      </c>
      <c r="H139" t="s">
        <v>3178</v>
      </c>
      <c r="I139" t="s">
        <v>3178</v>
      </c>
      <c r="J139" t="s">
        <v>3178</v>
      </c>
      <c r="K139" t="s">
        <v>3178</v>
      </c>
      <c r="L139">
        <v>11.93</v>
      </c>
      <c r="M139" t="s">
        <v>3178</v>
      </c>
      <c r="N139">
        <v>8.18</v>
      </c>
      <c r="O139" t="s">
        <v>3178</v>
      </c>
      <c r="P139" t="s">
        <v>3178</v>
      </c>
      <c r="Q139" t="s">
        <v>3178</v>
      </c>
      <c r="R139">
        <v>0.52</v>
      </c>
      <c r="S139" t="s">
        <v>3178</v>
      </c>
      <c r="T139">
        <v>5.42</v>
      </c>
      <c r="U139" t="s">
        <v>3178</v>
      </c>
      <c r="V139" t="s">
        <v>3178</v>
      </c>
      <c r="W139" t="s">
        <v>3178</v>
      </c>
      <c r="X139">
        <v>1</v>
      </c>
      <c r="Y139" t="s">
        <v>3178</v>
      </c>
      <c r="Z139" t="s">
        <v>3178</v>
      </c>
      <c r="AA139" t="s">
        <v>3178</v>
      </c>
      <c r="AB139">
        <v>2</v>
      </c>
      <c r="AC139" t="s">
        <v>3178</v>
      </c>
      <c r="AD139" t="s">
        <v>3178</v>
      </c>
      <c r="AE139" t="s">
        <v>3178</v>
      </c>
      <c r="AF139" t="s">
        <v>3178</v>
      </c>
      <c r="AG139" t="s">
        <v>3178</v>
      </c>
      <c r="AH139" t="s">
        <v>3178</v>
      </c>
      <c r="AI139">
        <v>0</v>
      </c>
      <c r="AJ139">
        <v>5.83</v>
      </c>
      <c r="AK139">
        <v>0</v>
      </c>
      <c r="AL139">
        <v>34.880000000000003</v>
      </c>
      <c r="AM139">
        <v>16</v>
      </c>
    </row>
    <row r="140" spans="1:39" x14ac:dyDescent="0.25">
      <c r="A140">
        <v>249</v>
      </c>
      <c r="B140" t="s">
        <v>3178</v>
      </c>
      <c r="C140" t="s">
        <v>3178</v>
      </c>
      <c r="D140" t="s">
        <v>3178</v>
      </c>
      <c r="E140" t="s">
        <v>3178</v>
      </c>
      <c r="F140">
        <v>0</v>
      </c>
      <c r="G140" t="s">
        <v>3178</v>
      </c>
      <c r="H140" t="s">
        <v>3178</v>
      </c>
      <c r="I140" t="s">
        <v>3178</v>
      </c>
      <c r="J140" t="s">
        <v>3178</v>
      </c>
      <c r="K140" t="s">
        <v>3178</v>
      </c>
      <c r="L140">
        <v>11.4</v>
      </c>
      <c r="M140" t="s">
        <v>3178</v>
      </c>
      <c r="N140">
        <v>7.92</v>
      </c>
      <c r="O140" t="s">
        <v>3178</v>
      </c>
      <c r="P140" t="s">
        <v>3178</v>
      </c>
      <c r="Q140" t="s">
        <v>3178</v>
      </c>
      <c r="R140" t="s">
        <v>3178</v>
      </c>
      <c r="S140" t="s">
        <v>3178</v>
      </c>
      <c r="T140">
        <v>4.5</v>
      </c>
      <c r="U140" t="s">
        <v>3178</v>
      </c>
      <c r="V140" t="s">
        <v>3178</v>
      </c>
      <c r="W140" t="s">
        <v>3178</v>
      </c>
      <c r="X140">
        <v>1.56</v>
      </c>
      <c r="Y140" t="s">
        <v>3178</v>
      </c>
      <c r="Z140" t="s">
        <v>3178</v>
      </c>
      <c r="AA140" t="s">
        <v>3178</v>
      </c>
      <c r="AB140">
        <v>1.02</v>
      </c>
      <c r="AC140" t="s">
        <v>3178</v>
      </c>
      <c r="AD140" t="s">
        <v>3178</v>
      </c>
      <c r="AE140" t="s">
        <v>3178</v>
      </c>
      <c r="AF140" t="s">
        <v>3178</v>
      </c>
      <c r="AG140" t="s">
        <v>3178</v>
      </c>
      <c r="AH140" t="s">
        <v>3178</v>
      </c>
      <c r="AI140">
        <v>0</v>
      </c>
      <c r="AJ140">
        <v>7.22</v>
      </c>
      <c r="AK140">
        <v>0</v>
      </c>
      <c r="AL140">
        <v>33.619999999999997</v>
      </c>
      <c r="AM140">
        <v>16</v>
      </c>
    </row>
    <row r="141" spans="1:39" x14ac:dyDescent="0.25">
      <c r="A141">
        <v>250</v>
      </c>
      <c r="B141" t="s">
        <v>3178</v>
      </c>
      <c r="C141" t="s">
        <v>3178</v>
      </c>
      <c r="D141" t="s">
        <v>3178</v>
      </c>
      <c r="E141" t="s">
        <v>3178</v>
      </c>
      <c r="F141">
        <v>0</v>
      </c>
      <c r="G141" t="s">
        <v>3178</v>
      </c>
      <c r="H141" t="s">
        <v>3178</v>
      </c>
      <c r="I141" t="s">
        <v>3178</v>
      </c>
      <c r="J141" t="s">
        <v>3178</v>
      </c>
      <c r="K141" t="s">
        <v>3178</v>
      </c>
      <c r="L141">
        <v>10.47</v>
      </c>
      <c r="M141" t="s">
        <v>3178</v>
      </c>
      <c r="N141">
        <v>8.74</v>
      </c>
      <c r="O141" t="s">
        <v>3178</v>
      </c>
      <c r="P141" t="s">
        <v>3178</v>
      </c>
      <c r="Q141" t="s">
        <v>3178</v>
      </c>
      <c r="R141">
        <v>0.79</v>
      </c>
      <c r="S141" t="s">
        <v>3178</v>
      </c>
      <c r="T141">
        <v>5.08</v>
      </c>
      <c r="U141" t="s">
        <v>3178</v>
      </c>
      <c r="V141" t="s">
        <v>3178</v>
      </c>
      <c r="W141" t="s">
        <v>3178</v>
      </c>
      <c r="X141" t="s">
        <v>3178</v>
      </c>
      <c r="Y141" t="s">
        <v>3178</v>
      </c>
      <c r="Z141" t="s">
        <v>3178</v>
      </c>
      <c r="AA141" t="s">
        <v>3178</v>
      </c>
      <c r="AB141">
        <v>1</v>
      </c>
      <c r="AC141" t="s">
        <v>3178</v>
      </c>
      <c r="AD141" t="s">
        <v>3178</v>
      </c>
      <c r="AE141" t="s">
        <v>3178</v>
      </c>
      <c r="AF141" t="s">
        <v>3178</v>
      </c>
      <c r="AG141" t="s">
        <v>3178</v>
      </c>
      <c r="AH141" t="s">
        <v>3178</v>
      </c>
      <c r="AI141">
        <v>0</v>
      </c>
      <c r="AJ141">
        <v>7.02</v>
      </c>
      <c r="AK141">
        <v>0</v>
      </c>
      <c r="AL141">
        <v>33.1</v>
      </c>
      <c r="AM141">
        <v>16</v>
      </c>
    </row>
    <row r="142" spans="1:39" x14ac:dyDescent="0.25">
      <c r="A142">
        <v>251</v>
      </c>
      <c r="B142" t="s">
        <v>3178</v>
      </c>
      <c r="C142" t="s">
        <v>3178</v>
      </c>
      <c r="D142" t="s">
        <v>3178</v>
      </c>
      <c r="E142" t="s">
        <v>3178</v>
      </c>
      <c r="F142">
        <v>0</v>
      </c>
      <c r="G142" t="s">
        <v>3178</v>
      </c>
      <c r="H142" t="s">
        <v>3178</v>
      </c>
      <c r="I142" t="s">
        <v>3178</v>
      </c>
      <c r="J142" t="s">
        <v>3178</v>
      </c>
      <c r="K142" t="s">
        <v>3178</v>
      </c>
      <c r="L142">
        <v>14.66</v>
      </c>
      <c r="M142" t="s">
        <v>3178</v>
      </c>
      <c r="N142">
        <v>3.72</v>
      </c>
      <c r="O142" t="s">
        <v>3178</v>
      </c>
      <c r="P142" t="s">
        <v>3178</v>
      </c>
      <c r="Q142" t="s">
        <v>3178</v>
      </c>
      <c r="R142">
        <v>0.03</v>
      </c>
      <c r="S142" t="s">
        <v>3178</v>
      </c>
      <c r="T142">
        <v>3.35</v>
      </c>
      <c r="U142" t="s">
        <v>3178</v>
      </c>
      <c r="V142" t="s">
        <v>3178</v>
      </c>
      <c r="W142" t="s">
        <v>3178</v>
      </c>
      <c r="X142">
        <v>1.7</v>
      </c>
      <c r="Y142" t="s">
        <v>3178</v>
      </c>
      <c r="Z142" t="s">
        <v>3178</v>
      </c>
      <c r="AA142" t="s">
        <v>3178</v>
      </c>
      <c r="AB142">
        <v>1.01</v>
      </c>
      <c r="AC142" t="s">
        <v>3178</v>
      </c>
      <c r="AD142" t="s">
        <v>3178</v>
      </c>
      <c r="AE142" t="s">
        <v>3178</v>
      </c>
      <c r="AF142" t="s">
        <v>3178</v>
      </c>
      <c r="AG142" t="s">
        <v>3178</v>
      </c>
      <c r="AH142" t="s">
        <v>3178</v>
      </c>
      <c r="AI142">
        <v>0</v>
      </c>
      <c r="AJ142">
        <v>7.9</v>
      </c>
      <c r="AK142">
        <v>0</v>
      </c>
      <c r="AL142">
        <v>32.369999999999997</v>
      </c>
      <c r="AM142">
        <v>16</v>
      </c>
    </row>
    <row r="143" spans="1:39" x14ac:dyDescent="0.25">
      <c r="A143">
        <v>252</v>
      </c>
      <c r="B143" t="s">
        <v>3178</v>
      </c>
      <c r="C143" t="s">
        <v>3178</v>
      </c>
      <c r="D143" t="s">
        <v>3178</v>
      </c>
      <c r="E143" t="s">
        <v>3178</v>
      </c>
      <c r="F143">
        <v>0</v>
      </c>
      <c r="G143" t="s">
        <v>3178</v>
      </c>
      <c r="H143" t="s">
        <v>3178</v>
      </c>
      <c r="I143" t="s">
        <v>3178</v>
      </c>
      <c r="J143" t="s">
        <v>3178</v>
      </c>
      <c r="K143" t="s">
        <v>3178</v>
      </c>
      <c r="L143">
        <v>13.17</v>
      </c>
      <c r="M143" t="s">
        <v>3178</v>
      </c>
      <c r="N143">
        <v>2.58</v>
      </c>
      <c r="O143" t="s">
        <v>3178</v>
      </c>
      <c r="P143" t="s">
        <v>3178</v>
      </c>
      <c r="Q143" t="s">
        <v>3178</v>
      </c>
      <c r="R143">
        <v>1</v>
      </c>
      <c r="S143" t="s">
        <v>3178</v>
      </c>
      <c r="T143">
        <v>5.62</v>
      </c>
      <c r="U143" t="s">
        <v>3178</v>
      </c>
      <c r="V143" t="s">
        <v>3178</v>
      </c>
      <c r="W143" t="s">
        <v>3178</v>
      </c>
      <c r="X143">
        <v>1.19</v>
      </c>
      <c r="Y143" t="s">
        <v>3178</v>
      </c>
      <c r="Z143" t="s">
        <v>3178</v>
      </c>
      <c r="AA143" t="s">
        <v>3178</v>
      </c>
      <c r="AB143">
        <v>1</v>
      </c>
      <c r="AC143" t="s">
        <v>3178</v>
      </c>
      <c r="AD143" t="s">
        <v>3178</v>
      </c>
      <c r="AE143" t="s">
        <v>3178</v>
      </c>
      <c r="AF143" t="s">
        <v>3178</v>
      </c>
      <c r="AG143" t="s">
        <v>3178</v>
      </c>
      <c r="AH143" t="s">
        <v>3178</v>
      </c>
      <c r="AI143">
        <v>0</v>
      </c>
      <c r="AJ143">
        <v>7.33</v>
      </c>
      <c r="AK143">
        <v>0</v>
      </c>
      <c r="AL143">
        <v>31.89</v>
      </c>
      <c r="AM143">
        <v>16</v>
      </c>
    </row>
    <row r="144" spans="1:39" x14ac:dyDescent="0.25">
      <c r="A144">
        <v>254</v>
      </c>
      <c r="B144" t="s">
        <v>3178</v>
      </c>
      <c r="C144" t="s">
        <v>3178</v>
      </c>
      <c r="D144" t="s">
        <v>3178</v>
      </c>
      <c r="E144" t="s">
        <v>3178</v>
      </c>
      <c r="F144">
        <v>0</v>
      </c>
      <c r="G144" t="s">
        <v>3178</v>
      </c>
      <c r="H144" t="s">
        <v>3178</v>
      </c>
      <c r="I144" t="s">
        <v>3178</v>
      </c>
      <c r="J144" t="s">
        <v>3178</v>
      </c>
      <c r="K144" t="s">
        <v>3178</v>
      </c>
      <c r="L144">
        <v>11.42</v>
      </c>
      <c r="M144" t="s">
        <v>3178</v>
      </c>
      <c r="N144">
        <v>9.9700000000000006</v>
      </c>
      <c r="O144" t="s">
        <v>3178</v>
      </c>
      <c r="P144" t="s">
        <v>3178</v>
      </c>
      <c r="Q144" t="s">
        <v>3178</v>
      </c>
      <c r="R144">
        <v>2.04</v>
      </c>
      <c r="S144" t="s">
        <v>3178</v>
      </c>
      <c r="T144">
        <v>7.76</v>
      </c>
      <c r="U144" t="s">
        <v>3178</v>
      </c>
      <c r="V144" t="s">
        <v>3178</v>
      </c>
      <c r="W144" t="s">
        <v>3178</v>
      </c>
      <c r="X144">
        <v>0.92</v>
      </c>
      <c r="Y144" t="s">
        <v>3178</v>
      </c>
      <c r="Z144" t="s">
        <v>3178</v>
      </c>
      <c r="AA144" t="s">
        <v>3178</v>
      </c>
      <c r="AB144">
        <v>1.96</v>
      </c>
      <c r="AC144" t="s">
        <v>3178</v>
      </c>
      <c r="AD144" t="s">
        <v>3178</v>
      </c>
      <c r="AE144" t="s">
        <v>3178</v>
      </c>
      <c r="AF144" t="s">
        <v>3178</v>
      </c>
      <c r="AG144" t="s">
        <v>3178</v>
      </c>
      <c r="AH144" t="s">
        <v>3178</v>
      </c>
      <c r="AI144">
        <v>0</v>
      </c>
      <c r="AJ144">
        <v>6.88</v>
      </c>
      <c r="AK144">
        <v>0</v>
      </c>
      <c r="AL144">
        <v>40.950000000000003</v>
      </c>
      <c r="AM144">
        <v>16</v>
      </c>
    </row>
    <row r="145" spans="1:39" x14ac:dyDescent="0.25">
      <c r="A145">
        <v>256</v>
      </c>
      <c r="B145" t="s">
        <v>3178</v>
      </c>
      <c r="C145" t="s">
        <v>3178</v>
      </c>
      <c r="D145" t="s">
        <v>3178</v>
      </c>
      <c r="E145" t="s">
        <v>3178</v>
      </c>
      <c r="F145">
        <v>0</v>
      </c>
      <c r="G145" t="s">
        <v>3178</v>
      </c>
      <c r="H145" t="s">
        <v>3178</v>
      </c>
      <c r="I145" t="s">
        <v>3178</v>
      </c>
      <c r="J145" t="s">
        <v>3178</v>
      </c>
      <c r="K145" t="s">
        <v>3178</v>
      </c>
      <c r="L145">
        <v>8.65</v>
      </c>
      <c r="M145" t="s">
        <v>3178</v>
      </c>
      <c r="N145">
        <v>5.86</v>
      </c>
      <c r="O145" t="s">
        <v>3178</v>
      </c>
      <c r="P145" t="s">
        <v>3178</v>
      </c>
      <c r="Q145" t="s">
        <v>3178</v>
      </c>
      <c r="R145">
        <v>1</v>
      </c>
      <c r="S145" t="s">
        <v>3178</v>
      </c>
      <c r="T145">
        <v>8.2799999999999994</v>
      </c>
      <c r="U145" t="s">
        <v>3178</v>
      </c>
      <c r="V145" t="s">
        <v>3178</v>
      </c>
      <c r="W145" t="s">
        <v>3178</v>
      </c>
      <c r="X145">
        <v>1.02</v>
      </c>
      <c r="Y145" t="s">
        <v>3178</v>
      </c>
      <c r="Z145" t="s">
        <v>3178</v>
      </c>
      <c r="AA145" t="s">
        <v>3178</v>
      </c>
      <c r="AB145">
        <v>1.88</v>
      </c>
      <c r="AC145" t="s">
        <v>3178</v>
      </c>
      <c r="AD145" t="s">
        <v>3178</v>
      </c>
      <c r="AE145" t="s">
        <v>3178</v>
      </c>
      <c r="AF145" t="s">
        <v>3178</v>
      </c>
      <c r="AG145" t="s">
        <v>3178</v>
      </c>
      <c r="AH145" t="s">
        <v>3178</v>
      </c>
      <c r="AI145">
        <v>0</v>
      </c>
      <c r="AJ145">
        <v>6.77</v>
      </c>
      <c r="AK145">
        <v>0</v>
      </c>
      <c r="AL145">
        <v>33.46</v>
      </c>
      <c r="AM145">
        <v>16</v>
      </c>
    </row>
    <row r="146" spans="1:39" x14ac:dyDescent="0.25">
      <c r="A146">
        <v>257</v>
      </c>
      <c r="B146" t="s">
        <v>3178</v>
      </c>
      <c r="C146" t="s">
        <v>3178</v>
      </c>
      <c r="D146" t="s">
        <v>3178</v>
      </c>
      <c r="E146" t="s">
        <v>3178</v>
      </c>
      <c r="F146">
        <v>0</v>
      </c>
      <c r="G146" t="s">
        <v>3178</v>
      </c>
      <c r="H146" t="s">
        <v>3178</v>
      </c>
      <c r="I146" t="s">
        <v>3178</v>
      </c>
      <c r="J146" t="s">
        <v>3178</v>
      </c>
      <c r="K146" t="s">
        <v>3178</v>
      </c>
      <c r="L146">
        <v>22.9</v>
      </c>
      <c r="M146" t="s">
        <v>3178</v>
      </c>
      <c r="N146">
        <v>0.5</v>
      </c>
      <c r="O146" t="s">
        <v>3178</v>
      </c>
      <c r="P146" t="s">
        <v>3178</v>
      </c>
      <c r="Q146" t="s">
        <v>3178</v>
      </c>
      <c r="R146" t="s">
        <v>3178</v>
      </c>
      <c r="S146" t="s">
        <v>3178</v>
      </c>
      <c r="T146" t="s">
        <v>3178</v>
      </c>
      <c r="U146" t="s">
        <v>3178</v>
      </c>
      <c r="V146" t="s">
        <v>3178</v>
      </c>
      <c r="W146" t="s">
        <v>3178</v>
      </c>
      <c r="X146" t="s">
        <v>3178</v>
      </c>
      <c r="Y146" t="s">
        <v>3178</v>
      </c>
      <c r="Z146" t="s">
        <v>3178</v>
      </c>
      <c r="AA146" t="s">
        <v>3178</v>
      </c>
      <c r="AB146" t="s">
        <v>3178</v>
      </c>
      <c r="AC146" t="s">
        <v>3178</v>
      </c>
      <c r="AD146" t="s">
        <v>3178</v>
      </c>
      <c r="AE146" t="s">
        <v>3178</v>
      </c>
      <c r="AF146" t="s">
        <v>3178</v>
      </c>
      <c r="AG146" t="s">
        <v>3178</v>
      </c>
      <c r="AH146" t="s">
        <v>3178</v>
      </c>
      <c r="AI146">
        <v>0</v>
      </c>
      <c r="AJ146">
        <v>48.1</v>
      </c>
      <c r="AK146">
        <v>0</v>
      </c>
      <c r="AL146">
        <v>71.5</v>
      </c>
      <c r="AM146">
        <v>0</v>
      </c>
    </row>
    <row r="147" spans="1:39" x14ac:dyDescent="0.25">
      <c r="A147">
        <v>259</v>
      </c>
      <c r="B147" t="s">
        <v>3178</v>
      </c>
      <c r="C147" t="s">
        <v>3178</v>
      </c>
      <c r="D147" t="s">
        <v>3178</v>
      </c>
      <c r="E147" t="s">
        <v>3178</v>
      </c>
      <c r="F147">
        <v>0</v>
      </c>
      <c r="G147" t="s">
        <v>3178</v>
      </c>
      <c r="H147" t="s">
        <v>3178</v>
      </c>
      <c r="I147" t="s">
        <v>3178</v>
      </c>
      <c r="J147" t="s">
        <v>3178</v>
      </c>
      <c r="K147" t="s">
        <v>3178</v>
      </c>
      <c r="L147">
        <v>30.5</v>
      </c>
      <c r="M147" t="s">
        <v>3178</v>
      </c>
      <c r="N147">
        <v>0.5</v>
      </c>
      <c r="O147" t="s">
        <v>3178</v>
      </c>
      <c r="P147" t="s">
        <v>3178</v>
      </c>
      <c r="Q147" t="s">
        <v>3178</v>
      </c>
      <c r="R147" t="s">
        <v>3178</v>
      </c>
      <c r="S147" t="s">
        <v>3178</v>
      </c>
      <c r="T147" t="s">
        <v>3178</v>
      </c>
      <c r="U147" t="s">
        <v>3178</v>
      </c>
      <c r="V147" t="s">
        <v>3178</v>
      </c>
      <c r="W147" t="s">
        <v>3178</v>
      </c>
      <c r="X147" t="s">
        <v>3178</v>
      </c>
      <c r="Y147" t="s">
        <v>3178</v>
      </c>
      <c r="Z147" t="s">
        <v>3178</v>
      </c>
      <c r="AA147" t="s">
        <v>3178</v>
      </c>
      <c r="AB147" t="s">
        <v>3178</v>
      </c>
      <c r="AC147" t="s">
        <v>3178</v>
      </c>
      <c r="AD147" t="s">
        <v>3178</v>
      </c>
      <c r="AE147" t="s">
        <v>3178</v>
      </c>
      <c r="AF147" t="s">
        <v>3178</v>
      </c>
      <c r="AG147" t="s">
        <v>3178</v>
      </c>
      <c r="AH147" t="s">
        <v>3178</v>
      </c>
      <c r="AI147">
        <v>0</v>
      </c>
      <c r="AJ147">
        <v>63.1</v>
      </c>
      <c r="AK147" t="s">
        <v>3178</v>
      </c>
      <c r="AL147">
        <v>94.1</v>
      </c>
      <c r="AM147">
        <v>50</v>
      </c>
    </row>
    <row r="148" spans="1:39" x14ac:dyDescent="0.25">
      <c r="A148" s="503"/>
      <c r="B148" s="503"/>
      <c r="C148" s="503"/>
      <c r="D148" s="503"/>
      <c r="E148" s="503"/>
      <c r="F148" s="503"/>
      <c r="G148" s="503"/>
      <c r="H148" s="503"/>
      <c r="I148" s="503"/>
      <c r="J148" s="503"/>
      <c r="K148" s="503"/>
      <c r="L148" s="503"/>
      <c r="M148" s="503"/>
      <c r="N148" s="503"/>
      <c r="O148" s="503"/>
      <c r="P148" s="503"/>
      <c r="Q148" s="503"/>
      <c r="R148" s="503"/>
      <c r="S148" s="503"/>
      <c r="T148" s="503"/>
      <c r="U148" s="503"/>
      <c r="V148" s="503"/>
      <c r="W148" s="503"/>
      <c r="X148" s="503"/>
      <c r="Y148" s="503"/>
      <c r="Z148" s="503"/>
      <c r="AA148" s="503"/>
      <c r="AB148" s="503"/>
      <c r="AC148" s="503"/>
      <c r="AD148" s="503"/>
      <c r="AE148" s="503"/>
      <c r="AF148" s="503"/>
      <c r="AG148" s="503"/>
      <c r="AH148" s="503"/>
      <c r="AI148" s="503"/>
      <c r="AJ148" s="503"/>
      <c r="AK148" s="503"/>
      <c r="AL148" s="503"/>
      <c r="AM148" s="503"/>
    </row>
    <row r="149" spans="1:39" x14ac:dyDescent="0.25">
      <c r="A149" s="503"/>
      <c r="B149" s="503"/>
      <c r="C149" s="503"/>
      <c r="D149" s="503"/>
      <c r="E149" s="503"/>
      <c r="F149" s="503"/>
      <c r="G149" s="503"/>
      <c r="H149" s="503"/>
      <c r="I149" s="503"/>
      <c r="J149" s="503"/>
      <c r="K149" s="503"/>
      <c r="L149" s="503"/>
      <c r="M149" s="503"/>
      <c r="N149" s="503"/>
      <c r="O149" s="503"/>
      <c r="P149" s="503"/>
      <c r="Q149" s="503"/>
      <c r="R149" s="503"/>
      <c r="S149" s="503"/>
      <c r="T149" s="503"/>
      <c r="U149" s="503"/>
      <c r="V149" s="503"/>
      <c r="W149" s="503"/>
      <c r="X149" s="503"/>
      <c r="Y149" s="503"/>
      <c r="Z149" s="503"/>
      <c r="AA149" s="503"/>
      <c r="AB149" s="503"/>
      <c r="AC149" s="503"/>
      <c r="AD149" s="503"/>
      <c r="AE149" s="503"/>
      <c r="AF149" s="503"/>
      <c r="AG149" s="503"/>
      <c r="AH149" s="503"/>
      <c r="AI149" s="503"/>
      <c r="AJ149" s="503"/>
      <c r="AK149" s="503"/>
      <c r="AL149" s="503"/>
      <c r="AM149" s="503"/>
    </row>
    <row r="150" spans="1:39" x14ac:dyDescent="0.25">
      <c r="A150" s="503"/>
      <c r="B150" s="503"/>
      <c r="C150" s="503"/>
      <c r="D150" s="503"/>
      <c r="E150" s="503"/>
      <c r="F150" s="503"/>
      <c r="G150" s="503"/>
      <c r="H150" s="503"/>
      <c r="I150" s="503"/>
      <c r="J150" s="503"/>
      <c r="K150" s="503"/>
      <c r="L150" s="503"/>
      <c r="M150" s="503"/>
      <c r="N150" s="503"/>
      <c r="O150" s="503"/>
      <c r="P150" s="503"/>
      <c r="Q150" s="503"/>
      <c r="R150" s="503"/>
      <c r="S150" s="503"/>
      <c r="T150" s="503"/>
      <c r="U150" s="503"/>
      <c r="V150" s="503"/>
      <c r="W150" s="503"/>
      <c r="X150" s="503"/>
      <c r="Y150" s="503"/>
      <c r="Z150" s="503"/>
      <c r="AA150" s="503"/>
      <c r="AB150" s="503"/>
      <c r="AC150" s="503"/>
      <c r="AD150" s="503"/>
      <c r="AE150" s="503"/>
      <c r="AF150" s="503"/>
      <c r="AG150" s="503"/>
      <c r="AH150" s="503"/>
      <c r="AI150" s="503"/>
      <c r="AJ150" s="503"/>
      <c r="AK150" s="503"/>
      <c r="AL150" s="503"/>
      <c r="AM150" s="503"/>
    </row>
    <row r="151" spans="1:39" x14ac:dyDescent="0.25">
      <c r="A151" s="503"/>
      <c r="B151" s="503"/>
      <c r="C151" s="503"/>
      <c r="D151" s="503"/>
      <c r="E151" s="503"/>
      <c r="F151" s="503"/>
      <c r="G151" s="503"/>
      <c r="H151" s="503"/>
      <c r="I151" s="503"/>
      <c r="J151" s="503"/>
      <c r="K151" s="503"/>
      <c r="L151" s="503"/>
      <c r="M151" s="503"/>
      <c r="N151" s="503"/>
      <c r="O151" s="503"/>
      <c r="P151" s="503"/>
      <c r="Q151" s="503"/>
      <c r="R151" s="503"/>
      <c r="S151" s="503"/>
      <c r="T151" s="503"/>
      <c r="U151" s="503"/>
      <c r="V151" s="503"/>
      <c r="W151" s="503"/>
      <c r="X151" s="503"/>
      <c r="Y151" s="503"/>
      <c r="Z151" s="503"/>
      <c r="AA151" s="503"/>
      <c r="AB151" s="503"/>
      <c r="AC151" s="503"/>
      <c r="AD151" s="503"/>
      <c r="AE151" s="503"/>
      <c r="AF151" s="503"/>
      <c r="AG151" s="503"/>
      <c r="AH151" s="503"/>
      <c r="AI151" s="503"/>
      <c r="AJ151" s="503"/>
      <c r="AK151" s="503"/>
      <c r="AL151" s="503"/>
      <c r="AM151" s="503"/>
    </row>
    <row r="152" spans="1:39" x14ac:dyDescent="0.25">
      <c r="A152" s="503"/>
      <c r="B152" s="503"/>
      <c r="C152" s="503"/>
      <c r="D152" s="503"/>
      <c r="E152" s="503"/>
      <c r="F152" s="503"/>
      <c r="G152" s="503"/>
      <c r="H152" s="503"/>
      <c r="I152" s="503"/>
      <c r="J152" s="503"/>
      <c r="K152" s="503"/>
      <c r="L152" s="503"/>
      <c r="M152" s="503"/>
      <c r="N152" s="503"/>
      <c r="O152" s="503"/>
      <c r="P152" s="503"/>
      <c r="Q152" s="503"/>
      <c r="R152" s="503"/>
      <c r="S152" s="503"/>
      <c r="T152" s="503"/>
      <c r="U152" s="503"/>
      <c r="V152" s="503"/>
      <c r="W152" s="503"/>
      <c r="X152" s="503"/>
      <c r="Y152" s="503"/>
      <c r="Z152" s="503"/>
      <c r="AA152" s="503"/>
      <c r="AB152" s="503"/>
      <c r="AC152" s="503"/>
      <c r="AD152" s="503"/>
      <c r="AE152" s="503"/>
      <c r="AF152" s="503"/>
      <c r="AG152" s="503"/>
      <c r="AH152" s="503"/>
      <c r="AI152" s="503"/>
      <c r="AJ152" s="503"/>
      <c r="AK152" s="503"/>
      <c r="AL152" s="503"/>
      <c r="AM152" s="503"/>
    </row>
    <row r="153" spans="1:39" x14ac:dyDescent="0.25">
      <c r="A153" s="503"/>
      <c r="B153" s="503"/>
      <c r="C153" s="503"/>
      <c r="D153" s="503"/>
      <c r="E153" s="503"/>
      <c r="F153" s="503"/>
      <c r="G153" s="503"/>
      <c r="H153" s="503"/>
      <c r="I153" s="503"/>
      <c r="J153" s="503"/>
      <c r="K153" s="503"/>
      <c r="L153" s="503"/>
      <c r="M153" s="503"/>
      <c r="N153" s="503"/>
      <c r="O153" s="503"/>
      <c r="P153" s="503"/>
      <c r="Q153" s="503"/>
      <c r="R153" s="503"/>
      <c r="S153" s="503"/>
      <c r="T153" s="503"/>
      <c r="U153" s="503"/>
      <c r="V153" s="503"/>
      <c r="W153" s="503"/>
      <c r="X153" s="503"/>
      <c r="Y153" s="503"/>
      <c r="Z153" s="503"/>
      <c r="AA153" s="503"/>
      <c r="AB153" s="503"/>
      <c r="AC153" s="503"/>
      <c r="AD153" s="503"/>
      <c r="AE153" s="503"/>
      <c r="AF153" s="503"/>
      <c r="AG153" s="503"/>
      <c r="AH153" s="503"/>
      <c r="AI153" s="503"/>
      <c r="AJ153" s="503"/>
      <c r="AK153" s="503"/>
      <c r="AL153" s="503"/>
      <c r="AM153" s="503"/>
    </row>
  </sheetData>
  <sheetProtection algorithmName="SHA-512" hashValue="phsgLHCj7bMfz21LWsRKqTjXiY6vx6FUFny84D6Li52TVw3Bzlr3m5LlRcjAW7TYdTwUr0qXefp+KZKn76WEVw==" saltValue="nw/upb4USMNeHzR+wfQJSA==" spinCount="100000" sheet="1" objects="1" scenarios="1"/>
  <phoneticPr fontId="2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Z818"/>
  <sheetViews>
    <sheetView tabSelected="1" view="pageBreakPreview" topLeftCell="A73" zoomScale="85" zoomScaleNormal="100" zoomScaleSheetLayoutView="85" workbookViewId="0">
      <selection sqref="A1:M1"/>
    </sheetView>
  </sheetViews>
  <sheetFormatPr defaultColWidth="7.7265625" defaultRowHeight="25.5" customHeight="1" x14ac:dyDescent="0.25"/>
  <cols>
    <col min="1" max="18" width="7.7265625" style="1" customWidth="1"/>
    <col min="19" max="19" width="7.7265625" style="1" hidden="1" customWidth="1"/>
    <col min="20" max="16384" width="7.7265625" style="1"/>
  </cols>
  <sheetData>
    <row r="1" spans="1:26" ht="25.5" customHeight="1" x14ac:dyDescent="0.5">
      <c r="A1" s="1051" t="s">
        <v>3612</v>
      </c>
      <c r="B1" s="1052"/>
      <c r="C1" s="1052"/>
      <c r="D1" s="1052"/>
      <c r="E1" s="1052"/>
      <c r="F1" s="1052"/>
      <c r="G1" s="1052"/>
      <c r="H1" s="1052"/>
      <c r="I1" s="1052"/>
      <c r="J1" s="1052"/>
      <c r="K1" s="1052"/>
      <c r="L1" s="1052"/>
      <c r="M1" s="1052"/>
      <c r="N1" s="2"/>
      <c r="O1" s="2"/>
      <c r="P1" s="2"/>
      <c r="Q1" s="2"/>
      <c r="R1" s="2"/>
    </row>
    <row r="2" spans="1:26" ht="25.5" customHeight="1" x14ac:dyDescent="0.5">
      <c r="A2" s="1053" t="s">
        <v>84</v>
      </c>
      <c r="B2" s="1053"/>
      <c r="C2" s="1053"/>
      <c r="D2" s="1053"/>
      <c r="E2" s="1053"/>
      <c r="F2" s="1053"/>
      <c r="G2" s="1053"/>
      <c r="H2" s="1053"/>
      <c r="I2" s="1053"/>
      <c r="J2" s="1053"/>
      <c r="K2" s="1053"/>
      <c r="L2" s="1053"/>
      <c r="M2" s="1053"/>
      <c r="N2" s="2"/>
      <c r="O2" s="2"/>
      <c r="P2" s="2"/>
      <c r="Q2" s="2"/>
      <c r="R2" s="2"/>
    </row>
    <row r="3" spans="1:26" ht="25.5" customHeight="1" x14ac:dyDescent="0.25">
      <c r="A3" s="1013" t="s">
        <v>85</v>
      </c>
      <c r="B3" s="528"/>
      <c r="C3" s="528"/>
      <c r="D3" s="528"/>
      <c r="E3" s="528"/>
      <c r="F3" s="528"/>
      <c r="G3" s="528"/>
      <c r="H3" s="528"/>
      <c r="I3" s="528"/>
      <c r="J3" s="528"/>
      <c r="K3" s="528"/>
      <c r="L3" s="528"/>
      <c r="M3" s="528"/>
      <c r="N3" s="2"/>
      <c r="O3" s="2"/>
      <c r="P3" s="2"/>
      <c r="Q3" s="2"/>
      <c r="R3" s="2"/>
    </row>
    <row r="4" spans="1:26" ht="25.5" customHeight="1" x14ac:dyDescent="0.25">
      <c r="A4" s="527" t="s">
        <v>86</v>
      </c>
      <c r="B4" s="527"/>
      <c r="C4" s="527"/>
      <c r="D4" s="527"/>
      <c r="E4" s="527"/>
      <c r="F4" s="527"/>
      <c r="G4" s="527"/>
      <c r="H4" s="527"/>
      <c r="I4" s="527"/>
      <c r="J4" s="527"/>
      <c r="K4" s="527"/>
      <c r="L4" s="527"/>
      <c r="M4" s="527"/>
      <c r="N4" s="2"/>
      <c r="O4" s="2"/>
      <c r="P4" s="2"/>
      <c r="Q4" s="2"/>
      <c r="R4" s="2"/>
    </row>
    <row r="5" spans="1:26" ht="25.5" customHeight="1" x14ac:dyDescent="0.25">
      <c r="A5" s="948" t="s">
        <v>87</v>
      </c>
      <c r="B5" s="594"/>
      <c r="C5" s="1050"/>
      <c r="D5" s="4"/>
      <c r="E5" s="1054" t="str">
        <f>IF(NOT(ISNUMBER(D5)),"This is the unique ID assigned to your facility for the HCCIS data collection.  Please click on the HCCIS ID link, select your ID from the list, and enter it here.",IF((D5)&gt;=200,"There are many items that Psychiatric or Specialty hospitals will NOT need to complete.  Watch for links that will enable you to ""skip"" these non-required items.",""))</f>
        <v>This is the unique ID assigned to your facility for the HCCIS data collection.  Please click on the HCCIS ID link, select your ID from the list, and enter it here.</v>
      </c>
      <c r="F5" s="1055"/>
      <c r="G5" s="1055"/>
      <c r="H5" s="1055"/>
      <c r="I5" s="1055"/>
      <c r="J5" s="1055"/>
      <c r="K5" s="1055"/>
      <c r="L5" s="1055"/>
      <c r="M5" s="1055"/>
      <c r="N5" s="2"/>
      <c r="O5" s="2"/>
      <c r="P5" s="2"/>
      <c r="Q5" s="2"/>
      <c r="R5" s="2"/>
    </row>
    <row r="6" spans="1:26" ht="25.5" customHeight="1" x14ac:dyDescent="0.25">
      <c r="A6" s="948" t="s">
        <v>88</v>
      </c>
      <c r="B6" s="594"/>
      <c r="C6" s="1050"/>
      <c r="D6" s="1056" t="e">
        <f>IF(ISBLANK(VLOOKUP($D$5,ID_list,2,FALSE)),"",VLOOKUP($D$5,ID_list,2,FALSE))</f>
        <v>#N/A</v>
      </c>
      <c r="E6" s="1057"/>
      <c r="F6" s="1058" t="s">
        <v>89</v>
      </c>
      <c r="G6" s="598"/>
      <c r="H6" s="598"/>
      <c r="I6" s="598"/>
      <c r="J6" s="598"/>
      <c r="K6" s="598"/>
      <c r="L6" s="598"/>
      <c r="M6" s="598"/>
      <c r="N6" s="2"/>
      <c r="O6" s="2"/>
      <c r="P6" s="2"/>
      <c r="Q6" s="2"/>
      <c r="R6" s="2"/>
    </row>
    <row r="7" spans="1:26" ht="25.5" customHeight="1" x14ac:dyDescent="0.25">
      <c r="A7" s="545" t="s">
        <v>90</v>
      </c>
      <c r="B7" s="546"/>
      <c r="C7" s="547"/>
      <c r="D7" s="1025" t="e">
        <f>IF(ISBLANK(VLOOKUP($D$5,ID_list,3,FALSE)),"",(VLOOKUP($D$5,ID_list,3,FALSE)))</f>
        <v>#N/A</v>
      </c>
      <c r="E7" s="1026"/>
      <c r="F7" s="1026"/>
      <c r="G7" s="1026"/>
      <c r="H7" s="1026"/>
      <c r="I7" s="1033"/>
      <c r="J7" s="2"/>
      <c r="K7" s="2"/>
      <c r="L7" s="2"/>
      <c r="M7" s="2"/>
      <c r="N7" s="2"/>
      <c r="O7" s="2"/>
      <c r="P7" s="2"/>
      <c r="Q7" s="2"/>
      <c r="R7" s="2"/>
    </row>
    <row r="8" spans="1:26" ht="25.5" customHeight="1" x14ac:dyDescent="0.25">
      <c r="A8" s="545" t="s">
        <v>91</v>
      </c>
      <c r="B8" s="546"/>
      <c r="C8" s="547"/>
      <c r="D8" s="1025" t="e">
        <f>CONCATENATE(VLOOKUP($D$5,ID_list,5,FALSE)," ",VLOOKUP($D$5,ID_list,6,FALSE))</f>
        <v>#N/A</v>
      </c>
      <c r="E8" s="1026"/>
      <c r="F8" s="1026"/>
      <c r="G8" s="1026"/>
      <c r="H8" s="1026"/>
      <c r="I8" s="1033"/>
      <c r="J8" s="1059" t="s">
        <v>92</v>
      </c>
      <c r="K8" s="1060"/>
      <c r="L8" s="1045"/>
      <c r="M8" s="1046"/>
      <c r="N8" s="2"/>
      <c r="O8" s="2"/>
      <c r="P8" s="2"/>
      <c r="Q8" s="2"/>
      <c r="R8" s="2"/>
    </row>
    <row r="9" spans="1:26" ht="25.5" customHeight="1" x14ac:dyDescent="0.25">
      <c r="A9" s="545" t="s">
        <v>93</v>
      </c>
      <c r="B9" s="546"/>
      <c r="C9" s="547"/>
      <c r="D9" s="1025" t="e">
        <f>IF(ISBLANK(VLOOKUP($D$5,ID_list,7,FALSE)),"", VLOOKUP($D$5,ID_list,7,FALSE))</f>
        <v>#N/A</v>
      </c>
      <c r="E9" s="1026"/>
      <c r="F9" s="1026"/>
      <c r="G9" s="1026"/>
      <c r="H9" s="1026"/>
      <c r="I9" s="1033"/>
      <c r="J9" s="1059" t="s">
        <v>94</v>
      </c>
      <c r="K9" s="1060"/>
      <c r="L9" s="1045"/>
      <c r="M9" s="1047"/>
      <c r="N9" s="2"/>
      <c r="O9" s="2"/>
      <c r="P9" s="2"/>
      <c r="Q9" s="2"/>
      <c r="R9" s="2"/>
    </row>
    <row r="10" spans="1:26" ht="25.5" customHeight="1" x14ac:dyDescent="0.25">
      <c r="A10" s="545" t="s">
        <v>95</v>
      </c>
      <c r="B10" s="546"/>
      <c r="C10" s="547"/>
      <c r="D10" s="1025" t="e">
        <f>VLOOKUP($D$5,ID_list,4,FALSE)</f>
        <v>#N/A</v>
      </c>
      <c r="E10" s="1026"/>
      <c r="F10" s="1026"/>
      <c r="G10" s="1026"/>
      <c r="H10" s="1026"/>
      <c r="I10" s="1033"/>
      <c r="J10" s="645" t="s">
        <v>96</v>
      </c>
      <c r="K10" s="647"/>
      <c r="L10" s="647"/>
      <c r="M10" s="646"/>
      <c r="N10" s="2"/>
      <c r="O10" s="2"/>
      <c r="P10" s="2"/>
      <c r="Q10" s="2"/>
      <c r="R10" s="2"/>
    </row>
    <row r="11" spans="1:26" ht="25.5" customHeight="1" x14ac:dyDescent="0.3">
      <c r="A11" s="545" t="s">
        <v>97</v>
      </c>
      <c r="B11" s="546"/>
      <c r="C11" s="547"/>
      <c r="D11" s="1025" t="e">
        <f>CONCATENATE(VLOOKUP($D$5,ID_list,10,FALSE),"-",VLOOKUP($D$5,ID_list,11,FALSE))</f>
        <v>#N/A</v>
      </c>
      <c r="E11" s="1026"/>
      <c r="F11" s="1026"/>
      <c r="G11" s="1026"/>
      <c r="H11" s="1026"/>
      <c r="I11" s="1033"/>
      <c r="J11" s="1027" t="s">
        <v>3613</v>
      </c>
      <c r="K11" s="1028"/>
      <c r="L11" s="1034"/>
      <c r="M11" s="1035"/>
      <c r="N11" s="1022" t="str">
        <f>IF(ISBLANK(L11),"This item can not be left blank. Please review instructions.","")</f>
        <v>This item can not be left blank. Please review instructions.</v>
      </c>
      <c r="O11" s="1023"/>
      <c r="P11" s="1023"/>
      <c r="Q11" s="1023"/>
      <c r="R11" s="1024"/>
    </row>
    <row r="12" spans="1:26" ht="25.5" customHeight="1" x14ac:dyDescent="0.3">
      <c r="A12" s="545" t="s">
        <v>98</v>
      </c>
      <c r="B12" s="546"/>
      <c r="C12" s="547"/>
      <c r="D12" s="1025" t="e">
        <f>VLOOKUP($D$5,ID_list,8,FALSE)</f>
        <v>#N/A</v>
      </c>
      <c r="E12" s="1026"/>
      <c r="F12" s="1026"/>
      <c r="G12" s="1026"/>
      <c r="H12" s="1026"/>
      <c r="I12" s="1026"/>
      <c r="J12" s="1027" t="s">
        <v>99</v>
      </c>
      <c r="K12" s="1028"/>
      <c r="L12" s="1029"/>
      <c r="M12" s="1030"/>
      <c r="N12" s="1031" t="str">
        <f>IF(ISBLANK(L12),"This item can not be left blank. Please review instructions.",IF(L12&lt;&gt;12,"Please provide documentation why this report is not a full 12 month Fiscal Year",""))</f>
        <v>This item can not be left blank. Please review instructions.</v>
      </c>
      <c r="O12" s="1032"/>
      <c r="P12" s="1032"/>
      <c r="Q12" s="1032"/>
      <c r="R12" s="1032"/>
    </row>
    <row r="13" spans="1:26" ht="25.5" customHeight="1" x14ac:dyDescent="0.25">
      <c r="A13" s="545" t="s">
        <v>100</v>
      </c>
      <c r="B13" s="546"/>
      <c r="C13" s="547"/>
      <c r="D13" s="1036" t="e">
        <f>VLOOKUP($D$5,ID_list,12,FALSE)</f>
        <v>#N/A</v>
      </c>
      <c r="E13" s="1037"/>
      <c r="F13" s="1037"/>
      <c r="G13" s="1037"/>
      <c r="H13" s="1037"/>
      <c r="I13" s="1038"/>
      <c r="J13" s="1039" t="s">
        <v>101</v>
      </c>
      <c r="K13" s="1040"/>
      <c r="L13" s="1040"/>
      <c r="M13" s="1041"/>
      <c r="N13" s="2"/>
      <c r="O13" s="2"/>
      <c r="P13" s="2"/>
      <c r="Q13" s="2"/>
      <c r="R13" s="2"/>
      <c r="Z13" s="437" t="s">
        <v>419</v>
      </c>
    </row>
    <row r="14" spans="1:26" ht="25.5" customHeight="1" x14ac:dyDescent="0.25">
      <c r="A14" s="545" t="s">
        <v>102</v>
      </c>
      <c r="B14" s="546"/>
      <c r="C14" s="547"/>
      <c r="D14" s="1036" t="e">
        <f>VLOOKUP($D$5,ID_list,13,FALSE)</f>
        <v>#N/A</v>
      </c>
      <c r="E14" s="1037"/>
      <c r="F14" s="1037"/>
      <c r="G14" s="1037"/>
      <c r="H14" s="1037"/>
      <c r="I14" s="1038"/>
      <c r="J14" s="645" t="s">
        <v>103</v>
      </c>
      <c r="K14" s="646"/>
      <c r="L14" s="645" t="s">
        <v>104</v>
      </c>
      <c r="M14" s="646"/>
      <c r="N14" s="2"/>
      <c r="O14" s="2"/>
      <c r="P14" s="2"/>
      <c r="Q14" s="2"/>
      <c r="R14" s="2"/>
      <c r="Z14" s="437" t="s">
        <v>420</v>
      </c>
    </row>
    <row r="15" spans="1:26" ht="25.5" customHeight="1" x14ac:dyDescent="0.25">
      <c r="A15" s="545" t="s">
        <v>105</v>
      </c>
      <c r="B15" s="546"/>
      <c r="C15" s="547"/>
      <c r="D15" s="1025" t="e">
        <f>CONCATENATE(VLOOKUP($D$5,ID_list,14,FALSE)," ",VLOOKUP($D$5,ID_list,15,FALSE))</f>
        <v>#N/A</v>
      </c>
      <c r="E15" s="1026"/>
      <c r="F15" s="1026"/>
      <c r="G15" s="1026"/>
      <c r="H15" s="1026"/>
      <c r="I15" s="1033"/>
      <c r="J15" s="1048" t="e">
        <f>IF(EXACT(VLOOKUP($D$5,ID_list,36,FALSE),"Yes"),"X","")</f>
        <v>#N/A</v>
      </c>
      <c r="K15" s="1049"/>
      <c r="L15" s="1048" t="e">
        <f>IF(EXACT(VLOOKUP($D$5,ID_list,36,FALSE),"No"),"X","")</f>
        <v>#N/A</v>
      </c>
      <c r="M15" s="1049"/>
      <c r="N15" s="596" t="str">
        <f>IF(COUNTBLANK(J15:M15)=3,"",IF(COUNTBLANK(J15:M15)&lt;&gt;3,"Please indicate your CAH status",""))</f>
        <v>Please indicate your CAH status</v>
      </c>
      <c r="O15" s="597"/>
      <c r="P15" s="597"/>
      <c r="Q15" s="597"/>
      <c r="R15" s="597"/>
      <c r="Z15" s="437" t="s">
        <v>421</v>
      </c>
    </row>
    <row r="16" spans="1:26" ht="25.5" customHeight="1" x14ac:dyDescent="0.25">
      <c r="A16" s="545" t="s">
        <v>106</v>
      </c>
      <c r="B16" s="546"/>
      <c r="C16" s="547"/>
      <c r="D16" s="1025" t="e">
        <f>VLOOKUP($D$5,ID_list,16,FALSE)</f>
        <v>#N/A</v>
      </c>
      <c r="E16" s="1026"/>
      <c r="F16" s="1026"/>
      <c r="G16" s="1026"/>
      <c r="H16" s="1026"/>
      <c r="I16" s="1033"/>
      <c r="J16" s="1027" t="s">
        <v>107</v>
      </c>
      <c r="K16" s="1028"/>
      <c r="L16" s="1042" t="e">
        <f>VLOOKUP($D$5,ID_list,17,FALSE)</f>
        <v>#N/A</v>
      </c>
      <c r="M16" s="1043"/>
      <c r="N16" s="2"/>
      <c r="O16" s="2"/>
      <c r="P16" s="2"/>
      <c r="Q16" s="2"/>
      <c r="R16" s="2"/>
      <c r="Z16" s="437" t="s">
        <v>422</v>
      </c>
    </row>
    <row r="17" spans="1:26" ht="25.5" customHeight="1" x14ac:dyDescent="0.25">
      <c r="A17" s="545" t="s">
        <v>108</v>
      </c>
      <c r="B17" s="546"/>
      <c r="C17" s="547"/>
      <c r="D17" s="1025" t="e">
        <f>VLOOKUP($D$5,ID_list,18,FALSE)</f>
        <v>#N/A</v>
      </c>
      <c r="E17" s="1026"/>
      <c r="F17" s="1026"/>
      <c r="G17" s="1026"/>
      <c r="H17" s="1026"/>
      <c r="I17" s="1026"/>
      <c r="J17" s="1027" t="s">
        <v>109</v>
      </c>
      <c r="K17" s="1028"/>
      <c r="L17" s="1006" t="e">
        <f>VLOOKUP($D$5,ID_list,33,FALSE)</f>
        <v>#N/A</v>
      </c>
      <c r="M17" s="1044"/>
      <c r="N17" s="2"/>
      <c r="O17" s="2"/>
      <c r="P17" s="2"/>
      <c r="Q17" s="2"/>
      <c r="R17" s="2"/>
      <c r="Z17" s="437" t="s">
        <v>423</v>
      </c>
    </row>
    <row r="18" spans="1:26" ht="25.5" customHeight="1" x14ac:dyDescent="0.25">
      <c r="A18" s="545" t="s">
        <v>110</v>
      </c>
      <c r="B18" s="546"/>
      <c r="C18" s="547"/>
      <c r="D18" s="1025" t="e">
        <f>VLOOKUP($D$5,ID_list,34,FALSE)</f>
        <v>#N/A</v>
      </c>
      <c r="E18" s="1026"/>
      <c r="F18" s="1026"/>
      <c r="G18" s="1026"/>
      <c r="H18" s="1026"/>
      <c r="I18" s="1026"/>
      <c r="J18" s="645" t="s">
        <v>111</v>
      </c>
      <c r="K18" s="647"/>
      <c r="L18" s="647"/>
      <c r="M18" s="646"/>
      <c r="N18" s="2"/>
      <c r="O18" s="2"/>
      <c r="P18" s="2"/>
      <c r="Q18" s="2"/>
      <c r="R18" s="2"/>
      <c r="Z18" s="437" t="s">
        <v>424</v>
      </c>
    </row>
    <row r="19" spans="1:26" ht="25.5" customHeight="1" x14ac:dyDescent="0.25">
      <c r="A19" s="545" t="s">
        <v>1667</v>
      </c>
      <c r="B19" s="546"/>
      <c r="C19" s="547"/>
      <c r="D19" s="1025"/>
      <c r="E19" s="1026"/>
      <c r="F19" s="1026"/>
      <c r="G19" s="1026"/>
      <c r="H19" s="1026"/>
      <c r="I19" s="1026"/>
      <c r="J19" s="6" t="s">
        <v>112</v>
      </c>
      <c r="K19" s="6" t="s">
        <v>113</v>
      </c>
      <c r="L19" s="6" t="s">
        <v>114</v>
      </c>
      <c r="M19" s="6" t="s">
        <v>115</v>
      </c>
      <c r="N19" s="2"/>
      <c r="O19" s="2"/>
      <c r="P19" s="2"/>
      <c r="Q19" s="2"/>
      <c r="R19" s="2"/>
      <c r="Z19" s="437" t="s">
        <v>425</v>
      </c>
    </row>
    <row r="20" spans="1:26" ht="25.5" customHeight="1" x14ac:dyDescent="0.25">
      <c r="A20" s="545" t="s">
        <v>116</v>
      </c>
      <c r="B20" s="546"/>
      <c r="C20" s="547"/>
      <c r="D20" s="1025" t="e">
        <f>VLOOKUP($D$5,ID_list,37,FALSE)</f>
        <v>#N/A</v>
      </c>
      <c r="E20" s="1026"/>
      <c r="F20" s="1026"/>
      <c r="G20" s="1026"/>
      <c r="H20" s="1026"/>
      <c r="I20" s="1033"/>
      <c r="J20" s="7" t="e">
        <f>IF(EXACT(VLOOKUP($D$5,ID_list,35,FALSE),"Owned"),"X","")</f>
        <v>#N/A</v>
      </c>
      <c r="K20" s="7" t="e">
        <f>IF(EXACT(VLOOKUP($D$5,ID_list,35,FALSE),"Managed"),"X","")</f>
        <v>#N/A</v>
      </c>
      <c r="L20" s="7" t="e">
        <f>IF(EXACT(VLOOKUP($D$5,ID_list,35,FALSE),"Leased"),"X","")</f>
        <v>#N/A</v>
      </c>
      <c r="M20" s="7" t="str">
        <f>IF(ISBLANK(VLOOKUP($D$5,ID_list,35,FALSE)),"X","")</f>
        <v/>
      </c>
      <c r="N20" s="2"/>
      <c r="O20" s="2"/>
      <c r="P20" s="2"/>
      <c r="Q20" s="2"/>
      <c r="R20" s="2"/>
      <c r="Z20" s="437" t="s">
        <v>426</v>
      </c>
    </row>
    <row r="21" spans="1:26" ht="25.5" customHeight="1" x14ac:dyDescent="0.25">
      <c r="A21" s="2"/>
      <c r="B21" s="2"/>
      <c r="C21" s="2"/>
      <c r="D21" s="2"/>
      <c r="E21" s="2"/>
      <c r="F21" s="2"/>
      <c r="G21" s="2"/>
      <c r="H21" s="2"/>
      <c r="I21" s="2"/>
      <c r="J21" s="1195" t="str">
        <f>IF(COUNTBLANK(J20:M20)=4,"Please enter Type of Affiliation",IF(COUNTBLANK(J20:M20)&lt;&gt;3,"Please VERIFY Type of Affiliation",""))</f>
        <v>Please VERIFY Type of Affiliation</v>
      </c>
      <c r="K21" s="1195"/>
      <c r="L21" s="1195"/>
      <c r="M21" s="1195"/>
      <c r="N21" s="2"/>
      <c r="O21" s="2"/>
      <c r="P21" s="2"/>
      <c r="Q21" s="2"/>
      <c r="R21" s="2"/>
      <c r="Z21" s="437" t="s">
        <v>427</v>
      </c>
    </row>
    <row r="22" spans="1:26" ht="25.5" customHeight="1" x14ac:dyDescent="0.25">
      <c r="A22" s="527" t="s">
        <v>117</v>
      </c>
      <c r="B22" s="527"/>
      <c r="C22" s="527"/>
      <c r="D22" s="527"/>
      <c r="E22" s="527"/>
      <c r="F22" s="527"/>
      <c r="G22" s="527"/>
      <c r="H22" s="527"/>
      <c r="I22" s="527"/>
      <c r="J22" s="527"/>
      <c r="K22" s="527"/>
      <c r="L22" s="527"/>
      <c r="M22" s="527"/>
      <c r="N22" s="2"/>
      <c r="O22" s="2"/>
      <c r="P22" s="2"/>
      <c r="Q22" s="2"/>
      <c r="R22" s="2"/>
      <c r="Z22" s="437" t="s">
        <v>428</v>
      </c>
    </row>
    <row r="23" spans="1:26" ht="25.5" customHeight="1" thickBot="1" x14ac:dyDescent="0.35">
      <c r="A23" s="1016" t="s">
        <v>118</v>
      </c>
      <c r="B23" s="1016"/>
      <c r="C23" s="1016"/>
      <c r="D23" s="1016"/>
      <c r="E23" s="1016"/>
      <c r="F23" s="1016"/>
      <c r="G23" s="1016"/>
      <c r="H23" s="1016"/>
      <c r="I23" s="1016"/>
      <c r="J23" s="1016"/>
      <c r="K23" s="1016"/>
      <c r="L23" s="1016"/>
      <c r="M23" s="1016"/>
      <c r="N23" s="2"/>
      <c r="O23" s="2"/>
      <c r="P23" s="2"/>
      <c r="Q23" s="2"/>
      <c r="R23" s="2"/>
      <c r="Z23" s="437" t="s">
        <v>429</v>
      </c>
    </row>
    <row r="24" spans="1:26" ht="25.5" customHeight="1" thickTop="1" x14ac:dyDescent="0.25">
      <c r="A24" s="1064" t="s">
        <v>119</v>
      </c>
      <c r="B24" s="1065"/>
      <c r="C24" s="8"/>
      <c r="D24" s="8"/>
      <c r="E24" s="8"/>
      <c r="F24" s="8"/>
      <c r="G24" s="8"/>
      <c r="H24" s="8"/>
      <c r="I24" s="8"/>
      <c r="J24" s="8"/>
      <c r="K24" s="8"/>
      <c r="L24" s="8"/>
      <c r="M24" s="9"/>
      <c r="N24" s="2"/>
      <c r="O24" s="2"/>
      <c r="P24" s="2"/>
      <c r="Q24" s="2"/>
      <c r="R24" s="2"/>
      <c r="Z24" s="437" t="s">
        <v>1373</v>
      </c>
    </row>
    <row r="25" spans="1:26" ht="25.5" customHeight="1" x14ac:dyDescent="0.25">
      <c r="A25" s="1066" t="s">
        <v>120</v>
      </c>
      <c r="B25" s="1067"/>
      <c r="C25" s="10"/>
      <c r="D25" s="10"/>
      <c r="E25" s="10"/>
      <c r="F25" s="10"/>
      <c r="G25" s="10"/>
      <c r="H25" s="10"/>
      <c r="I25" s="10"/>
      <c r="J25" s="10"/>
      <c r="K25" s="10"/>
      <c r="L25" s="10"/>
      <c r="M25" s="11"/>
      <c r="N25" s="2"/>
      <c r="O25" s="2"/>
      <c r="P25" s="2"/>
      <c r="Q25" s="2"/>
      <c r="R25" s="2"/>
      <c r="Z25" s="437" t="s">
        <v>1934</v>
      </c>
    </row>
    <row r="26" spans="1:26" ht="25.5" customHeight="1" thickBot="1" x14ac:dyDescent="0.3">
      <c r="A26" s="1017" t="s">
        <v>121</v>
      </c>
      <c r="B26" s="1018"/>
      <c r="C26" s="12"/>
      <c r="D26" s="12"/>
      <c r="E26" s="12"/>
      <c r="F26" s="12"/>
      <c r="G26" s="12"/>
      <c r="H26" s="12"/>
      <c r="I26" s="13" t="s">
        <v>122</v>
      </c>
      <c r="J26" s="12"/>
      <c r="K26" s="12"/>
      <c r="L26" s="12"/>
      <c r="M26" s="14"/>
      <c r="N26" s="2"/>
      <c r="O26" s="2"/>
      <c r="P26" s="2"/>
      <c r="Q26" s="2"/>
      <c r="R26" s="2"/>
    </row>
    <row r="27" spans="1:26" ht="25.5" customHeight="1" thickTop="1" x14ac:dyDescent="0.25">
      <c r="A27" s="1062" t="str">
        <f>IF(SUM(ABS('Audit Checks'!F63),ABS('Audit Checks'!F66),ABS('Audit Checks'!F69))&gt;0,"Warning! There is a fatal error which will result in your HAR being rejected.  Please review the Audit Checks tab and correct any errors before submitting.","")</f>
        <v/>
      </c>
      <c r="B27" s="1063"/>
      <c r="C27" s="1063"/>
      <c r="D27" s="1063"/>
      <c r="E27" s="1063"/>
      <c r="F27" s="1063"/>
      <c r="G27" s="1063"/>
      <c r="H27" s="1063"/>
      <c r="I27" s="1063"/>
      <c r="J27" s="1063"/>
      <c r="K27" s="1063"/>
      <c r="L27" s="1063"/>
      <c r="M27" s="1063"/>
      <c r="N27" s="602" t="str">
        <f>IF(S27&lt;&gt;0,"Click here to go to the Audt Checks Tab","")</f>
        <v/>
      </c>
      <c r="O27" s="602"/>
      <c r="P27" s="602"/>
      <c r="Q27" s="602"/>
      <c r="R27" s="602"/>
      <c r="S27" s="320">
        <f>SUM('Audit Checks'!M1:M61)+ABS('Audit Checks'!F63)+ABS('Audit Checks'!F66)+ABS('Audit Checks'!F69)</f>
        <v>0</v>
      </c>
    </row>
    <row r="28" spans="1:26" ht="25.5" customHeight="1" x14ac:dyDescent="0.25">
      <c r="A28" s="597" t="str">
        <f>IF(SUM('Audit Checks'!M4:M68)&gt;0,"Warning! Some numbers reported in the HAR are resulting in audit flags.  Please review the Audit Checks tab and ensure the information is correct before submitting.","")</f>
        <v/>
      </c>
      <c r="B28" s="1068"/>
      <c r="C28" s="1068"/>
      <c r="D28" s="1068"/>
      <c r="E28" s="1068"/>
      <c r="F28" s="1068"/>
      <c r="G28" s="1068"/>
      <c r="H28" s="1068"/>
      <c r="I28" s="1068"/>
      <c r="J28" s="1068"/>
      <c r="K28" s="1068"/>
      <c r="L28" s="1068"/>
      <c r="M28" s="1068"/>
      <c r="N28" s="2"/>
      <c r="O28" s="2"/>
      <c r="P28" s="2"/>
      <c r="Q28" s="2"/>
      <c r="R28" s="2"/>
    </row>
    <row r="29" spans="1:26" ht="25.5" customHeight="1" x14ac:dyDescent="0.25">
      <c r="A29" s="2"/>
      <c r="B29" s="2"/>
      <c r="C29" s="2"/>
      <c r="D29" s="2"/>
      <c r="E29" s="2"/>
      <c r="F29" s="2"/>
      <c r="G29" s="2"/>
      <c r="H29" s="2"/>
      <c r="I29" s="2"/>
      <c r="J29" s="2"/>
      <c r="K29" s="2"/>
      <c r="L29" s="2"/>
      <c r="M29" s="2"/>
      <c r="N29" s="2"/>
      <c r="O29" s="2"/>
      <c r="P29" s="2"/>
      <c r="Q29" s="2"/>
      <c r="R29" s="2"/>
    </row>
    <row r="30" spans="1:26" ht="25.5" customHeight="1" x14ac:dyDescent="0.25">
      <c r="A30" s="2"/>
      <c r="B30" s="2"/>
      <c r="C30" s="2"/>
      <c r="D30" s="2"/>
      <c r="E30" s="2"/>
      <c r="F30" s="2"/>
      <c r="G30" s="2"/>
      <c r="H30" s="2"/>
      <c r="I30" s="2"/>
      <c r="J30" s="2"/>
      <c r="K30" s="2"/>
      <c r="L30" s="2"/>
      <c r="M30" s="2"/>
      <c r="N30" s="2"/>
      <c r="O30" s="2"/>
      <c r="P30" s="2"/>
      <c r="Q30" s="2"/>
      <c r="R30" s="2"/>
    </row>
    <row r="31" spans="1:26" ht="25.5" customHeight="1" x14ac:dyDescent="0.25">
      <c r="A31" s="2"/>
      <c r="B31" s="2"/>
      <c r="C31" s="2"/>
      <c r="D31" s="2"/>
      <c r="E31" s="2"/>
      <c r="F31" s="2"/>
      <c r="G31" s="2"/>
      <c r="H31" s="2"/>
      <c r="I31" s="2"/>
      <c r="J31" s="2"/>
      <c r="K31" s="2"/>
      <c r="L31" s="2"/>
      <c r="M31" s="2"/>
      <c r="N31" s="2"/>
      <c r="O31" s="2"/>
      <c r="P31" s="2"/>
      <c r="Q31" s="2"/>
      <c r="R31" s="2"/>
    </row>
    <row r="32" spans="1:26" ht="25.5" customHeight="1" x14ac:dyDescent="0.25">
      <c r="A32" s="2"/>
      <c r="B32" s="2"/>
      <c r="C32" s="2"/>
      <c r="D32" s="2"/>
      <c r="E32" s="2"/>
      <c r="F32" s="2"/>
      <c r="G32" s="2"/>
      <c r="H32" s="2"/>
      <c r="I32" s="2"/>
      <c r="J32" s="2"/>
      <c r="K32" s="2"/>
      <c r="L32" s="2"/>
      <c r="M32" s="2"/>
      <c r="N32" s="2"/>
      <c r="O32" s="2"/>
      <c r="P32" s="2"/>
      <c r="Q32" s="2"/>
      <c r="R32" s="2"/>
    </row>
    <row r="33" spans="1:18" ht="25.5" customHeight="1" x14ac:dyDescent="0.3">
      <c r="A33" s="15" t="e">
        <f>CONCATENATE($D$5," ",UPPER($D$7))</f>
        <v>#N/A</v>
      </c>
      <c r="B33" s="2"/>
      <c r="C33" s="2"/>
      <c r="D33" s="2"/>
      <c r="E33" s="2"/>
      <c r="F33" s="2"/>
      <c r="G33" s="2"/>
      <c r="H33" s="2"/>
      <c r="I33" s="2"/>
      <c r="J33" s="2"/>
      <c r="K33" s="2"/>
      <c r="L33" s="2"/>
      <c r="M33" s="2"/>
      <c r="N33" s="2"/>
      <c r="O33" s="2"/>
      <c r="P33" s="2"/>
      <c r="Q33" s="2"/>
      <c r="R33" s="2"/>
    </row>
    <row r="34" spans="1:18" ht="25.5" customHeight="1" x14ac:dyDescent="0.25">
      <c r="A34" s="527" t="s">
        <v>123</v>
      </c>
      <c r="B34" s="527"/>
      <c r="C34" s="527"/>
      <c r="D34" s="527"/>
      <c r="E34" s="527"/>
      <c r="F34" s="527"/>
      <c r="G34" s="527"/>
      <c r="H34" s="527"/>
      <c r="I34" s="527"/>
      <c r="J34" s="527"/>
      <c r="K34" s="527"/>
      <c r="L34" s="527"/>
      <c r="M34" s="527"/>
      <c r="N34" s="2"/>
      <c r="O34" s="2"/>
      <c r="P34" s="2"/>
      <c r="Q34" s="2"/>
      <c r="R34" s="2"/>
    </row>
    <row r="35" spans="1:18" ht="25.5" customHeight="1" x14ac:dyDescent="0.25">
      <c r="A35" s="1061" t="s">
        <v>124</v>
      </c>
      <c r="B35" s="1061"/>
      <c r="C35" s="1061"/>
      <c r="D35" s="1061"/>
      <c r="E35" s="1061"/>
      <c r="F35" s="1061"/>
      <c r="G35" s="1061"/>
      <c r="H35" s="1061"/>
      <c r="I35" s="1061"/>
      <c r="J35" s="1061"/>
      <c r="K35" s="1061"/>
      <c r="L35" s="1061"/>
      <c r="M35" s="1061"/>
      <c r="N35" s="16"/>
      <c r="O35" s="16"/>
      <c r="P35" s="16"/>
      <c r="Q35" s="16"/>
      <c r="R35" s="16"/>
    </row>
    <row r="36" spans="1:18" ht="25.5" customHeight="1" x14ac:dyDescent="0.25">
      <c r="A36" s="1000" t="s">
        <v>125</v>
      </c>
      <c r="B36" s="1001"/>
      <c r="C36" s="1001"/>
      <c r="D36" s="1002"/>
      <c r="E36" s="1003" t="e">
        <f>CONCATENATE(VLOOKUP($D$5,ID_list,19,FALSE)," ",VLOOKUP($D$5,ID_list,20,FALSE))</f>
        <v>#N/A</v>
      </c>
      <c r="F36" s="1004"/>
      <c r="G36" s="1004"/>
      <c r="H36" s="1005"/>
      <c r="I36" s="17" t="s">
        <v>126</v>
      </c>
      <c r="J36" s="1003" t="e">
        <f>IF(ISBLANK(VLOOKUP($D$5,ID_list,21,FALSE)),"",VLOOKUP($D$5,ID_list,21,FALSE))</f>
        <v>#N/A</v>
      </c>
      <c r="K36" s="1004"/>
      <c r="L36" s="1004"/>
      <c r="M36" s="1005"/>
      <c r="N36" s="2"/>
      <c r="O36" s="2"/>
      <c r="P36" s="2"/>
      <c r="Q36" s="2"/>
      <c r="R36" s="2"/>
    </row>
    <row r="37" spans="1:18" ht="25.5" customHeight="1" x14ac:dyDescent="0.25">
      <c r="A37" s="1000" t="s">
        <v>259</v>
      </c>
      <c r="B37" s="1001"/>
      <c r="C37" s="1001"/>
      <c r="D37" s="1002"/>
      <c r="E37" s="1003" t="e">
        <f>IF(ISBLANK(VLOOKUP($D$5,ID_list,26,FALSE)),"",CONCATENATE(VLOOKUP($D$5,ID_list,26,FALSE),", ",VLOOKUP($D$5,ID_list,27,FALSE)))</f>
        <v>#N/A</v>
      </c>
      <c r="F37" s="1004"/>
      <c r="G37" s="1004"/>
      <c r="H37" s="1005"/>
      <c r="I37" s="17" t="s">
        <v>260</v>
      </c>
      <c r="J37" s="1006" t="e">
        <f>IF(ISBLANK(VLOOKUP($D$5,ID_list,25,FALSE)),"",VLOOKUP($D$5,ID_list,25,FALSE))</f>
        <v>#N/A</v>
      </c>
      <c r="K37" s="1007"/>
      <c r="L37" s="1008"/>
      <c r="M37" s="1009"/>
      <c r="N37" s="2"/>
      <c r="O37" s="2"/>
      <c r="P37" s="2"/>
      <c r="Q37" s="2"/>
      <c r="R37" s="2"/>
    </row>
    <row r="38" spans="1:18" ht="25.5" customHeight="1" x14ac:dyDescent="0.25">
      <c r="A38" s="1000" t="s">
        <v>261</v>
      </c>
      <c r="B38" s="1001"/>
      <c r="C38" s="1001"/>
      <c r="D38" s="1002"/>
      <c r="E38" s="1003" t="e">
        <f>IF(ISBLANK(VLOOKUP($D$5,ID_list,28,FALSE)),"",VLOOKUP($D$5,ID_list,28,FALSE))</f>
        <v>#N/A</v>
      </c>
      <c r="F38" s="1004"/>
      <c r="G38" s="1004"/>
      <c r="H38" s="1005"/>
      <c r="I38" s="17" t="s">
        <v>262</v>
      </c>
      <c r="J38" s="1019" t="e">
        <f>CONCATENATE(TEXT(VLOOKUP($D$5,ID_list,22,FALSE),"(000) 000-0000"),IF(ISBLANK(VLOOKUP($D$5,ID_list,23,FALSE)),," ext. "),VLOOKUP($D$5,ID_list,23,FALSE))</f>
        <v>#N/A</v>
      </c>
      <c r="K38" s="1020"/>
      <c r="L38" s="1020"/>
      <c r="M38" s="1021"/>
      <c r="N38" s="2"/>
      <c r="O38" s="2"/>
      <c r="P38" s="2"/>
      <c r="Q38" s="2"/>
      <c r="R38" s="2"/>
    </row>
    <row r="39" spans="1:18" ht="25.5" customHeight="1" x14ac:dyDescent="0.25">
      <c r="A39" s="1000" t="s">
        <v>263</v>
      </c>
      <c r="B39" s="1001"/>
      <c r="C39" s="1001"/>
      <c r="D39" s="1002"/>
      <c r="E39" s="1003" t="e">
        <f>IF(ISBLANK(VLOOKUP($D$5,ID_list,29,FALSE)),"",VLOOKUP($D$5,ID_list,29,FALSE))</f>
        <v>#N/A</v>
      </c>
      <c r="F39" s="1004"/>
      <c r="G39" s="1004"/>
      <c r="H39" s="1005"/>
      <c r="I39" s="17" t="s">
        <v>264</v>
      </c>
      <c r="J39" s="1010" t="e">
        <f>IF(ISBLANK(VLOOKUP($D$5,ID_list,24,FALSE)),"",VLOOKUP($D$5,ID_list,24,FALSE))</f>
        <v>#N/A</v>
      </c>
      <c r="K39" s="1011"/>
      <c r="L39" s="1011"/>
      <c r="M39" s="1012"/>
      <c r="N39" s="2"/>
      <c r="O39" s="2"/>
      <c r="P39" s="2"/>
      <c r="Q39" s="2"/>
      <c r="R39" s="2"/>
    </row>
    <row r="40" spans="1:18" ht="25.5" customHeight="1" x14ac:dyDescent="0.25">
      <c r="A40" s="1000" t="s">
        <v>265</v>
      </c>
      <c r="B40" s="1001"/>
      <c r="C40" s="1001"/>
      <c r="D40" s="1002"/>
      <c r="E40" s="1003" t="e">
        <f>IF(ISBLANK(VLOOKUP($D$5,ID_list,30,FALSE)),"",CONCATENATE(VLOOKUP($D$5,ID_list,30,FALSE),"-",VLOOKUP($D$5,ID_list,31,FALSE)))</f>
        <v>#N/A</v>
      </c>
      <c r="F40" s="1004"/>
      <c r="G40" s="1004"/>
      <c r="H40" s="1005"/>
      <c r="I40" s="16"/>
      <c r="J40" s="16"/>
      <c r="K40" s="16"/>
      <c r="L40" s="16"/>
      <c r="M40" s="16"/>
      <c r="N40" s="2"/>
      <c r="O40" s="2"/>
      <c r="P40" s="2"/>
      <c r="Q40" s="2"/>
      <c r="R40" s="2"/>
    </row>
    <row r="41" spans="1:18" ht="25.5" customHeight="1" x14ac:dyDescent="0.25">
      <c r="A41" s="1000" t="s">
        <v>266</v>
      </c>
      <c r="B41" s="1001"/>
      <c r="C41" s="1001"/>
      <c r="D41" s="1002"/>
      <c r="E41" s="1003" t="e">
        <f>IF(ISBLANK(VLOOKUP($D$5,ID_list,32,FALSE)),"",VLOOKUP($D$5,ID_list,32,FALSE))</f>
        <v>#N/A</v>
      </c>
      <c r="F41" s="1004"/>
      <c r="G41" s="1004"/>
      <c r="H41" s="1005"/>
      <c r="I41" s="16"/>
      <c r="J41" s="16"/>
      <c r="K41" s="16"/>
      <c r="L41" s="16"/>
      <c r="M41" s="16"/>
      <c r="N41" s="2"/>
      <c r="O41" s="2"/>
      <c r="P41" s="2"/>
      <c r="Q41" s="2"/>
      <c r="R41" s="2"/>
    </row>
    <row r="42" spans="1:18" ht="25.5" customHeight="1" x14ac:dyDescent="0.25">
      <c r="A42" s="2"/>
      <c r="B42" s="2"/>
      <c r="C42" s="2"/>
      <c r="D42" s="2"/>
      <c r="E42" s="2"/>
      <c r="F42" s="2"/>
      <c r="G42" s="2"/>
      <c r="H42" s="2"/>
      <c r="I42" s="2"/>
      <c r="J42" s="2"/>
      <c r="K42" s="2"/>
      <c r="L42" s="2"/>
      <c r="M42" s="2"/>
      <c r="N42" s="2"/>
      <c r="O42" s="2"/>
      <c r="P42" s="2"/>
      <c r="Q42" s="2"/>
      <c r="R42" s="2"/>
    </row>
    <row r="43" spans="1:18" ht="25.5" customHeight="1" x14ac:dyDescent="0.25">
      <c r="A43" s="1013" t="s">
        <v>267</v>
      </c>
      <c r="B43" s="1014"/>
      <c r="C43" s="1014"/>
      <c r="D43" s="1014"/>
      <c r="E43" s="1014"/>
      <c r="F43" s="1014"/>
      <c r="G43" s="1014"/>
      <c r="H43" s="1014"/>
      <c r="I43" s="1014"/>
      <c r="J43" s="1014"/>
      <c r="K43" s="1014"/>
      <c r="L43" s="1014"/>
      <c r="M43" s="1014"/>
      <c r="N43" s="2"/>
      <c r="O43" s="2"/>
      <c r="P43" s="2"/>
      <c r="Q43" s="2"/>
      <c r="R43" s="2"/>
    </row>
    <row r="44" spans="1:18" ht="25.5" customHeight="1" x14ac:dyDescent="0.25">
      <c r="A44" s="1000" t="s">
        <v>268</v>
      </c>
      <c r="B44" s="1001"/>
      <c r="C44" s="1001"/>
      <c r="D44" s="1002"/>
      <c r="E44" s="1003" t="e">
        <f>IF(ISBLANK(VLOOKUP($D$5,ID_list,38,FALSE)),"",CONCATENATE(VLOOKUP($D$5,ID_list,38,FALSE)," ",VLOOKUP($D$5,ID_list,39,FALSE)))</f>
        <v>#N/A</v>
      </c>
      <c r="F44" s="1004"/>
      <c r="G44" s="1004"/>
      <c r="H44" s="1005"/>
      <c r="I44" s="17" t="s">
        <v>126</v>
      </c>
      <c r="J44" s="1003" t="e">
        <f>IF(ISBLANK(VLOOKUP($D$5,ID_list,40,FALSE)),"",VLOOKUP($D$5,ID_list,40,FALSE))</f>
        <v>#N/A</v>
      </c>
      <c r="K44" s="1004"/>
      <c r="L44" s="1004"/>
      <c r="M44" s="1005"/>
      <c r="N44" s="2"/>
      <c r="O44" s="2"/>
      <c r="P44" s="2"/>
      <c r="Q44" s="2"/>
      <c r="R44" s="2"/>
    </row>
    <row r="45" spans="1:18" ht="25.5" customHeight="1" x14ac:dyDescent="0.25">
      <c r="A45" s="1000" t="s">
        <v>259</v>
      </c>
      <c r="B45" s="1001"/>
      <c r="C45" s="1001"/>
      <c r="D45" s="1002"/>
      <c r="E45" s="1003" t="e">
        <f>IF(ISBLANK(VLOOKUP($D$5,ID_list,45,FALSE)),"",CONCATENATE(VLOOKUP($D$5,ID_list,45,FALSE),", ",VLOOKUP($D$5,ID_list,46,FALSE)))</f>
        <v>#N/A</v>
      </c>
      <c r="F45" s="1004"/>
      <c r="G45" s="1004"/>
      <c r="H45" s="1005"/>
      <c r="I45" s="17" t="s">
        <v>260</v>
      </c>
      <c r="J45" s="1006" t="e">
        <f>IF(ISBLANK(VLOOKUP($D$5,ID_list,44,FALSE)),"",VLOOKUP($D$5,ID_list,44,FALSE))</f>
        <v>#N/A</v>
      </c>
      <c r="K45" s="1007"/>
      <c r="L45" s="1008"/>
      <c r="M45" s="1009"/>
      <c r="N45" s="2"/>
      <c r="O45" s="2"/>
      <c r="P45" s="2"/>
      <c r="Q45" s="2"/>
      <c r="R45" s="2"/>
    </row>
    <row r="46" spans="1:18" ht="25.5" customHeight="1" x14ac:dyDescent="0.25">
      <c r="A46" s="1000" t="s">
        <v>261</v>
      </c>
      <c r="B46" s="1001"/>
      <c r="C46" s="1001"/>
      <c r="D46" s="1002"/>
      <c r="E46" s="1003" t="e">
        <f>IF(ISBLANK(VLOOKUP($D$5,ID_list,47,FALSE)),"",VLOOKUP($D$5,ID_list,47,FALSE))</f>
        <v>#N/A</v>
      </c>
      <c r="F46" s="1004"/>
      <c r="G46" s="1004"/>
      <c r="H46" s="1005"/>
      <c r="I46" s="17" t="s">
        <v>262</v>
      </c>
      <c r="J46" s="1010" t="e">
        <f>CONCATENATE(TEXT(VLOOKUP($D$5,ID_list,41,FALSE),"(000) 000-0000"),IF(ISBLANK(VLOOKUP($D$5,ID_list,42,FALSE)),," ext. "),VLOOKUP($D$5,ID_list,42,FALSE))</f>
        <v>#N/A</v>
      </c>
      <c r="K46" s="1011"/>
      <c r="L46" s="1011"/>
      <c r="M46" s="1012"/>
      <c r="N46" s="2"/>
      <c r="O46" s="2"/>
      <c r="P46" s="2"/>
      <c r="Q46" s="2"/>
      <c r="R46" s="2"/>
    </row>
    <row r="47" spans="1:18" ht="25.5" customHeight="1" x14ac:dyDescent="0.25">
      <c r="A47" s="1000" t="s">
        <v>263</v>
      </c>
      <c r="B47" s="1001"/>
      <c r="C47" s="1001"/>
      <c r="D47" s="1002"/>
      <c r="E47" s="1003" t="e">
        <f>IF(ISBLANK(VLOOKUP($D$5,ID_list,48,FALSE)),"",VLOOKUP($D$5,ID_list,48,FALSE))</f>
        <v>#N/A</v>
      </c>
      <c r="F47" s="1004"/>
      <c r="G47" s="1004"/>
      <c r="H47" s="1005"/>
      <c r="I47" s="17" t="s">
        <v>264</v>
      </c>
      <c r="J47" s="1010" t="e">
        <f>IF(ISBLANK(VLOOKUP($D$5,ID_list,43,FALSE)),"",VLOOKUP($D$5,ID_list,43,FALSE))</f>
        <v>#N/A</v>
      </c>
      <c r="K47" s="1011"/>
      <c r="L47" s="1011"/>
      <c r="M47" s="1012"/>
      <c r="N47" s="2"/>
      <c r="O47" s="2"/>
      <c r="P47" s="2"/>
      <c r="Q47" s="2"/>
      <c r="R47" s="2"/>
    </row>
    <row r="48" spans="1:18" ht="25.5" customHeight="1" x14ac:dyDescent="0.25">
      <c r="A48" s="1000" t="s">
        <v>265</v>
      </c>
      <c r="B48" s="1001"/>
      <c r="C48" s="1001"/>
      <c r="D48" s="1002"/>
      <c r="E48" s="1003" t="e">
        <f>IF(ISBLANK(VLOOKUP($D$5,ID_list,49,FALSE)),"",CONCATENATE(VLOOKUP($D$5,ID_list,49,FALSE),"-",VLOOKUP($D$5,ID_list,50,FALSE)))</f>
        <v>#N/A</v>
      </c>
      <c r="F48" s="1004"/>
      <c r="G48" s="1004"/>
      <c r="H48" s="1005"/>
      <c r="I48" s="16"/>
      <c r="J48" s="16"/>
      <c r="K48" s="16"/>
      <c r="L48" s="16"/>
      <c r="M48" s="16"/>
      <c r="N48" s="2"/>
      <c r="O48" s="2"/>
      <c r="P48" s="2"/>
      <c r="Q48" s="2"/>
      <c r="R48" s="2"/>
    </row>
    <row r="49" spans="1:18" ht="25.5" customHeight="1" x14ac:dyDescent="0.25">
      <c r="A49" s="1000" t="s">
        <v>266</v>
      </c>
      <c r="B49" s="1001"/>
      <c r="C49" s="1001"/>
      <c r="D49" s="1002"/>
      <c r="E49" s="1003"/>
      <c r="F49" s="1004"/>
      <c r="G49" s="1004"/>
      <c r="H49" s="1005"/>
      <c r="I49" s="16"/>
      <c r="J49" s="16"/>
      <c r="K49" s="16"/>
      <c r="L49" s="16"/>
      <c r="M49" s="16"/>
      <c r="N49" s="2"/>
      <c r="O49" s="2"/>
      <c r="P49" s="2"/>
      <c r="Q49" s="2"/>
      <c r="R49" s="2"/>
    </row>
    <row r="50" spans="1:18" ht="25.5" customHeight="1" x14ac:dyDescent="0.25">
      <c r="A50" s="2"/>
      <c r="B50" s="2"/>
      <c r="C50" s="2"/>
      <c r="D50" s="2"/>
      <c r="E50" s="2"/>
      <c r="F50" s="2"/>
      <c r="G50" s="2"/>
      <c r="H50" s="2"/>
      <c r="I50" s="2"/>
      <c r="J50" s="2"/>
      <c r="K50" s="2"/>
      <c r="L50" s="2"/>
      <c r="M50" s="2"/>
      <c r="N50" s="2"/>
      <c r="O50" s="2"/>
      <c r="P50" s="2"/>
      <c r="Q50" s="2"/>
      <c r="R50" s="2"/>
    </row>
    <row r="51" spans="1:18" ht="25.5" customHeight="1" x14ac:dyDescent="0.25">
      <c r="A51" s="1013" t="s">
        <v>269</v>
      </c>
      <c r="B51" s="1014"/>
      <c r="C51" s="1014"/>
      <c r="D51" s="1014"/>
      <c r="E51" s="1014"/>
      <c r="F51" s="1014"/>
      <c r="G51" s="1014"/>
      <c r="H51" s="1014"/>
      <c r="I51" s="1014"/>
      <c r="J51" s="1014"/>
      <c r="K51" s="1014"/>
      <c r="L51" s="1014"/>
      <c r="M51" s="1014"/>
      <c r="N51" s="2"/>
      <c r="O51" s="2"/>
      <c r="P51" s="2"/>
      <c r="Q51" s="2"/>
      <c r="R51" s="2"/>
    </row>
    <row r="52" spans="1:18" ht="25.5" customHeight="1" x14ac:dyDescent="0.25">
      <c r="A52" s="1000" t="s">
        <v>270</v>
      </c>
      <c r="B52" s="1001"/>
      <c r="C52" s="1001"/>
      <c r="D52" s="1002"/>
      <c r="E52" s="1003" t="e">
        <f>IF(ISBLANK(VLOOKUP($D$5,ID_list,51,FALSE)),"",CONCATENATE(VLOOKUP($D$5,ID_list,51,FALSE)," ",VLOOKUP($D$5,ID_list,52,FALSE)))</f>
        <v>#N/A</v>
      </c>
      <c r="F52" s="1004"/>
      <c r="G52" s="1004"/>
      <c r="H52" s="1005"/>
      <c r="I52" s="17" t="s">
        <v>126</v>
      </c>
      <c r="J52" s="1003" t="e">
        <f>IF(ISBLANK(VLOOKUP($D$5,ID_list,53,FALSE)),"",VLOOKUP($D$5,ID_list,53,FALSE))</f>
        <v>#N/A</v>
      </c>
      <c r="K52" s="1004"/>
      <c r="L52" s="1004"/>
      <c r="M52" s="1005"/>
      <c r="N52" s="2"/>
      <c r="O52" s="2"/>
      <c r="P52" s="2"/>
      <c r="Q52" s="2"/>
      <c r="R52" s="2"/>
    </row>
    <row r="53" spans="1:18" ht="25.5" customHeight="1" x14ac:dyDescent="0.25">
      <c r="A53" s="1000" t="s">
        <v>259</v>
      </c>
      <c r="B53" s="1001"/>
      <c r="C53" s="1001"/>
      <c r="D53" s="1002"/>
      <c r="E53" s="1003" t="e">
        <f>IF(ISBLANK(VLOOKUP($D$5,ID_list,58,FALSE)),"",CONCATENATE(VLOOKUP($D$5,ID_list,58,FALSE),", ",VLOOKUP($D$5,ID_list,59,FALSE)))</f>
        <v>#N/A</v>
      </c>
      <c r="F53" s="1004"/>
      <c r="G53" s="1004"/>
      <c r="H53" s="1005"/>
      <c r="I53" s="17" t="s">
        <v>260</v>
      </c>
      <c r="J53" s="1006" t="e">
        <f>IF(ISBLANK(VLOOKUP($D$5,ID_list,57,FALSE)),"",VLOOKUP($D$5,ID_list,57,FALSE))</f>
        <v>#N/A</v>
      </c>
      <c r="K53" s="1007"/>
      <c r="L53" s="1008"/>
      <c r="M53" s="1009"/>
      <c r="N53" s="2"/>
      <c r="O53" s="2"/>
      <c r="P53" s="2"/>
      <c r="Q53" s="2"/>
      <c r="R53" s="2"/>
    </row>
    <row r="54" spans="1:18" ht="25.5" customHeight="1" x14ac:dyDescent="0.25">
      <c r="A54" s="1000" t="s">
        <v>261</v>
      </c>
      <c r="B54" s="1001"/>
      <c r="C54" s="1001"/>
      <c r="D54" s="1002"/>
      <c r="E54" s="1003" t="e">
        <f>IF(ISBLANK(VLOOKUP($D$5,ID_list,60,FALSE)),"",VLOOKUP($D$5,ID_list,60,FALSE))</f>
        <v>#N/A</v>
      </c>
      <c r="F54" s="1004"/>
      <c r="G54" s="1004"/>
      <c r="H54" s="1005"/>
      <c r="I54" s="17" t="s">
        <v>262</v>
      </c>
      <c r="J54" s="1010" t="e">
        <f>CONCATENATE(TEXT(VLOOKUP($D$5,ID_list,54,FALSE),"(000) 000-0000"),IF(ISBLANK(VLOOKUP($D$5,ID_list,55,FALSE)),," ext. "),VLOOKUP($D$5,ID_list,55,FALSE))</f>
        <v>#N/A</v>
      </c>
      <c r="K54" s="1011"/>
      <c r="L54" s="1011"/>
      <c r="M54" s="1012"/>
      <c r="N54" s="2"/>
      <c r="O54" s="2"/>
      <c r="P54" s="2"/>
      <c r="Q54" s="2"/>
      <c r="R54" s="2"/>
    </row>
    <row r="55" spans="1:18" ht="25.5" customHeight="1" x14ac:dyDescent="0.25">
      <c r="A55" s="1000" t="s">
        <v>263</v>
      </c>
      <c r="B55" s="1001"/>
      <c r="C55" s="1001"/>
      <c r="D55" s="1002"/>
      <c r="E55" s="1003" t="e">
        <f>IF(ISBLANK(VLOOKUP($D$5,ID_list,61,FALSE)),"",VLOOKUP($D$5,ID_list,61,FALSE))</f>
        <v>#N/A</v>
      </c>
      <c r="F55" s="1004"/>
      <c r="G55" s="1004"/>
      <c r="H55" s="1005"/>
      <c r="I55" s="17" t="s">
        <v>264</v>
      </c>
      <c r="J55" s="1010" t="e">
        <f>IF(ISBLANK(VLOOKUP($D$5,ID_list,56,FALSE)),"",VLOOKUP($D$5,ID_list,56,FALSE))</f>
        <v>#N/A</v>
      </c>
      <c r="K55" s="1011"/>
      <c r="L55" s="1011"/>
      <c r="M55" s="1012"/>
      <c r="N55" s="2"/>
      <c r="O55" s="2"/>
      <c r="P55" s="2"/>
      <c r="Q55" s="2"/>
      <c r="R55" s="2"/>
    </row>
    <row r="56" spans="1:18" ht="25.5" customHeight="1" x14ac:dyDescent="0.25">
      <c r="A56" s="1000" t="s">
        <v>265</v>
      </c>
      <c r="B56" s="1001"/>
      <c r="C56" s="1001"/>
      <c r="D56" s="1002"/>
      <c r="E56" s="1003" t="e">
        <f>IF(ISBLANK(VLOOKUP($D$5,ID_list,62,FALSE)),"",CONCATENATE(VLOOKUP($D$5,ID_list,62,FALSE),"-",VLOOKUP($D$5,ID_list,63,FALSE)))</f>
        <v>#N/A</v>
      </c>
      <c r="F56" s="1004"/>
      <c r="G56" s="1004"/>
      <c r="H56" s="1005"/>
      <c r="I56" s="16"/>
      <c r="J56" s="16"/>
      <c r="K56" s="16"/>
      <c r="L56" s="16"/>
      <c r="M56" s="16"/>
      <c r="N56" s="2"/>
      <c r="O56" s="2"/>
      <c r="P56" s="2"/>
      <c r="Q56" s="2"/>
      <c r="R56" s="2"/>
    </row>
    <row r="57" spans="1:18" ht="25.5" customHeight="1" x14ac:dyDescent="0.25">
      <c r="A57" s="1000" t="s">
        <v>266</v>
      </c>
      <c r="B57" s="1001"/>
      <c r="C57" s="1001"/>
      <c r="D57" s="1002"/>
      <c r="E57" s="1003"/>
      <c r="F57" s="1004"/>
      <c r="G57" s="1004"/>
      <c r="H57" s="1005"/>
      <c r="I57" s="16"/>
      <c r="J57" s="16"/>
      <c r="K57" s="16"/>
      <c r="L57" s="16"/>
      <c r="M57" s="16"/>
      <c r="N57" s="2"/>
      <c r="O57" s="2"/>
      <c r="P57" s="2"/>
      <c r="Q57" s="2"/>
      <c r="R57" s="2"/>
    </row>
    <row r="58" spans="1:18" ht="25.5" customHeight="1" x14ac:dyDescent="0.25">
      <c r="A58" s="2"/>
      <c r="B58" s="2"/>
      <c r="C58" s="2"/>
      <c r="D58" s="2"/>
      <c r="E58" s="2"/>
      <c r="F58" s="2"/>
      <c r="G58" s="2"/>
      <c r="H58" s="2"/>
      <c r="I58" s="2"/>
      <c r="J58" s="2"/>
      <c r="K58" s="2"/>
      <c r="L58" s="2"/>
      <c r="M58" s="2"/>
      <c r="N58" s="2"/>
      <c r="O58" s="2"/>
      <c r="P58" s="2"/>
      <c r="Q58" s="2"/>
      <c r="R58" s="2"/>
    </row>
    <row r="59" spans="1:18" ht="25.5" customHeight="1" x14ac:dyDescent="0.25">
      <c r="A59" s="1013" t="s">
        <v>1517</v>
      </c>
      <c r="B59" s="1014"/>
      <c r="C59" s="1014"/>
      <c r="D59" s="1014"/>
      <c r="E59" s="1014"/>
      <c r="F59" s="1014"/>
      <c r="G59" s="1014"/>
      <c r="H59" s="1014"/>
      <c r="I59" s="1014"/>
      <c r="J59" s="1014"/>
      <c r="K59" s="1014"/>
      <c r="L59" s="1014"/>
      <c r="M59" s="1014"/>
      <c r="N59" s="1015" t="s">
        <v>1518</v>
      </c>
      <c r="O59" s="602"/>
      <c r="P59" s="602"/>
      <c r="Q59" s="602"/>
      <c r="R59" s="602"/>
    </row>
    <row r="60" spans="1:18" ht="25.5" customHeight="1" x14ac:dyDescent="0.25">
      <c r="A60" s="1000" t="s">
        <v>271</v>
      </c>
      <c r="B60" s="1001"/>
      <c r="C60" s="1001"/>
      <c r="D60" s="1002"/>
      <c r="E60" s="1003" t="e">
        <f>IF(ISBLANK(VLOOKUP($D$5,ID_list,64,FALSE)),"",CONCATENATE(VLOOKUP($D$5,ID_list,64,FALSE)," ",VLOOKUP($D$5,ID_list,65,FALSE)))</f>
        <v>#N/A</v>
      </c>
      <c r="F60" s="1004"/>
      <c r="G60" s="1004"/>
      <c r="H60" s="1005"/>
      <c r="I60" s="17" t="s">
        <v>126</v>
      </c>
      <c r="J60" s="1003" t="e">
        <f>IF(ISBLANK(VLOOKUP($D$5,ID_list,66,FALSE)),"",VLOOKUP($D$5,ID_list,66,FALSE))</f>
        <v>#N/A</v>
      </c>
      <c r="K60" s="1004"/>
      <c r="L60" s="1004"/>
      <c r="M60" s="1005"/>
      <c r="N60" s="601" t="s">
        <v>1519</v>
      </c>
      <c r="O60" s="602"/>
      <c r="P60" s="602"/>
      <c r="Q60" s="602"/>
      <c r="R60" s="602"/>
    </row>
    <row r="61" spans="1:18" ht="25.5" customHeight="1" x14ac:dyDescent="0.25">
      <c r="A61" s="1000" t="s">
        <v>259</v>
      </c>
      <c r="B61" s="1001"/>
      <c r="C61" s="1001"/>
      <c r="D61" s="1002"/>
      <c r="E61" s="1003" t="e">
        <f>IF(ISBLANK(VLOOKUP($D$5,ID_list,71,FALSE)),"",CONCATENATE(VLOOKUP($D$5,ID_list,71,FALSE),", ",VLOOKUP($D$5,ID_list,72,FALSE)))</f>
        <v>#N/A</v>
      </c>
      <c r="F61" s="1004"/>
      <c r="G61" s="1004"/>
      <c r="H61" s="1005"/>
      <c r="I61" s="17" t="s">
        <v>260</v>
      </c>
      <c r="J61" s="1006" t="e">
        <f>IF(ISBLANK(VLOOKUP($D$5,ID_list,70,FALSE)),"",VLOOKUP($D$5,ID_list,70,FALSE))</f>
        <v>#N/A</v>
      </c>
      <c r="K61" s="1007"/>
      <c r="L61" s="1008"/>
      <c r="M61" s="1009"/>
      <c r="N61" s="2"/>
      <c r="O61" s="2"/>
      <c r="P61" s="2"/>
      <c r="Q61" s="2"/>
      <c r="R61" s="2"/>
    </row>
    <row r="62" spans="1:18" ht="25.5" customHeight="1" x14ac:dyDescent="0.25">
      <c r="A62" s="1000" t="s">
        <v>261</v>
      </c>
      <c r="B62" s="1001"/>
      <c r="C62" s="1001"/>
      <c r="D62" s="1002"/>
      <c r="E62" s="1003" t="e">
        <f>IF(ISBLANK(VLOOKUP($D$5,ID_list,73,FALSE)),"",VLOOKUP($D$5,ID_list,73,FALSE))</f>
        <v>#N/A</v>
      </c>
      <c r="F62" s="1004"/>
      <c r="G62" s="1004"/>
      <c r="H62" s="1005"/>
      <c r="I62" s="17" t="s">
        <v>262</v>
      </c>
      <c r="J62" s="1010" t="e">
        <f>CONCATENATE(TEXT(VLOOKUP($D$5,ID_list,67,FALSE),"(000) 000-0000"),IF(ISBLANK(VLOOKUP($D$5,ID_list,68,FALSE)),," ext. "),VLOOKUP($D$5,ID_list,68,FALSE))</f>
        <v>#N/A</v>
      </c>
      <c r="K62" s="1011"/>
      <c r="L62" s="1011"/>
      <c r="M62" s="1012"/>
      <c r="N62" s="2"/>
      <c r="O62" s="2"/>
      <c r="P62" s="2"/>
      <c r="Q62" s="2"/>
      <c r="R62" s="2"/>
    </row>
    <row r="63" spans="1:18" ht="25.5" customHeight="1" x14ac:dyDescent="0.25">
      <c r="A63" s="1000" t="s">
        <v>263</v>
      </c>
      <c r="B63" s="1001"/>
      <c r="C63" s="1001"/>
      <c r="D63" s="1002"/>
      <c r="E63" s="1003" t="e">
        <f>IF(ISBLANK(VLOOKUP($D$5,ID_list,74,FALSE)),"",VLOOKUP($D$5,ID_list,74,FALSE))</f>
        <v>#N/A</v>
      </c>
      <c r="F63" s="1004"/>
      <c r="G63" s="1004"/>
      <c r="H63" s="1005"/>
      <c r="I63" s="17" t="s">
        <v>264</v>
      </c>
      <c r="J63" s="1010" t="e">
        <f>IF(ISBLANK(VLOOKUP($D$5,ID_list,69,FALSE)),"",VLOOKUP($D$5,ID_list,69,FALSE))</f>
        <v>#N/A</v>
      </c>
      <c r="K63" s="1011"/>
      <c r="L63" s="1011"/>
      <c r="M63" s="1012"/>
      <c r="N63" s="2"/>
      <c r="O63" s="2"/>
      <c r="P63" s="2"/>
      <c r="Q63" s="2"/>
      <c r="R63" s="2"/>
    </row>
    <row r="64" spans="1:18" ht="25.5" customHeight="1" x14ac:dyDescent="0.25">
      <c r="A64" s="1000" t="s">
        <v>265</v>
      </c>
      <c r="B64" s="1001"/>
      <c r="C64" s="1001"/>
      <c r="D64" s="1002"/>
      <c r="E64" s="1003" t="e">
        <f>IF(ISBLANK(VLOOKUP($D$5,ID_list,75,FALSE)),"",CONCATENATE(VLOOKUP($D$5,ID_list,75,FALSE),"-",VLOOKUP($D$5,ID_list,76,FALSE)))</f>
        <v>#N/A</v>
      </c>
      <c r="F64" s="1004"/>
      <c r="G64" s="1004"/>
      <c r="H64" s="1005"/>
      <c r="I64" s="16"/>
      <c r="J64" s="16"/>
      <c r="K64" s="16"/>
      <c r="L64" s="16"/>
      <c r="M64" s="16"/>
      <c r="N64" s="2"/>
      <c r="O64" s="2"/>
      <c r="P64" s="2"/>
      <c r="Q64" s="2"/>
      <c r="R64" s="2"/>
    </row>
    <row r="65" spans="1:18" ht="25.5" customHeight="1" x14ac:dyDescent="0.25">
      <c r="A65" s="1000" t="s">
        <v>266</v>
      </c>
      <c r="B65" s="1001"/>
      <c r="C65" s="1001"/>
      <c r="D65" s="1002"/>
      <c r="E65" s="1003"/>
      <c r="F65" s="1004"/>
      <c r="G65" s="1004"/>
      <c r="H65" s="1005"/>
      <c r="I65" s="16"/>
      <c r="J65" s="16"/>
      <c r="K65" s="16"/>
      <c r="L65" s="16"/>
      <c r="M65" s="16"/>
      <c r="N65" s="602" t="str">
        <f>IF($D$5&gt;=200,"Psychiatric or Specialty hospitals click here to skip to the next REQUIRED item.","")</f>
        <v/>
      </c>
      <c r="O65" s="602"/>
      <c r="P65" s="602"/>
      <c r="Q65" s="602"/>
      <c r="R65" s="602"/>
    </row>
    <row r="66" spans="1:18" ht="25.5" customHeight="1" x14ac:dyDescent="0.3">
      <c r="A66" s="15" t="e">
        <f>$A$33</f>
        <v>#N/A</v>
      </c>
      <c r="B66" s="5"/>
      <c r="C66" s="5"/>
      <c r="D66" s="5"/>
      <c r="E66" s="5"/>
      <c r="F66" s="2"/>
      <c r="G66" s="2"/>
      <c r="H66" s="2"/>
      <c r="I66" s="2"/>
      <c r="J66" s="2"/>
      <c r="K66" s="2"/>
      <c r="L66" s="2"/>
      <c r="M66" s="2"/>
      <c r="N66" s="2"/>
      <c r="O66" s="2"/>
      <c r="P66" s="2"/>
      <c r="Q66" s="2"/>
      <c r="R66" s="2"/>
    </row>
    <row r="67" spans="1:18" ht="25.5" customHeight="1" x14ac:dyDescent="0.25">
      <c r="A67" s="527" t="s">
        <v>1520</v>
      </c>
      <c r="B67" s="527"/>
      <c r="C67" s="527"/>
      <c r="D67" s="527"/>
      <c r="E67" s="527"/>
      <c r="F67" s="527"/>
      <c r="G67" s="527"/>
      <c r="H67" s="527"/>
      <c r="I67" s="527"/>
      <c r="J67" s="527"/>
      <c r="K67" s="528"/>
      <c r="L67" s="636"/>
      <c r="M67" s="636"/>
      <c r="N67" s="2"/>
      <c r="O67" s="2"/>
      <c r="P67" s="2"/>
      <c r="Q67" s="2"/>
      <c r="R67" s="2"/>
    </row>
    <row r="68" spans="1:18" ht="25.5" customHeight="1" x14ac:dyDescent="0.25">
      <c r="A68" s="700" t="s">
        <v>272</v>
      </c>
      <c r="B68" s="700"/>
      <c r="C68" s="700"/>
      <c r="D68" s="700"/>
      <c r="E68" s="700"/>
      <c r="F68" s="700"/>
      <c r="G68" s="700"/>
      <c r="H68" s="700"/>
      <c r="I68" s="700"/>
      <c r="J68" s="700"/>
      <c r="K68" s="700"/>
      <c r="L68" s="700"/>
      <c r="M68" s="700"/>
      <c r="N68" s="2"/>
      <c r="O68" s="2"/>
      <c r="P68" s="2"/>
      <c r="Q68" s="2"/>
      <c r="R68" s="2"/>
    </row>
    <row r="69" spans="1:18" ht="25.5" customHeight="1" x14ac:dyDescent="0.25">
      <c r="A69" s="527" t="s">
        <v>273</v>
      </c>
      <c r="B69" s="527"/>
      <c r="C69" s="527"/>
      <c r="D69" s="527"/>
      <c r="E69" s="527"/>
      <c r="F69" s="527"/>
      <c r="G69" s="527"/>
      <c r="H69" s="527"/>
      <c r="I69" s="527"/>
      <c r="J69" s="527"/>
      <c r="K69" s="528"/>
      <c r="L69" s="696" t="s">
        <v>3614</v>
      </c>
      <c r="M69" s="696"/>
      <c r="N69" s="2"/>
      <c r="O69" s="2"/>
      <c r="P69" s="2"/>
      <c r="Q69" s="2"/>
      <c r="R69" s="2"/>
    </row>
    <row r="70" spans="1:18" ht="25.5" customHeight="1" x14ac:dyDescent="0.25">
      <c r="A70" s="20" t="s">
        <v>275</v>
      </c>
      <c r="B70" s="531" t="s">
        <v>276</v>
      </c>
      <c r="C70" s="532"/>
      <c r="D70" s="532"/>
      <c r="E70" s="532"/>
      <c r="F70" s="532"/>
      <c r="G70" s="532"/>
      <c r="H70" s="532"/>
      <c r="I70" s="532"/>
      <c r="J70" s="532"/>
      <c r="K70" s="533"/>
      <c r="L70" s="996"/>
      <c r="M70" s="530"/>
      <c r="N70" s="1200" t="s">
        <v>1673</v>
      </c>
      <c r="O70" s="1201"/>
      <c r="P70" s="1201"/>
      <c r="Q70" s="1201"/>
      <c r="R70" s="1202"/>
    </row>
    <row r="71" spans="1:18" ht="25.5" customHeight="1" x14ac:dyDescent="0.25">
      <c r="A71" s="20">
        <v>204</v>
      </c>
      <c r="B71" s="531" t="s">
        <v>277</v>
      </c>
      <c r="C71" s="532"/>
      <c r="D71" s="532"/>
      <c r="E71" s="532"/>
      <c r="F71" s="532"/>
      <c r="G71" s="532"/>
      <c r="H71" s="532"/>
      <c r="I71" s="532"/>
      <c r="J71" s="532"/>
      <c r="K71" s="533"/>
      <c r="L71" s="996"/>
      <c r="M71" s="530"/>
      <c r="N71" s="1203"/>
      <c r="O71" s="1204"/>
      <c r="P71" s="1204"/>
      <c r="Q71" s="1204"/>
      <c r="R71" s="1205"/>
    </row>
    <row r="72" spans="1:18" ht="25.5" customHeight="1" x14ac:dyDescent="0.25">
      <c r="A72" s="20">
        <v>207</v>
      </c>
      <c r="B72" s="531" t="s">
        <v>278</v>
      </c>
      <c r="C72" s="532"/>
      <c r="D72" s="532"/>
      <c r="E72" s="532"/>
      <c r="F72" s="532"/>
      <c r="G72" s="532"/>
      <c r="H72" s="532"/>
      <c r="I72" s="532"/>
      <c r="J72" s="532"/>
      <c r="K72" s="533"/>
      <c r="L72" s="996"/>
      <c r="M72" s="530"/>
      <c r="N72" s="1196" t="str">
        <f>IF(NOT(ISBLANK($L$72)),"Any clinic included in 0207 needs to be listed on Offsite Locations tab.","")</f>
        <v/>
      </c>
      <c r="O72" s="1197"/>
      <c r="P72" s="1197"/>
      <c r="Q72" s="1197"/>
      <c r="R72" s="1197"/>
    </row>
    <row r="73" spans="1:18" ht="25.5" customHeight="1" x14ac:dyDescent="0.25">
      <c r="A73" s="20">
        <v>202</v>
      </c>
      <c r="B73" s="531" t="s">
        <v>279</v>
      </c>
      <c r="C73" s="532"/>
      <c r="D73" s="532"/>
      <c r="E73" s="532"/>
      <c r="F73" s="532"/>
      <c r="G73" s="532"/>
      <c r="H73" s="532"/>
      <c r="I73" s="532"/>
      <c r="J73" s="532"/>
      <c r="K73" s="533"/>
      <c r="L73" s="996"/>
      <c r="M73" s="530"/>
      <c r="N73" s="1198"/>
      <c r="O73" s="1199"/>
      <c r="P73" s="1199"/>
      <c r="Q73" s="1199"/>
      <c r="R73" s="1199"/>
    </row>
    <row r="74" spans="1:18" ht="25.5" customHeight="1" x14ac:dyDescent="0.25">
      <c r="A74" s="20">
        <v>203</v>
      </c>
      <c r="B74" s="531" t="s">
        <v>280</v>
      </c>
      <c r="C74" s="532"/>
      <c r="D74" s="532"/>
      <c r="E74" s="532"/>
      <c r="F74" s="532"/>
      <c r="G74" s="532"/>
      <c r="H74" s="532"/>
      <c r="I74" s="532"/>
      <c r="J74" s="532"/>
      <c r="K74" s="533"/>
      <c r="L74" s="996"/>
      <c r="M74" s="530"/>
    </row>
    <row r="75" spans="1:18" ht="25.5" customHeight="1" x14ac:dyDescent="0.25">
      <c r="A75" s="20">
        <v>7113</v>
      </c>
      <c r="B75" s="531" t="s">
        <v>281</v>
      </c>
      <c r="C75" s="532"/>
      <c r="D75" s="532"/>
      <c r="E75" s="532"/>
      <c r="F75" s="532"/>
      <c r="G75" s="532"/>
      <c r="H75" s="532"/>
      <c r="I75" s="532"/>
      <c r="J75" s="532"/>
      <c r="K75" s="533"/>
      <c r="L75" s="996"/>
      <c r="M75" s="530"/>
    </row>
    <row r="76" spans="1:18" ht="25.5" customHeight="1" x14ac:dyDescent="0.25">
      <c r="A76" s="20">
        <v>208</v>
      </c>
      <c r="B76" s="531" t="s">
        <v>282</v>
      </c>
      <c r="C76" s="532"/>
      <c r="D76" s="532"/>
      <c r="E76" s="532"/>
      <c r="F76" s="532"/>
      <c r="G76" s="532"/>
      <c r="H76" s="532"/>
      <c r="I76" s="532"/>
      <c r="J76" s="532"/>
      <c r="K76" s="533"/>
      <c r="L76" s="996"/>
      <c r="M76" s="530"/>
      <c r="N76" s="601" t="str">
        <f>IF(NOT(ISBLANK($L$76)),"Any clinic included in 0208 needs to be listed on Offsite Locations tab.","")</f>
        <v/>
      </c>
      <c r="O76" s="602"/>
      <c r="P76" s="602"/>
      <c r="Q76" s="602"/>
      <c r="R76" s="602"/>
    </row>
    <row r="77" spans="1:18" ht="25.5" customHeight="1" x14ac:dyDescent="0.25">
      <c r="A77" s="21">
        <v>210</v>
      </c>
      <c r="B77" s="611" t="s">
        <v>283</v>
      </c>
      <c r="C77" s="612"/>
      <c r="D77" s="612"/>
      <c r="E77" s="612"/>
      <c r="F77" s="612"/>
      <c r="G77" s="612"/>
      <c r="H77" s="612"/>
      <c r="I77" s="612"/>
      <c r="J77" s="612"/>
      <c r="K77" s="613"/>
      <c r="L77" s="994">
        <f>SUM(L70:M76)</f>
        <v>0</v>
      </c>
      <c r="M77" s="995"/>
      <c r="N77" s="2"/>
      <c r="O77" s="2"/>
      <c r="P77" s="2"/>
      <c r="Q77" s="2"/>
      <c r="R77" s="2"/>
    </row>
    <row r="78" spans="1:18" ht="25.5" customHeight="1" x14ac:dyDescent="0.25">
      <c r="A78" s="20">
        <v>215</v>
      </c>
      <c r="B78" s="531" t="s">
        <v>1935</v>
      </c>
      <c r="C78" s="532"/>
      <c r="D78" s="532"/>
      <c r="E78" s="532"/>
      <c r="F78" s="532"/>
      <c r="G78" s="532"/>
      <c r="H78" s="532"/>
      <c r="I78" s="532"/>
      <c r="J78" s="532"/>
      <c r="K78" s="533"/>
      <c r="L78" s="996"/>
      <c r="M78" s="530"/>
      <c r="N78" s="551" t="str">
        <f>IF(L78&gt;=0,"This should be a negative number"," ")</f>
        <v>This should be a negative number</v>
      </c>
      <c r="O78" s="552"/>
      <c r="P78" s="552"/>
      <c r="Q78" s="552"/>
      <c r="R78" s="876"/>
    </row>
    <row r="79" spans="1:18" ht="25.5" customHeight="1" x14ac:dyDescent="0.25">
      <c r="A79" s="20">
        <v>216</v>
      </c>
      <c r="B79" s="534" t="s">
        <v>603</v>
      </c>
      <c r="C79" s="535"/>
      <c r="D79" s="535"/>
      <c r="E79" s="535"/>
      <c r="F79" s="535"/>
      <c r="G79" s="535"/>
      <c r="H79" s="535"/>
      <c r="I79" s="535"/>
      <c r="J79" s="535"/>
      <c r="K79" s="536"/>
      <c r="L79" s="996"/>
      <c r="M79" s="530"/>
      <c r="N79" s="557" t="str">
        <f>IF(L79&gt;=0,"This should be a negative number"," ")</f>
        <v>This should be a negative number</v>
      </c>
      <c r="O79" s="558"/>
      <c r="P79" s="558"/>
      <c r="Q79" s="558"/>
      <c r="R79" s="558"/>
    </row>
    <row r="80" spans="1:18" ht="25.5" customHeight="1" x14ac:dyDescent="0.25">
      <c r="A80" s="20">
        <v>220</v>
      </c>
      <c r="B80" s="531" t="s">
        <v>284</v>
      </c>
      <c r="C80" s="532"/>
      <c r="D80" s="532"/>
      <c r="E80" s="532"/>
      <c r="F80" s="532"/>
      <c r="G80" s="532"/>
      <c r="H80" s="532"/>
      <c r="I80" s="532"/>
      <c r="J80" s="532"/>
      <c r="K80" s="533"/>
      <c r="L80" s="994">
        <f>L78+L79</f>
        <v>0</v>
      </c>
      <c r="M80" s="995"/>
      <c r="N80" s="551" t="str">
        <f>IF(L80&gt;=0,"This should be a negative number"," ")</f>
        <v>This should be a negative number</v>
      </c>
      <c r="O80" s="552"/>
      <c r="P80" s="552"/>
      <c r="Q80" s="552"/>
      <c r="R80" s="598"/>
    </row>
    <row r="81" spans="1:18" ht="25.5" customHeight="1" x14ac:dyDescent="0.25">
      <c r="A81" s="21">
        <v>219</v>
      </c>
      <c r="B81" s="611" t="s">
        <v>285</v>
      </c>
      <c r="C81" s="612"/>
      <c r="D81" s="612"/>
      <c r="E81" s="612"/>
      <c r="F81" s="612"/>
      <c r="G81" s="612"/>
      <c r="H81" s="612"/>
      <c r="I81" s="612"/>
      <c r="J81" s="612"/>
      <c r="K81" s="613"/>
      <c r="L81" s="994">
        <f>L77+L80</f>
        <v>0</v>
      </c>
      <c r="M81" s="995"/>
      <c r="N81" s="2"/>
      <c r="O81" s="2"/>
      <c r="P81" s="2"/>
      <c r="Q81" s="2"/>
      <c r="R81" s="2"/>
    </row>
    <row r="82" spans="1:18" ht="25.5" customHeight="1" x14ac:dyDescent="0.25">
      <c r="A82" s="20">
        <v>240</v>
      </c>
      <c r="B82" s="531" t="s">
        <v>1270</v>
      </c>
      <c r="C82" s="532"/>
      <c r="D82" s="532"/>
      <c r="E82" s="532"/>
      <c r="F82" s="532"/>
      <c r="G82" s="532"/>
      <c r="H82" s="532"/>
      <c r="I82" s="532"/>
      <c r="J82" s="532"/>
      <c r="K82" s="533"/>
      <c r="L82" s="996"/>
      <c r="M82" s="530"/>
      <c r="N82" s="2"/>
      <c r="O82" s="2"/>
      <c r="P82" s="2"/>
      <c r="Q82" s="2"/>
      <c r="R82" s="2"/>
    </row>
    <row r="83" spans="1:18" ht="25.5" customHeight="1" x14ac:dyDescent="0.25">
      <c r="A83" s="21">
        <v>250</v>
      </c>
      <c r="B83" s="611" t="s">
        <v>1271</v>
      </c>
      <c r="C83" s="612"/>
      <c r="D83" s="612"/>
      <c r="E83" s="612"/>
      <c r="F83" s="612"/>
      <c r="G83" s="612"/>
      <c r="H83" s="612"/>
      <c r="I83" s="612"/>
      <c r="J83" s="612"/>
      <c r="K83" s="613"/>
      <c r="L83" s="994">
        <f>L81+L82</f>
        <v>0</v>
      </c>
      <c r="M83" s="995"/>
      <c r="N83" s="2"/>
      <c r="O83" s="2"/>
      <c r="P83" s="2"/>
      <c r="Q83" s="2"/>
      <c r="R83" s="2"/>
    </row>
    <row r="84" spans="1:18" ht="25.5" customHeight="1" x14ac:dyDescent="0.25">
      <c r="A84" s="20">
        <v>260</v>
      </c>
      <c r="B84" s="531" t="s">
        <v>1272</v>
      </c>
      <c r="C84" s="532"/>
      <c r="D84" s="532"/>
      <c r="E84" s="532"/>
      <c r="F84" s="532"/>
      <c r="G84" s="532"/>
      <c r="H84" s="532"/>
      <c r="I84" s="532"/>
      <c r="J84" s="532"/>
      <c r="K84" s="533"/>
      <c r="L84" s="529"/>
      <c r="M84" s="530"/>
      <c r="N84" s="2"/>
      <c r="O84" s="2"/>
      <c r="P84" s="2"/>
      <c r="Q84" s="2"/>
      <c r="R84" s="2"/>
    </row>
    <row r="85" spans="1:18" ht="25.5" customHeight="1" x14ac:dyDescent="0.25">
      <c r="A85" s="21">
        <v>200</v>
      </c>
      <c r="B85" s="611" t="s">
        <v>1273</v>
      </c>
      <c r="C85" s="612"/>
      <c r="D85" s="612"/>
      <c r="E85" s="612"/>
      <c r="F85" s="612"/>
      <c r="G85" s="612"/>
      <c r="H85" s="612"/>
      <c r="I85" s="612"/>
      <c r="J85" s="612"/>
      <c r="K85" s="613"/>
      <c r="L85" s="994">
        <f>L83-L84</f>
        <v>0</v>
      </c>
      <c r="M85" s="995"/>
      <c r="N85" s="2"/>
      <c r="O85" s="2"/>
      <c r="P85" s="2"/>
      <c r="Q85" s="2"/>
      <c r="R85" s="2"/>
    </row>
    <row r="86" spans="1:18" ht="25.5" customHeight="1" x14ac:dyDescent="0.25">
      <c r="A86" s="527" t="s">
        <v>1274</v>
      </c>
      <c r="B86" s="527"/>
      <c r="C86" s="527"/>
      <c r="D86" s="527"/>
      <c r="E86" s="527"/>
      <c r="F86" s="527"/>
      <c r="G86" s="527"/>
      <c r="H86" s="527"/>
      <c r="I86" s="527"/>
      <c r="J86" s="527"/>
      <c r="K86" s="528"/>
      <c r="L86" s="636" t="s">
        <v>3614</v>
      </c>
      <c r="M86" s="636"/>
      <c r="N86" s="2"/>
      <c r="O86" s="2"/>
      <c r="P86" s="2"/>
      <c r="Q86" s="2"/>
      <c r="R86" s="2"/>
    </row>
    <row r="87" spans="1:18" ht="25.5" customHeight="1" x14ac:dyDescent="0.25">
      <c r="A87" s="20">
        <v>320</v>
      </c>
      <c r="B87" s="531" t="s">
        <v>1275</v>
      </c>
      <c r="C87" s="532"/>
      <c r="D87" s="532"/>
      <c r="E87" s="532"/>
      <c r="F87" s="532"/>
      <c r="G87" s="532"/>
      <c r="H87" s="532"/>
      <c r="I87" s="532"/>
      <c r="J87" s="532"/>
      <c r="K87" s="533"/>
      <c r="L87" s="529"/>
      <c r="M87" s="530"/>
      <c r="N87" s="2"/>
      <c r="O87" s="2"/>
      <c r="P87" s="2"/>
      <c r="Q87" s="2"/>
      <c r="R87" s="2"/>
    </row>
    <row r="88" spans="1:18" ht="25.5" customHeight="1" x14ac:dyDescent="0.25">
      <c r="A88" s="20">
        <v>330</v>
      </c>
      <c r="B88" s="531" t="s">
        <v>1276</v>
      </c>
      <c r="C88" s="532"/>
      <c r="D88" s="532"/>
      <c r="E88" s="532"/>
      <c r="F88" s="532"/>
      <c r="G88" s="532"/>
      <c r="H88" s="532"/>
      <c r="I88" s="532"/>
      <c r="J88" s="532"/>
      <c r="K88" s="533"/>
      <c r="L88" s="529"/>
      <c r="M88" s="530"/>
      <c r="N88" s="2"/>
      <c r="O88" s="2"/>
      <c r="P88" s="2"/>
      <c r="Q88" s="2"/>
      <c r="R88" s="2"/>
    </row>
    <row r="89" spans="1:18" ht="25.5" customHeight="1" x14ac:dyDescent="0.25">
      <c r="A89" s="20">
        <v>333</v>
      </c>
      <c r="B89" s="531" t="s">
        <v>1277</v>
      </c>
      <c r="C89" s="532"/>
      <c r="D89" s="532"/>
      <c r="E89" s="532"/>
      <c r="F89" s="532"/>
      <c r="G89" s="532"/>
      <c r="H89" s="532"/>
      <c r="I89" s="532"/>
      <c r="J89" s="532"/>
      <c r="K89" s="533"/>
      <c r="L89" s="529"/>
      <c r="M89" s="530"/>
      <c r="N89" s="2"/>
      <c r="O89" s="2"/>
      <c r="P89" s="2"/>
      <c r="Q89" s="2"/>
      <c r="R89" s="2"/>
    </row>
    <row r="90" spans="1:18" ht="25.5" customHeight="1" x14ac:dyDescent="0.25">
      <c r="A90" s="21">
        <v>300</v>
      </c>
      <c r="B90" s="611" t="s">
        <v>1278</v>
      </c>
      <c r="C90" s="612"/>
      <c r="D90" s="612"/>
      <c r="E90" s="612"/>
      <c r="F90" s="612"/>
      <c r="G90" s="612"/>
      <c r="H90" s="612"/>
      <c r="I90" s="612"/>
      <c r="J90" s="612"/>
      <c r="K90" s="613"/>
      <c r="L90" s="994">
        <f>L85+L87-L88+L89</f>
        <v>0</v>
      </c>
      <c r="M90" s="995"/>
      <c r="N90" s="618" t="s">
        <v>1279</v>
      </c>
      <c r="O90" s="619"/>
      <c r="P90" s="619"/>
      <c r="Q90" s="619"/>
      <c r="R90" s="620"/>
    </row>
    <row r="91" spans="1:18" ht="25.5" customHeight="1" x14ac:dyDescent="0.25">
      <c r="A91" s="20">
        <v>340</v>
      </c>
      <c r="B91" s="531" t="s">
        <v>1280</v>
      </c>
      <c r="C91" s="532"/>
      <c r="D91" s="532"/>
      <c r="E91" s="532"/>
      <c r="F91" s="532"/>
      <c r="G91" s="532"/>
      <c r="H91" s="532"/>
      <c r="I91" s="532"/>
      <c r="J91" s="532"/>
      <c r="K91" s="533"/>
      <c r="L91" s="529"/>
      <c r="M91" s="530"/>
      <c r="N91" s="998" t="str">
        <f>IF(ISBLANK(L91),"","Please specify on the Explanation Page")</f>
        <v/>
      </c>
      <c r="O91" s="999"/>
      <c r="P91" s="999"/>
      <c r="Q91" s="999"/>
      <c r="R91" s="592"/>
    </row>
    <row r="93" spans="1:18" ht="25.5" customHeight="1" x14ac:dyDescent="0.25">
      <c r="B93" s="2"/>
      <c r="C93" s="2"/>
      <c r="D93" s="2"/>
      <c r="E93" s="2"/>
      <c r="F93" s="2"/>
      <c r="G93" s="2"/>
      <c r="H93" s="2"/>
      <c r="I93" s="2"/>
      <c r="J93" s="2"/>
      <c r="K93" s="2"/>
      <c r="L93" s="2"/>
      <c r="M93" s="2"/>
      <c r="N93" s="2"/>
      <c r="O93" s="2"/>
      <c r="P93" s="2"/>
      <c r="Q93" s="2"/>
      <c r="R93" s="2"/>
    </row>
    <row r="94" spans="1:18" ht="25.5" customHeight="1" x14ac:dyDescent="0.3">
      <c r="A94" s="15" t="e">
        <f>$A$33</f>
        <v>#N/A</v>
      </c>
      <c r="B94" s="2"/>
      <c r="C94" s="2"/>
      <c r="D94" s="2"/>
      <c r="E94" s="2"/>
      <c r="F94" s="2"/>
      <c r="G94" s="2"/>
      <c r="H94" s="2"/>
      <c r="I94" s="2"/>
      <c r="J94" s="2"/>
      <c r="K94" s="2"/>
      <c r="L94" s="2"/>
      <c r="M94" s="2"/>
      <c r="N94" s="2"/>
      <c r="O94" s="2"/>
      <c r="P94" s="2"/>
      <c r="Q94" s="2"/>
      <c r="R94" s="2"/>
    </row>
    <row r="95" spans="1:18" ht="25.5" customHeight="1" x14ac:dyDescent="0.25">
      <c r="A95" s="700" t="s">
        <v>1423</v>
      </c>
      <c r="B95" s="701"/>
      <c r="C95" s="701"/>
      <c r="D95" s="701"/>
      <c r="E95" s="701"/>
      <c r="F95" s="701"/>
      <c r="G95" s="701"/>
      <c r="H95" s="701"/>
      <c r="I95" s="701"/>
      <c r="J95" s="701"/>
      <c r="K95" s="701"/>
      <c r="L95" s="701"/>
      <c r="M95" s="701"/>
    </row>
    <row r="96" spans="1:18" ht="25.5" customHeight="1" x14ac:dyDescent="0.25">
      <c r="A96" s="527" t="s">
        <v>722</v>
      </c>
      <c r="B96" s="527"/>
      <c r="C96" s="527"/>
      <c r="D96" s="527"/>
      <c r="E96" s="527"/>
      <c r="F96" s="527"/>
      <c r="G96" s="527"/>
      <c r="H96" s="527"/>
      <c r="I96" s="527"/>
      <c r="J96" s="527"/>
      <c r="K96" s="528"/>
      <c r="L96" s="636" t="s">
        <v>3614</v>
      </c>
      <c r="M96" s="636"/>
      <c r="N96" s="2"/>
      <c r="O96" s="2"/>
      <c r="P96" s="2"/>
      <c r="Q96" s="2"/>
      <c r="R96" s="2"/>
    </row>
    <row r="97" spans="1:18" ht="25.5" customHeight="1" x14ac:dyDescent="0.25">
      <c r="A97" s="20">
        <v>8062</v>
      </c>
      <c r="B97" s="531" t="s">
        <v>1119</v>
      </c>
      <c r="C97" s="532"/>
      <c r="D97" s="532"/>
      <c r="E97" s="532"/>
      <c r="F97" s="532"/>
      <c r="G97" s="532"/>
      <c r="H97" s="532"/>
      <c r="I97" s="532"/>
      <c r="J97" s="532"/>
      <c r="K97" s="533"/>
      <c r="L97" s="555">
        <f>Code_0201</f>
        <v>0</v>
      </c>
      <c r="M97" s="556"/>
      <c r="N97" s="599" t="str">
        <f>IF(AND(NOT(ISBLANK(Code_0201)),Code_8062&lt;&gt;Code_0201),"This MUST tie to account 201 in Section 1!","")</f>
        <v/>
      </c>
      <c r="O97" s="600"/>
      <c r="P97" s="600"/>
      <c r="Q97" s="600"/>
      <c r="R97" s="600"/>
    </row>
    <row r="98" spans="1:18" ht="25.5" customHeight="1" x14ac:dyDescent="0.25">
      <c r="A98" s="20">
        <v>738</v>
      </c>
      <c r="B98" s="531" t="s">
        <v>1935</v>
      </c>
      <c r="C98" s="532"/>
      <c r="D98" s="532"/>
      <c r="E98" s="532"/>
      <c r="F98" s="532"/>
      <c r="G98" s="532"/>
      <c r="H98" s="532"/>
      <c r="I98" s="532"/>
      <c r="J98" s="532"/>
      <c r="K98" s="533"/>
      <c r="L98" s="529"/>
      <c r="M98" s="530"/>
      <c r="N98" s="551" t="str">
        <f>IF(L98&gt;=0,"This should be a negative number"," ")</f>
        <v>This should be a negative number</v>
      </c>
      <c r="O98" s="552"/>
      <c r="P98" s="552"/>
      <c r="Q98" s="552"/>
      <c r="R98" s="552"/>
    </row>
    <row r="99" spans="1:18" ht="25.5" customHeight="1" x14ac:dyDescent="0.25">
      <c r="A99" s="20">
        <v>739</v>
      </c>
      <c r="B99" s="534" t="s">
        <v>1937</v>
      </c>
      <c r="C99" s="535"/>
      <c r="D99" s="535"/>
      <c r="E99" s="535"/>
      <c r="F99" s="535"/>
      <c r="G99" s="535"/>
      <c r="H99" s="535"/>
      <c r="I99" s="535"/>
      <c r="J99" s="535"/>
      <c r="K99" s="536"/>
      <c r="L99" s="529"/>
      <c r="M99" s="530"/>
      <c r="N99" s="557" t="str">
        <f>IF(L99&gt;=0,"This should be a negative number"," ")</f>
        <v>This should be a negative number</v>
      </c>
      <c r="O99" s="558"/>
      <c r="P99" s="558"/>
      <c r="Q99" s="558"/>
      <c r="R99" s="558"/>
    </row>
    <row r="100" spans="1:18" ht="25.5" customHeight="1" x14ac:dyDescent="0.25">
      <c r="A100" s="20">
        <v>8063</v>
      </c>
      <c r="B100" s="531" t="s">
        <v>1938</v>
      </c>
      <c r="C100" s="532"/>
      <c r="D100" s="532"/>
      <c r="E100" s="532"/>
      <c r="F100" s="532"/>
      <c r="G100" s="532"/>
      <c r="H100" s="532"/>
      <c r="I100" s="532"/>
      <c r="J100" s="532"/>
      <c r="K100" s="533"/>
      <c r="L100" s="555">
        <f>L98+L99</f>
        <v>0</v>
      </c>
      <c r="M100" s="556"/>
      <c r="N100" s="551" t="str">
        <f>IF(L100&gt;=0,"This should be a negative number"," ")</f>
        <v>This should be a negative number</v>
      </c>
      <c r="O100" s="552"/>
      <c r="P100" s="552"/>
      <c r="Q100" s="552"/>
      <c r="R100" s="552"/>
    </row>
    <row r="101" spans="1:18" ht="25.5" customHeight="1" x14ac:dyDescent="0.25">
      <c r="A101" s="20">
        <v>750</v>
      </c>
      <c r="B101" s="531" t="s">
        <v>1521</v>
      </c>
      <c r="C101" s="532"/>
      <c r="D101" s="532"/>
      <c r="E101" s="532"/>
      <c r="F101" s="532"/>
      <c r="G101" s="532"/>
      <c r="H101" s="532"/>
      <c r="I101" s="532"/>
      <c r="J101" s="532"/>
      <c r="K101" s="533"/>
      <c r="L101" s="553">
        <f>L97+L100</f>
        <v>0</v>
      </c>
      <c r="M101" s="554"/>
      <c r="N101" s="2"/>
      <c r="O101" s="2"/>
      <c r="P101" s="2"/>
      <c r="Q101" s="2"/>
      <c r="R101" s="2"/>
    </row>
    <row r="102" spans="1:18" ht="25.5" customHeight="1" x14ac:dyDescent="0.25">
      <c r="A102" s="527" t="s">
        <v>723</v>
      </c>
      <c r="B102" s="527"/>
      <c r="C102" s="527"/>
      <c r="D102" s="527"/>
      <c r="E102" s="527"/>
      <c r="F102" s="527"/>
      <c r="G102" s="527"/>
      <c r="H102" s="527"/>
      <c r="I102" s="527"/>
      <c r="J102" s="527"/>
      <c r="K102" s="528"/>
      <c r="L102" s="636" t="s">
        <v>3614</v>
      </c>
      <c r="M102" s="636"/>
      <c r="N102" s="2"/>
      <c r="O102" s="2"/>
      <c r="P102" s="2"/>
      <c r="Q102" s="2"/>
      <c r="R102" s="2"/>
    </row>
    <row r="103" spans="1:18" ht="25.5" customHeight="1" x14ac:dyDescent="0.25">
      <c r="A103" s="20">
        <v>775</v>
      </c>
      <c r="B103" s="531" t="s">
        <v>1281</v>
      </c>
      <c r="C103" s="532"/>
      <c r="D103" s="532"/>
      <c r="E103" s="532"/>
      <c r="F103" s="532"/>
      <c r="G103" s="532"/>
      <c r="H103" s="532"/>
      <c r="I103" s="532"/>
      <c r="J103" s="532"/>
      <c r="K103" s="533"/>
      <c r="L103" s="529"/>
      <c r="M103" s="530"/>
    </row>
    <row r="104" spans="1:18" ht="25.5" customHeight="1" x14ac:dyDescent="0.25">
      <c r="A104" s="20">
        <v>776</v>
      </c>
      <c r="B104" s="611" t="s">
        <v>1282</v>
      </c>
      <c r="C104" s="532"/>
      <c r="D104" s="532"/>
      <c r="E104" s="532"/>
      <c r="F104" s="532"/>
      <c r="G104" s="532"/>
      <c r="H104" s="532"/>
      <c r="I104" s="533"/>
      <c r="J104" s="992"/>
      <c r="K104" s="993"/>
      <c r="L104" s="562"/>
      <c r="M104" s="563"/>
      <c r="N104" s="548" t="str">
        <f>IF(ISBLANK(J104),"Please represent percentage as a WHOLE number","")</f>
        <v>Please represent percentage as a WHOLE number</v>
      </c>
      <c r="O104" s="600"/>
      <c r="P104" s="600"/>
      <c r="Q104" s="600"/>
      <c r="R104" s="600"/>
    </row>
    <row r="105" spans="1:18" ht="25.5" customHeight="1" x14ac:dyDescent="0.25">
      <c r="A105" s="20">
        <v>777</v>
      </c>
      <c r="B105" s="611" t="s">
        <v>1283</v>
      </c>
      <c r="C105" s="532"/>
      <c r="D105" s="532"/>
      <c r="E105" s="532"/>
      <c r="F105" s="532"/>
      <c r="G105" s="532"/>
      <c r="H105" s="532"/>
      <c r="I105" s="533"/>
      <c r="J105" s="987" t="str">
        <f>IF(ISBLANK(J104),"",100-J104)</f>
        <v/>
      </c>
      <c r="K105" s="988"/>
      <c r="L105" s="564"/>
      <c r="M105" s="565"/>
      <c r="N105" s="986"/>
      <c r="O105" s="600"/>
      <c r="P105" s="600"/>
      <c r="Q105" s="600"/>
      <c r="R105" s="600"/>
    </row>
    <row r="106" spans="1:18" ht="25.5" customHeight="1" x14ac:dyDescent="0.25">
      <c r="A106" s="20">
        <v>778</v>
      </c>
      <c r="B106" s="531" t="s">
        <v>1284</v>
      </c>
      <c r="C106" s="532"/>
      <c r="D106" s="532"/>
      <c r="E106" s="532"/>
      <c r="F106" s="532"/>
      <c r="G106" s="532"/>
      <c r="H106" s="532"/>
      <c r="I106" s="532"/>
      <c r="J106" s="532"/>
      <c r="K106" s="533"/>
      <c r="L106" s="529"/>
      <c r="M106" s="530"/>
    </row>
    <row r="107" spans="1:18" ht="25.5" customHeight="1" x14ac:dyDescent="0.25">
      <c r="A107" s="20">
        <v>772</v>
      </c>
      <c r="B107" s="531" t="s">
        <v>1285</v>
      </c>
      <c r="C107" s="532"/>
      <c r="D107" s="532"/>
      <c r="E107" s="532"/>
      <c r="F107" s="532"/>
      <c r="G107" s="532"/>
      <c r="H107" s="532"/>
      <c r="I107" s="532"/>
      <c r="J107" s="532"/>
      <c r="K107" s="533"/>
      <c r="L107" s="529"/>
      <c r="M107" s="530"/>
      <c r="N107" s="989" t="s">
        <v>1286</v>
      </c>
      <c r="O107" s="990"/>
      <c r="P107" s="990"/>
      <c r="Q107" s="990"/>
      <c r="R107" s="991"/>
    </row>
    <row r="108" spans="1:18" ht="25.5" customHeight="1" x14ac:dyDescent="0.25">
      <c r="A108" s="20">
        <v>773</v>
      </c>
      <c r="B108" s="531" t="s">
        <v>1287</v>
      </c>
      <c r="C108" s="532"/>
      <c r="D108" s="532"/>
      <c r="E108" s="532"/>
      <c r="F108" s="532"/>
      <c r="G108" s="532"/>
      <c r="H108" s="532"/>
      <c r="I108" s="532"/>
      <c r="J108" s="532"/>
      <c r="K108" s="533"/>
      <c r="L108" s="553">
        <f>L109-L103-L106-L107</f>
        <v>0</v>
      </c>
      <c r="M108" s="554"/>
      <c r="N108" s="997" t="str">
        <f>IF(L108=0,"","Please specify on the Explanation Page")</f>
        <v/>
      </c>
      <c r="O108" s="591"/>
      <c r="P108" s="591"/>
      <c r="Q108" s="591"/>
      <c r="R108" s="591"/>
    </row>
    <row r="109" spans="1:18" ht="25.5" customHeight="1" x14ac:dyDescent="0.25">
      <c r="A109" s="21">
        <v>770</v>
      </c>
      <c r="B109" s="611" t="s">
        <v>1270</v>
      </c>
      <c r="C109" s="612"/>
      <c r="D109" s="612"/>
      <c r="E109" s="612"/>
      <c r="F109" s="612"/>
      <c r="G109" s="612"/>
      <c r="H109" s="612"/>
      <c r="I109" s="612"/>
      <c r="J109" s="612"/>
      <c r="K109" s="613"/>
      <c r="L109" s="529"/>
      <c r="M109" s="530"/>
      <c r="N109" s="599" t="str">
        <f>IF(AND(NOT(ISBLANK(Code_0240)),Code_0770&gt;Code_0240),"Warning! This should not be greater than account 240 in Section 1.","")</f>
        <v/>
      </c>
      <c r="O109" s="600"/>
      <c r="P109" s="600"/>
      <c r="Q109" s="600"/>
      <c r="R109" s="600"/>
    </row>
    <row r="110" spans="1:18" ht="25.5" customHeight="1" x14ac:dyDescent="0.25">
      <c r="A110" s="527" t="s">
        <v>724</v>
      </c>
      <c r="B110" s="527"/>
      <c r="C110" s="527"/>
      <c r="D110" s="527"/>
      <c r="E110" s="527"/>
      <c r="F110" s="527"/>
      <c r="G110" s="527"/>
      <c r="H110" s="527"/>
      <c r="I110" s="527"/>
      <c r="J110" s="527"/>
      <c r="K110" s="528"/>
      <c r="L110" s="636" t="s">
        <v>3614</v>
      </c>
      <c r="M110" s="636"/>
      <c r="N110" s="550" t="str">
        <f>IF($D$5&gt;=200,"This section is REQUIRED for Pyschiatric and Specialty hospitals.","")</f>
        <v/>
      </c>
      <c r="O110" s="550"/>
      <c r="P110" s="550"/>
      <c r="Q110" s="550"/>
      <c r="R110" s="550"/>
    </row>
    <row r="111" spans="1:18" ht="25.5" customHeight="1" x14ac:dyDescent="0.25">
      <c r="A111" s="20">
        <v>780</v>
      </c>
      <c r="B111" s="531" t="s">
        <v>1288</v>
      </c>
      <c r="C111" s="532"/>
      <c r="D111" s="532"/>
      <c r="E111" s="532"/>
      <c r="F111" s="532"/>
      <c r="G111" s="532"/>
      <c r="H111" s="532"/>
      <c r="I111" s="532"/>
      <c r="J111" s="532"/>
      <c r="K111" s="533"/>
      <c r="L111" s="877">
        <f>L101+L109</f>
        <v>0</v>
      </c>
      <c r="M111" s="878"/>
      <c r="N111" s="2"/>
      <c r="O111" s="2"/>
      <c r="P111" s="2"/>
      <c r="Q111" s="2"/>
      <c r="R111" s="2"/>
    </row>
    <row r="112" spans="1:18" ht="25.5" customHeight="1" x14ac:dyDescent="0.25">
      <c r="A112" s="20">
        <v>790</v>
      </c>
      <c r="B112" s="531" t="s">
        <v>1289</v>
      </c>
      <c r="C112" s="532"/>
      <c r="D112" s="532"/>
      <c r="E112" s="532"/>
      <c r="F112" s="532"/>
      <c r="G112" s="532"/>
      <c r="H112" s="532"/>
      <c r="I112" s="532"/>
      <c r="J112" s="532"/>
      <c r="K112" s="533"/>
      <c r="L112" s="529"/>
      <c r="M112" s="530"/>
      <c r="N112" s="599" t="str">
        <f>IF(AND(NOT(ISBLANK(Code_0260)),Code_0790&gt;Code_0260),"Warning! This should not be greater than account 260 in Section 1.","")</f>
        <v/>
      </c>
      <c r="O112" s="600"/>
      <c r="P112" s="600"/>
      <c r="Q112" s="600"/>
      <c r="R112" s="600"/>
    </row>
    <row r="113" spans="1:18" ht="25.5" customHeight="1" x14ac:dyDescent="0.25">
      <c r="A113" s="21">
        <v>700</v>
      </c>
      <c r="B113" s="611" t="s">
        <v>1290</v>
      </c>
      <c r="C113" s="612"/>
      <c r="D113" s="612"/>
      <c r="E113" s="612"/>
      <c r="F113" s="612"/>
      <c r="G113" s="612"/>
      <c r="H113" s="612"/>
      <c r="I113" s="612"/>
      <c r="J113" s="612"/>
      <c r="K113" s="613"/>
      <c r="L113" s="893">
        <f>L111-L112</f>
        <v>0</v>
      </c>
      <c r="M113" s="894"/>
      <c r="N113" s="602" t="str">
        <f>IF($D$5&gt;=200,"Psychiatric or Specialty hospitals click here to skip to the next REQUIRED item.","")</f>
        <v/>
      </c>
      <c r="O113" s="602"/>
      <c r="P113" s="602"/>
      <c r="Q113" s="602"/>
      <c r="R113" s="602"/>
    </row>
    <row r="114" spans="1:18" ht="25.5" customHeight="1" x14ac:dyDescent="0.25">
      <c r="A114" s="527" t="s">
        <v>725</v>
      </c>
      <c r="B114" s="527"/>
      <c r="C114" s="527"/>
      <c r="D114" s="527"/>
      <c r="E114" s="527"/>
      <c r="F114" s="527"/>
      <c r="G114" s="527"/>
      <c r="H114" s="527"/>
      <c r="I114" s="527"/>
      <c r="J114" s="527"/>
      <c r="K114" s="528"/>
      <c r="L114" s="636" t="s">
        <v>3614</v>
      </c>
      <c r="M114" s="636"/>
      <c r="N114" s="2"/>
      <c r="O114" s="2"/>
      <c r="P114" s="2"/>
      <c r="Q114" s="2"/>
      <c r="R114" s="2"/>
    </row>
    <row r="115" spans="1:18" ht="25.5" customHeight="1" x14ac:dyDescent="0.25">
      <c r="A115" s="20">
        <v>801</v>
      </c>
      <c r="B115" s="531" t="s">
        <v>1291</v>
      </c>
      <c r="C115" s="532"/>
      <c r="D115" s="532"/>
      <c r="E115" s="532"/>
      <c r="F115" s="532"/>
      <c r="G115" s="532"/>
      <c r="H115" s="532"/>
      <c r="I115" s="532"/>
      <c r="J115" s="532"/>
      <c r="K115" s="533"/>
      <c r="L115" s="529"/>
      <c r="M115" s="530"/>
      <c r="N115" s="2"/>
      <c r="O115" s="2"/>
      <c r="P115" s="2"/>
      <c r="Q115" s="2"/>
      <c r="R115" s="2"/>
    </row>
    <row r="116" spans="1:18" ht="25.5" customHeight="1" x14ac:dyDescent="0.25">
      <c r="A116" s="20">
        <v>806</v>
      </c>
      <c r="B116" s="531" t="s">
        <v>1292</v>
      </c>
      <c r="C116" s="532"/>
      <c r="D116" s="532"/>
      <c r="E116" s="532"/>
      <c r="F116" s="532"/>
      <c r="G116" s="532"/>
      <c r="H116" s="532"/>
      <c r="I116" s="532"/>
      <c r="J116" s="532"/>
      <c r="K116" s="533"/>
      <c r="L116" s="529"/>
      <c r="M116" s="530"/>
      <c r="N116" s="2"/>
      <c r="O116" s="2"/>
      <c r="P116" s="2"/>
      <c r="Q116" s="2"/>
      <c r="R116" s="2"/>
    </row>
    <row r="117" spans="1:18" ht="25.5" customHeight="1" x14ac:dyDescent="0.25">
      <c r="A117" s="20">
        <v>819</v>
      </c>
      <c r="B117" s="531" t="s">
        <v>1293</v>
      </c>
      <c r="C117" s="532"/>
      <c r="D117" s="532"/>
      <c r="E117" s="532"/>
      <c r="F117" s="532"/>
      <c r="G117" s="532"/>
      <c r="H117" s="532"/>
      <c r="I117" s="532"/>
      <c r="J117" s="532"/>
      <c r="K117" s="533"/>
      <c r="L117" s="529"/>
      <c r="M117" s="530"/>
      <c r="N117" s="2"/>
      <c r="O117" s="2"/>
      <c r="P117" s="2"/>
      <c r="Q117" s="2"/>
      <c r="R117" s="2"/>
    </row>
    <row r="118" spans="1:18" ht="25.5" customHeight="1" x14ac:dyDescent="0.25">
      <c r="A118" s="20">
        <v>811</v>
      </c>
      <c r="B118" s="531" t="s">
        <v>1294</v>
      </c>
      <c r="C118" s="532"/>
      <c r="D118" s="532"/>
      <c r="E118" s="532"/>
      <c r="F118" s="532"/>
      <c r="G118" s="532"/>
      <c r="H118" s="532"/>
      <c r="I118" s="532"/>
      <c r="J118" s="532"/>
      <c r="K118" s="533"/>
      <c r="L118" s="529"/>
      <c r="M118" s="530"/>
      <c r="N118" s="2"/>
      <c r="O118" s="2"/>
      <c r="P118" s="2"/>
      <c r="Q118" s="2"/>
      <c r="R118" s="2"/>
    </row>
    <row r="119" spans="1:18" ht="25.5" customHeight="1" x14ac:dyDescent="0.25">
      <c r="A119" s="20">
        <v>813</v>
      </c>
      <c r="B119" s="531" t="s">
        <v>1295</v>
      </c>
      <c r="C119" s="532"/>
      <c r="D119" s="532"/>
      <c r="E119" s="532"/>
      <c r="F119" s="532"/>
      <c r="G119" s="532"/>
      <c r="H119" s="532"/>
      <c r="I119" s="532"/>
      <c r="J119" s="532"/>
      <c r="K119" s="533"/>
      <c r="L119" s="529"/>
      <c r="M119" s="530"/>
    </row>
    <row r="120" spans="1:18" ht="25.5" customHeight="1" x14ac:dyDescent="0.25">
      <c r="A120" s="20">
        <v>815</v>
      </c>
      <c r="B120" s="531" t="s">
        <v>1287</v>
      </c>
      <c r="C120" s="532"/>
      <c r="D120" s="532"/>
      <c r="E120" s="532">
        <v>0</v>
      </c>
      <c r="F120" s="532"/>
      <c r="G120" s="532"/>
      <c r="H120" s="532"/>
      <c r="I120" s="532"/>
      <c r="J120" s="532"/>
      <c r="K120" s="533"/>
      <c r="L120" s="553">
        <f>L121-SUM(L115:M119)</f>
        <v>0</v>
      </c>
      <c r="M120" s="554"/>
      <c r="N120" s="601" t="str">
        <f>IF(L120=0,"","Please specify on the Explanation Page")</f>
        <v/>
      </c>
      <c r="O120" s="602"/>
      <c r="P120" s="602"/>
      <c r="Q120" s="602"/>
      <c r="R120" s="602"/>
    </row>
    <row r="121" spans="1:18" ht="25.5" customHeight="1" x14ac:dyDescent="0.25">
      <c r="A121" s="21">
        <v>820</v>
      </c>
      <c r="B121" s="611" t="s">
        <v>1275</v>
      </c>
      <c r="C121" s="612"/>
      <c r="D121" s="612"/>
      <c r="E121" s="612"/>
      <c r="F121" s="612"/>
      <c r="G121" s="612"/>
      <c r="H121" s="612"/>
      <c r="I121" s="612"/>
      <c r="J121" s="612"/>
      <c r="K121" s="613"/>
      <c r="L121" s="537"/>
      <c r="M121" s="538"/>
      <c r="N121" s="599" t="str">
        <f>IF(AND(NOT(ISBLANK(Code_0320)),Code_0820&gt;Code_0320),"Warning! This should not be greater than account 320 in Section 2.","")</f>
        <v/>
      </c>
      <c r="O121" s="600"/>
      <c r="P121" s="600"/>
      <c r="Q121" s="600"/>
      <c r="R121" s="600"/>
    </row>
    <row r="122" spans="1:18" ht="25.5" customHeight="1" x14ac:dyDescent="0.25">
      <c r="A122" s="527" t="s">
        <v>726</v>
      </c>
      <c r="B122" s="527"/>
      <c r="C122" s="527"/>
      <c r="D122" s="527"/>
      <c r="E122" s="527"/>
      <c r="F122" s="527"/>
      <c r="G122" s="527"/>
      <c r="H122" s="527"/>
      <c r="I122" s="527"/>
      <c r="J122" s="527"/>
      <c r="K122" s="528"/>
      <c r="L122" s="636" t="s">
        <v>3614</v>
      </c>
      <c r="M122" s="636"/>
      <c r="N122" s="2"/>
      <c r="O122" s="2"/>
      <c r="P122" s="2"/>
      <c r="Q122" s="2"/>
      <c r="R122" s="2"/>
    </row>
    <row r="123" spans="1:18" ht="25.5" customHeight="1" x14ac:dyDescent="0.25">
      <c r="A123" s="20">
        <v>821</v>
      </c>
      <c r="B123" s="531" t="s">
        <v>1296</v>
      </c>
      <c r="C123" s="532"/>
      <c r="D123" s="532"/>
      <c r="E123" s="532"/>
      <c r="F123" s="532"/>
      <c r="G123" s="532"/>
      <c r="H123" s="532"/>
      <c r="I123" s="532"/>
      <c r="J123" s="532"/>
      <c r="K123" s="533"/>
      <c r="L123" s="529"/>
      <c r="M123" s="530"/>
      <c r="N123" s="2"/>
      <c r="O123" s="2"/>
      <c r="P123" s="2"/>
      <c r="Q123" s="2"/>
      <c r="R123" s="2"/>
    </row>
    <row r="124" spans="1:18" ht="25.5" customHeight="1" x14ac:dyDescent="0.25">
      <c r="A124" s="20">
        <v>823</v>
      </c>
      <c r="B124" s="531" t="s">
        <v>1297</v>
      </c>
      <c r="C124" s="532"/>
      <c r="D124" s="532"/>
      <c r="E124" s="532"/>
      <c r="F124" s="532"/>
      <c r="G124" s="532"/>
      <c r="H124" s="532"/>
      <c r="I124" s="532"/>
      <c r="J124" s="532"/>
      <c r="K124" s="533"/>
      <c r="L124" s="529"/>
      <c r="M124" s="530"/>
    </row>
    <row r="125" spans="1:18" ht="25.5" customHeight="1" x14ac:dyDescent="0.25">
      <c r="A125" s="20">
        <v>825</v>
      </c>
      <c r="B125" s="531" t="s">
        <v>1287</v>
      </c>
      <c r="C125" s="532"/>
      <c r="D125" s="532"/>
      <c r="E125" s="532"/>
      <c r="F125" s="532"/>
      <c r="G125" s="532"/>
      <c r="H125" s="532"/>
      <c r="I125" s="532"/>
      <c r="J125" s="532"/>
      <c r="K125" s="533"/>
      <c r="L125" s="553">
        <f>L126-L123-L124</f>
        <v>0</v>
      </c>
      <c r="M125" s="554"/>
      <c r="N125" s="601" t="str">
        <f>IF(L125=0,"","Please specify on the Explanation Page")</f>
        <v/>
      </c>
      <c r="O125" s="602"/>
      <c r="P125" s="602"/>
      <c r="Q125" s="602"/>
      <c r="R125" s="602"/>
    </row>
    <row r="126" spans="1:18" ht="25.5" customHeight="1" x14ac:dyDescent="0.25">
      <c r="A126" s="21">
        <v>830</v>
      </c>
      <c r="B126" s="611" t="s">
        <v>1276</v>
      </c>
      <c r="C126" s="612"/>
      <c r="D126" s="612"/>
      <c r="E126" s="612"/>
      <c r="F126" s="612"/>
      <c r="G126" s="612"/>
      <c r="H126" s="612"/>
      <c r="I126" s="612"/>
      <c r="J126" s="612"/>
      <c r="K126" s="613"/>
      <c r="L126" s="537"/>
      <c r="M126" s="538"/>
      <c r="N126" s="599" t="str">
        <f>IF(AND(NOT(ISBLANK(Code_0330)),Code_0830&gt;Code_0330),"Warning! This should not be greater than account 330 in Section 2.","")</f>
        <v/>
      </c>
      <c r="O126" s="600"/>
      <c r="P126" s="600"/>
      <c r="Q126" s="600"/>
      <c r="R126" s="600"/>
    </row>
    <row r="127" spans="1:18" ht="25.5" customHeight="1" x14ac:dyDescent="0.25">
      <c r="A127" s="527" t="s">
        <v>727</v>
      </c>
      <c r="B127" s="527"/>
      <c r="C127" s="527"/>
      <c r="D127" s="527"/>
      <c r="E127" s="527"/>
      <c r="F127" s="527"/>
      <c r="G127" s="527"/>
      <c r="H127" s="527"/>
      <c r="I127" s="527"/>
      <c r="J127" s="527"/>
      <c r="K127" s="528"/>
      <c r="L127" s="636" t="s">
        <v>3614</v>
      </c>
      <c r="M127" s="636"/>
      <c r="N127" s="2"/>
      <c r="O127" s="2"/>
      <c r="P127" s="2"/>
      <c r="Q127" s="2"/>
      <c r="R127" s="2"/>
    </row>
    <row r="128" spans="1:18" ht="25.5" customHeight="1" x14ac:dyDescent="0.25">
      <c r="A128" s="20">
        <v>831</v>
      </c>
      <c r="B128" s="531" t="s">
        <v>1277</v>
      </c>
      <c r="C128" s="532"/>
      <c r="D128" s="532"/>
      <c r="E128" s="532"/>
      <c r="F128" s="532"/>
      <c r="G128" s="532"/>
      <c r="H128" s="532"/>
      <c r="I128" s="532"/>
      <c r="J128" s="532"/>
      <c r="K128" s="533"/>
      <c r="L128" s="529"/>
      <c r="M128" s="530"/>
      <c r="N128" s="599" t="str">
        <f>IF(AND(NOT(ISBLANK(Code_0333)),Code_0831&gt;Code_0333),"Warning! This should not be greater than account 333 in Section 2.","")</f>
        <v/>
      </c>
      <c r="O128" s="600"/>
      <c r="P128" s="600"/>
      <c r="Q128" s="600"/>
      <c r="R128" s="600"/>
    </row>
    <row r="129" spans="1:18" ht="25.5" customHeight="1" x14ac:dyDescent="0.25">
      <c r="A129" s="20">
        <v>834</v>
      </c>
      <c r="B129" s="531" t="s">
        <v>1298</v>
      </c>
      <c r="C129" s="532"/>
      <c r="D129" s="532"/>
      <c r="E129" s="532"/>
      <c r="F129" s="532"/>
      <c r="G129" s="532"/>
      <c r="H129" s="532"/>
      <c r="I129" s="532"/>
      <c r="J129" s="532"/>
      <c r="K129" s="533"/>
      <c r="L129" s="553">
        <f>L113+L121-L126+L128</f>
        <v>0</v>
      </c>
      <c r="M129" s="554"/>
      <c r="N129" s="572" t="s">
        <v>1299</v>
      </c>
      <c r="O129" s="573"/>
      <c r="P129" s="573"/>
      <c r="Q129" s="573"/>
      <c r="R129" s="574"/>
    </row>
    <row r="130" spans="1:18" ht="25.5" customHeight="1" x14ac:dyDescent="0.25">
      <c r="A130" s="20">
        <v>837</v>
      </c>
      <c r="B130" s="531" t="s">
        <v>1300</v>
      </c>
      <c r="C130" s="532"/>
      <c r="D130" s="532"/>
      <c r="E130" s="532"/>
      <c r="F130" s="532"/>
      <c r="G130" s="532"/>
      <c r="H130" s="532"/>
      <c r="I130" s="532"/>
      <c r="J130" s="532"/>
      <c r="K130" s="533"/>
      <c r="L130" s="529"/>
      <c r="M130" s="530"/>
      <c r="N130" s="575"/>
      <c r="O130" s="576"/>
      <c r="P130" s="576"/>
      <c r="Q130" s="576"/>
      <c r="R130" s="577"/>
    </row>
    <row r="131" spans="1:18" ht="25.5" customHeight="1" x14ac:dyDescent="0.25">
      <c r="A131" s="21">
        <v>800</v>
      </c>
      <c r="B131" s="611" t="s">
        <v>1301</v>
      </c>
      <c r="C131" s="612"/>
      <c r="D131" s="612"/>
      <c r="E131" s="612"/>
      <c r="F131" s="612"/>
      <c r="G131" s="612"/>
      <c r="H131" s="612"/>
      <c r="I131" s="612"/>
      <c r="J131" s="612"/>
      <c r="K131" s="613"/>
      <c r="L131" s="893">
        <f>L129+L130</f>
        <v>0</v>
      </c>
      <c r="M131" s="894"/>
      <c r="N131" s="2"/>
      <c r="O131" s="2"/>
      <c r="P131" s="2"/>
      <c r="Q131" s="2"/>
      <c r="R131" s="2"/>
    </row>
    <row r="132" spans="1:18" ht="25.5" customHeight="1" x14ac:dyDescent="0.25">
      <c r="A132" s="20">
        <v>840</v>
      </c>
      <c r="B132" s="531" t="s">
        <v>1174</v>
      </c>
      <c r="C132" s="532"/>
      <c r="D132" s="532"/>
      <c r="E132" s="532"/>
      <c r="F132" s="532"/>
      <c r="G132" s="532"/>
      <c r="H132" s="532"/>
      <c r="I132" s="532"/>
      <c r="J132" s="532"/>
      <c r="K132" s="533"/>
      <c r="L132" s="529"/>
      <c r="M132" s="530"/>
    </row>
    <row r="133" spans="1:18" s="2" customFormat="1" ht="25.5" customHeight="1" x14ac:dyDescent="0.3">
      <c r="A133" s="15" t="e">
        <f>$A$33</f>
        <v>#N/A</v>
      </c>
    </row>
    <row r="134" spans="1:18" s="2" customFormat="1" ht="25.5" customHeight="1" x14ac:dyDescent="0.25">
      <c r="A134" s="985" t="s">
        <v>728</v>
      </c>
      <c r="B134" s="985"/>
      <c r="C134" s="985"/>
      <c r="D134" s="985"/>
      <c r="E134" s="985"/>
      <c r="F134" s="985"/>
      <c r="G134" s="985"/>
      <c r="H134" s="985"/>
      <c r="I134" s="985"/>
      <c r="J134" s="985"/>
      <c r="K134" s="985"/>
      <c r="L134" s="636" t="s">
        <v>3614</v>
      </c>
      <c r="M134" s="636"/>
    </row>
    <row r="135" spans="1:18" s="2" customFormat="1" ht="25.5" customHeight="1" x14ac:dyDescent="0.3">
      <c r="A135" s="979" t="s">
        <v>1522</v>
      </c>
      <c r="B135" s="980"/>
      <c r="C135" s="980"/>
      <c r="D135" s="980"/>
      <c r="E135" s="980"/>
      <c r="F135" s="980"/>
      <c r="G135" s="980"/>
      <c r="H135" s="980"/>
      <c r="I135" s="1206"/>
      <c r="J135" s="1207"/>
      <c r="K135" s="1208"/>
      <c r="L135" s="35" t="s">
        <v>103</v>
      </c>
      <c r="M135" s="35" t="s">
        <v>104</v>
      </c>
      <c r="N135" s="601" t="str">
        <f>IF(NOT(ISBLANK(M136)),"You are required to fill out the Service Line Data Tab since you have selected 'No'.  Please click here to supply the Service Line information.","")</f>
        <v/>
      </c>
      <c r="O135" s="602"/>
      <c r="P135" s="602"/>
      <c r="Q135" s="602"/>
      <c r="R135" s="602"/>
    </row>
    <row r="136" spans="1:18" s="2" customFormat="1" ht="25.5" customHeight="1" x14ac:dyDescent="0.3">
      <c r="A136" s="981"/>
      <c r="B136" s="982"/>
      <c r="C136" s="982"/>
      <c r="D136" s="982"/>
      <c r="E136" s="982"/>
      <c r="F136" s="982"/>
      <c r="G136" s="982"/>
      <c r="H136" s="982"/>
      <c r="I136" s="983" t="str">
        <f>IF(AND(NOT(ISBLANK(L136)),NOT(ISBLANK(M136))),"Please select only ONE choice!",IF(AND(ISBLANK(L136),ISBLANK(M136)),"Please mark an X in to indicate your choice",""))</f>
        <v>Please mark an X in to indicate your choice</v>
      </c>
      <c r="J136" s="983"/>
      <c r="K136" s="984"/>
      <c r="L136" s="333"/>
      <c r="M136" s="36"/>
      <c r="N136" s="601"/>
      <c r="O136" s="602"/>
      <c r="P136" s="602"/>
      <c r="Q136" s="602"/>
      <c r="R136" s="602"/>
    </row>
    <row r="137" spans="1:18" s="2" customFormat="1" ht="25.5" customHeight="1" x14ac:dyDescent="0.25">
      <c r="A137" s="42"/>
      <c r="N137" s="235"/>
      <c r="O137" s="228"/>
      <c r="P137" s="228"/>
      <c r="Q137" s="228"/>
      <c r="R137" s="228"/>
    </row>
    <row r="138" spans="1:18" s="2" customFormat="1" ht="25.5" customHeight="1" x14ac:dyDescent="0.25">
      <c r="A138" s="32">
        <v>7133</v>
      </c>
      <c r="B138" s="611" t="s">
        <v>1175</v>
      </c>
      <c r="C138" s="612"/>
      <c r="D138" s="612"/>
      <c r="E138" s="612"/>
      <c r="F138" s="612"/>
      <c r="G138" s="612"/>
      <c r="H138" s="612"/>
      <c r="I138" s="612"/>
      <c r="J138" s="612"/>
      <c r="K138" s="613"/>
      <c r="L138" s="529"/>
      <c r="M138" s="530"/>
    </row>
    <row r="139" spans="1:18" s="2" customFormat="1" ht="25.5" customHeight="1" x14ac:dyDescent="0.25">
      <c r="A139" s="31">
        <v>711</v>
      </c>
      <c r="B139" s="531" t="s">
        <v>1176</v>
      </c>
      <c r="C139" s="532"/>
      <c r="D139" s="532"/>
      <c r="E139" s="532"/>
      <c r="F139" s="532"/>
      <c r="G139" s="532"/>
      <c r="H139" s="532"/>
      <c r="I139" s="532"/>
      <c r="J139" s="532"/>
      <c r="K139" s="533"/>
      <c r="L139" s="529"/>
      <c r="M139" s="530"/>
    </row>
    <row r="140" spans="1:18" s="2" customFormat="1" ht="25.5" customHeight="1" x14ac:dyDescent="0.25">
      <c r="A140" s="31">
        <v>717</v>
      </c>
      <c r="B140" s="531" t="s">
        <v>1177</v>
      </c>
      <c r="C140" s="532"/>
      <c r="D140" s="532"/>
      <c r="E140" s="532"/>
      <c r="F140" s="532"/>
      <c r="G140" s="532"/>
      <c r="H140" s="532"/>
      <c r="I140" s="532"/>
      <c r="J140" s="532"/>
      <c r="K140" s="533"/>
      <c r="L140" s="529"/>
      <c r="M140" s="530"/>
    </row>
    <row r="141" spans="1:18" s="2" customFormat="1" ht="25.5" customHeight="1" x14ac:dyDescent="0.25">
      <c r="A141" s="31">
        <v>715</v>
      </c>
      <c r="B141" s="531" t="s">
        <v>1178</v>
      </c>
      <c r="C141" s="532"/>
      <c r="D141" s="532"/>
      <c r="E141" s="532"/>
      <c r="F141" s="532"/>
      <c r="G141" s="532"/>
      <c r="H141" s="532"/>
      <c r="I141" s="532"/>
      <c r="J141" s="532"/>
      <c r="K141" s="533"/>
      <c r="L141" s="529"/>
      <c r="M141" s="530"/>
    </row>
    <row r="142" spans="1:18" s="2" customFormat="1" ht="25.5" customHeight="1" x14ac:dyDescent="0.25">
      <c r="A142" s="31">
        <v>7134</v>
      </c>
      <c r="B142" s="531" t="s">
        <v>1179</v>
      </c>
      <c r="C142" s="532"/>
      <c r="D142" s="532"/>
      <c r="E142" s="532"/>
      <c r="F142" s="532"/>
      <c r="G142" s="532"/>
      <c r="H142" s="532"/>
      <c r="I142" s="532"/>
      <c r="J142" s="532"/>
      <c r="K142" s="533"/>
      <c r="L142" s="529"/>
      <c r="M142" s="530"/>
    </row>
    <row r="143" spans="1:18" s="2" customFormat="1" ht="25.5" customHeight="1" x14ac:dyDescent="0.25">
      <c r="A143" s="32">
        <v>7135</v>
      </c>
      <c r="B143" s="611" t="s">
        <v>721</v>
      </c>
      <c r="C143" s="612"/>
      <c r="D143" s="612"/>
      <c r="E143" s="612"/>
      <c r="F143" s="612"/>
      <c r="G143" s="612"/>
      <c r="H143" s="612"/>
      <c r="I143" s="612"/>
      <c r="J143" s="612"/>
      <c r="K143" s="613"/>
      <c r="L143" s="553">
        <f>SUM(L139:M142)</f>
        <v>0</v>
      </c>
      <c r="M143" s="554"/>
    </row>
    <row r="144" spans="1:18" s="2" customFormat="1" ht="25.5" customHeight="1" x14ac:dyDescent="0.25">
      <c r="A144" s="32">
        <v>730</v>
      </c>
      <c r="B144" s="611" t="s">
        <v>1180</v>
      </c>
      <c r="C144" s="612"/>
      <c r="D144" s="612"/>
      <c r="E144" s="612"/>
      <c r="F144" s="612"/>
      <c r="G144" s="612"/>
      <c r="H144" s="612"/>
      <c r="I144" s="612"/>
      <c r="J144" s="612"/>
      <c r="K144" s="613"/>
      <c r="L144" s="553">
        <f>SUM(L138+L143)</f>
        <v>0</v>
      </c>
      <c r="M144" s="554">
        <f>SUM(H124:H143)</f>
        <v>0</v>
      </c>
    </row>
    <row r="145" spans="1:18" s="2" customFormat="1" ht="25.5" customHeight="1" x14ac:dyDescent="0.25">
      <c r="A145" s="31">
        <v>7089</v>
      </c>
      <c r="B145" s="531" t="s">
        <v>1181</v>
      </c>
      <c r="C145" s="532"/>
      <c r="D145" s="532"/>
      <c r="E145" s="532"/>
      <c r="F145" s="532"/>
      <c r="G145" s="532"/>
      <c r="H145" s="532"/>
      <c r="I145" s="532"/>
      <c r="J145" s="532"/>
      <c r="K145" s="533"/>
      <c r="L145" s="529"/>
      <c r="M145" s="530"/>
    </row>
    <row r="146" spans="1:18" s="2" customFormat="1" ht="25.5" customHeight="1" x14ac:dyDescent="0.25">
      <c r="A146" s="32">
        <v>7090</v>
      </c>
      <c r="B146" s="611" t="s">
        <v>1182</v>
      </c>
      <c r="C146" s="612"/>
      <c r="D146" s="612"/>
      <c r="E146" s="612"/>
      <c r="F146" s="612"/>
      <c r="G146" s="612"/>
      <c r="H146" s="612"/>
      <c r="I146" s="612"/>
      <c r="J146" s="612"/>
      <c r="K146" s="613"/>
      <c r="L146" s="553">
        <f>L144+L145</f>
        <v>0</v>
      </c>
      <c r="M146" s="554"/>
    </row>
    <row r="147" spans="1:18" s="2" customFormat="1" ht="25.5" customHeight="1" x14ac:dyDescent="0.25">
      <c r="A147" s="32">
        <v>7097</v>
      </c>
      <c r="B147" s="611" t="s">
        <v>1637</v>
      </c>
      <c r="C147" s="612"/>
      <c r="D147" s="612"/>
      <c r="E147" s="612"/>
      <c r="F147" s="612"/>
      <c r="G147" s="612"/>
      <c r="H147" s="612"/>
      <c r="I147" s="612"/>
      <c r="J147" s="612"/>
      <c r="K147" s="613"/>
      <c r="L147" s="553">
        <f>J148+J149+J150+J151+J152</f>
        <v>0</v>
      </c>
      <c r="M147" s="554"/>
    </row>
    <row r="148" spans="1:18" s="2" customFormat="1" ht="25.5" customHeight="1" x14ac:dyDescent="0.25">
      <c r="A148" s="33">
        <v>7094</v>
      </c>
      <c r="B148" s="531" t="s">
        <v>1638</v>
      </c>
      <c r="C148" s="532"/>
      <c r="D148" s="532"/>
      <c r="E148" s="532"/>
      <c r="F148" s="532"/>
      <c r="G148" s="532"/>
      <c r="H148" s="532"/>
      <c r="I148" s="532"/>
      <c r="J148" s="529"/>
      <c r="K148" s="530"/>
      <c r="L148" s="1069"/>
      <c r="M148" s="1070"/>
    </row>
    <row r="149" spans="1:18" s="2" customFormat="1" ht="25.5" customHeight="1" x14ac:dyDescent="0.25">
      <c r="A149" s="33">
        <v>7095</v>
      </c>
      <c r="B149" s="608" t="s">
        <v>1639</v>
      </c>
      <c r="C149" s="609"/>
      <c r="D149" s="609"/>
      <c r="E149" s="609"/>
      <c r="F149" s="609"/>
      <c r="G149" s="609"/>
      <c r="H149" s="609"/>
      <c r="I149" s="610"/>
      <c r="J149" s="529"/>
      <c r="K149" s="530"/>
      <c r="L149" s="1071"/>
      <c r="M149" s="1072"/>
    </row>
    <row r="150" spans="1:18" s="2" customFormat="1" ht="25.5" customHeight="1" x14ac:dyDescent="0.25">
      <c r="A150" s="33">
        <v>7091</v>
      </c>
      <c r="B150" s="608" t="s">
        <v>1640</v>
      </c>
      <c r="C150" s="609"/>
      <c r="D150" s="609"/>
      <c r="E150" s="609"/>
      <c r="F150" s="609"/>
      <c r="G150" s="609"/>
      <c r="H150" s="609"/>
      <c r="I150" s="610"/>
      <c r="J150" s="529"/>
      <c r="K150" s="530"/>
      <c r="L150" s="1071"/>
      <c r="M150" s="1072"/>
    </row>
    <row r="151" spans="1:18" s="2" customFormat="1" ht="25.5" customHeight="1" x14ac:dyDescent="0.25">
      <c r="A151" s="33">
        <v>7092</v>
      </c>
      <c r="B151" s="608" t="s">
        <v>1641</v>
      </c>
      <c r="C151" s="609"/>
      <c r="D151" s="609"/>
      <c r="E151" s="609"/>
      <c r="F151" s="609"/>
      <c r="G151" s="609"/>
      <c r="H151" s="609"/>
      <c r="I151" s="610"/>
      <c r="J151" s="529"/>
      <c r="K151" s="530"/>
      <c r="L151" s="1071"/>
      <c r="M151" s="1072"/>
    </row>
    <row r="152" spans="1:18" s="2" customFormat="1" ht="25.5" customHeight="1" x14ac:dyDescent="0.25">
      <c r="A152" s="31">
        <v>7096</v>
      </c>
      <c r="B152" s="608" t="s">
        <v>1642</v>
      </c>
      <c r="C152" s="609"/>
      <c r="D152" s="609"/>
      <c r="E152" s="609"/>
      <c r="F152" s="609"/>
      <c r="G152" s="609"/>
      <c r="H152" s="609"/>
      <c r="I152" s="610"/>
      <c r="J152" s="529"/>
      <c r="K152" s="530"/>
      <c r="L152" s="1073"/>
      <c r="M152" s="1074"/>
    </row>
    <row r="153" spans="1:18" s="2" customFormat="1" ht="25.5" customHeight="1" x14ac:dyDescent="0.25">
      <c r="A153" s="32">
        <v>740</v>
      </c>
      <c r="B153" s="611" t="s">
        <v>720</v>
      </c>
      <c r="C153" s="612"/>
      <c r="D153" s="612"/>
      <c r="E153" s="612"/>
      <c r="F153" s="612"/>
      <c r="G153" s="612"/>
      <c r="H153" s="612"/>
      <c r="I153" s="612"/>
      <c r="J153" s="612"/>
      <c r="K153" s="613"/>
      <c r="L153" s="553">
        <f>L146+L147</f>
        <v>0</v>
      </c>
      <c r="M153" s="554"/>
    </row>
    <row r="155" spans="1:18" ht="25.5" customHeight="1" x14ac:dyDescent="0.25">
      <c r="A155" s="527" t="s">
        <v>729</v>
      </c>
      <c r="B155" s="527"/>
      <c r="C155" s="527"/>
      <c r="D155" s="527"/>
      <c r="E155" s="527"/>
      <c r="F155" s="527"/>
      <c r="G155" s="527"/>
      <c r="H155" s="527"/>
      <c r="I155" s="527"/>
      <c r="J155" s="527"/>
      <c r="K155" s="528"/>
      <c r="L155" s="636" t="s">
        <v>3614</v>
      </c>
      <c r="M155" s="636"/>
      <c r="N155" s="2"/>
      <c r="O155" s="2"/>
      <c r="P155" s="2"/>
      <c r="Q155" s="2"/>
      <c r="R155" s="2"/>
    </row>
    <row r="156" spans="1:18" ht="25.5" customHeight="1" x14ac:dyDescent="0.25">
      <c r="A156" s="21">
        <v>851</v>
      </c>
      <c r="B156" s="611" t="s">
        <v>1644</v>
      </c>
      <c r="C156" s="612"/>
      <c r="D156" s="612"/>
      <c r="E156" s="612"/>
      <c r="F156" s="612"/>
      <c r="G156" s="612"/>
      <c r="H156" s="612"/>
      <c r="I156" s="612"/>
      <c r="J156" s="612"/>
      <c r="K156" s="613"/>
      <c r="L156" s="537"/>
      <c r="M156" s="538"/>
      <c r="N156" s="2"/>
      <c r="O156" s="2"/>
      <c r="P156" s="2"/>
      <c r="Q156" s="2"/>
      <c r="R156" s="2"/>
    </row>
    <row r="157" spans="1:18" ht="25.5" customHeight="1" x14ac:dyDescent="0.25">
      <c r="A157" s="20">
        <v>7108</v>
      </c>
      <c r="B157" s="608" t="s">
        <v>1645</v>
      </c>
      <c r="C157" s="609"/>
      <c r="D157" s="609"/>
      <c r="E157" s="609"/>
      <c r="F157" s="609"/>
      <c r="G157" s="609"/>
      <c r="H157" s="609"/>
      <c r="I157" s="610"/>
      <c r="J157" s="553">
        <f>Code_0851-J158</f>
        <v>0</v>
      </c>
      <c r="K157" s="554"/>
      <c r="L157" s="562"/>
      <c r="M157" s="563"/>
      <c r="N157" s="932" t="s">
        <v>1924</v>
      </c>
      <c r="O157" s="573"/>
      <c r="P157" s="573"/>
      <c r="Q157" s="573"/>
      <c r="R157" s="574"/>
    </row>
    <row r="158" spans="1:18" ht="25.5" customHeight="1" x14ac:dyDescent="0.25">
      <c r="A158" s="20">
        <v>7109</v>
      </c>
      <c r="B158" s="608" t="s">
        <v>1646</v>
      </c>
      <c r="C158" s="609"/>
      <c r="D158" s="609"/>
      <c r="E158" s="609"/>
      <c r="F158" s="609"/>
      <c r="G158" s="609"/>
      <c r="H158" s="609"/>
      <c r="I158" s="610"/>
      <c r="J158" s="553">
        <f>J317+J334</f>
        <v>0</v>
      </c>
      <c r="K158" s="554"/>
      <c r="L158" s="564"/>
      <c r="M158" s="565"/>
      <c r="N158" s="575"/>
      <c r="O158" s="576"/>
      <c r="P158" s="576"/>
      <c r="Q158" s="576"/>
      <c r="R158" s="577"/>
    </row>
    <row r="159" spans="1:18" ht="25.5" customHeight="1" x14ac:dyDescent="0.25">
      <c r="A159" s="21">
        <v>853</v>
      </c>
      <c r="B159" s="611" t="s">
        <v>1647</v>
      </c>
      <c r="C159" s="612"/>
      <c r="D159" s="612"/>
      <c r="E159" s="612"/>
      <c r="F159" s="612"/>
      <c r="G159" s="612"/>
      <c r="H159" s="612"/>
      <c r="I159" s="612"/>
      <c r="J159" s="612"/>
      <c r="K159" s="613"/>
      <c r="L159" s="537"/>
      <c r="M159" s="538"/>
      <c r="N159" s="2"/>
      <c r="O159" s="2"/>
      <c r="P159" s="2"/>
      <c r="Q159" s="2"/>
      <c r="R159" s="2"/>
    </row>
    <row r="160" spans="1:18" ht="25.5" customHeight="1" x14ac:dyDescent="0.25">
      <c r="A160" s="20">
        <v>7110</v>
      </c>
      <c r="B160" s="608" t="s">
        <v>1648</v>
      </c>
      <c r="C160" s="609"/>
      <c r="D160" s="609"/>
      <c r="E160" s="609"/>
      <c r="F160" s="609"/>
      <c r="G160" s="609"/>
      <c r="H160" s="609"/>
      <c r="I160" s="610"/>
      <c r="J160" s="553">
        <f>L159-J161</f>
        <v>0</v>
      </c>
      <c r="K160" s="554"/>
      <c r="L160" s="562"/>
      <c r="M160" s="563"/>
      <c r="N160" s="932" t="s">
        <v>1925</v>
      </c>
      <c r="O160" s="573"/>
      <c r="P160" s="573"/>
      <c r="Q160" s="573"/>
      <c r="R160" s="574"/>
    </row>
    <row r="161" spans="1:18" ht="25.5" customHeight="1" x14ac:dyDescent="0.25">
      <c r="A161" s="20">
        <v>7111</v>
      </c>
      <c r="B161" s="608" t="s">
        <v>1649</v>
      </c>
      <c r="C161" s="609"/>
      <c r="D161" s="609"/>
      <c r="E161" s="609"/>
      <c r="F161" s="609"/>
      <c r="G161" s="609"/>
      <c r="H161" s="609"/>
      <c r="I161" s="610"/>
      <c r="J161" s="553">
        <f>J318+J335</f>
        <v>0</v>
      </c>
      <c r="K161" s="554"/>
      <c r="L161" s="564"/>
      <c r="M161" s="565"/>
      <c r="N161" s="575"/>
      <c r="O161" s="576"/>
      <c r="P161" s="576"/>
      <c r="Q161" s="576"/>
      <c r="R161" s="577"/>
    </row>
    <row r="162" spans="1:18" ht="25.5" customHeight="1" x14ac:dyDescent="0.25">
      <c r="A162" s="20">
        <v>7112</v>
      </c>
      <c r="B162" s="531" t="s">
        <v>1650</v>
      </c>
      <c r="C162" s="532"/>
      <c r="D162" s="532"/>
      <c r="E162" s="532"/>
      <c r="F162" s="532"/>
      <c r="G162" s="532"/>
      <c r="H162" s="532"/>
      <c r="I162" s="532"/>
      <c r="J162" s="532"/>
      <c r="K162" s="533"/>
      <c r="L162" s="553">
        <f>Code_7091+Code_7092+Code_7096</f>
        <v>0</v>
      </c>
      <c r="M162" s="554"/>
      <c r="N162" s="618" t="s">
        <v>1399</v>
      </c>
      <c r="O162" s="619"/>
      <c r="P162" s="619"/>
      <c r="Q162" s="619"/>
      <c r="R162" s="620"/>
    </row>
    <row r="163" spans="1:18" ht="25.5" customHeight="1" x14ac:dyDescent="0.25">
      <c r="A163" s="21">
        <v>860</v>
      </c>
      <c r="B163" s="611" t="s">
        <v>1651</v>
      </c>
      <c r="C163" s="612"/>
      <c r="D163" s="612"/>
      <c r="E163" s="612"/>
      <c r="F163" s="612"/>
      <c r="G163" s="612"/>
      <c r="H163" s="612"/>
      <c r="I163" s="612"/>
      <c r="J163" s="612"/>
      <c r="K163" s="613"/>
      <c r="L163" s="553">
        <f>L156+L159+L162</f>
        <v>0</v>
      </c>
      <c r="M163" s="554"/>
      <c r="N163" s="596" t="str">
        <f>IF(L163=Code_0740,"","Please review.  This must equal "&amp;TEXT(Code_0740,"$0,000"))</f>
        <v/>
      </c>
      <c r="O163" s="597"/>
      <c r="P163" s="597"/>
      <c r="Q163" s="597"/>
      <c r="R163" s="597"/>
    </row>
    <row r="165" spans="1:18" s="2" customFormat="1" ht="25.5" customHeight="1" x14ac:dyDescent="0.25">
      <c r="A165" s="527" t="s">
        <v>730</v>
      </c>
      <c r="B165" s="527"/>
      <c r="C165" s="527"/>
      <c r="D165" s="527"/>
      <c r="E165" s="527"/>
      <c r="F165" s="527"/>
      <c r="G165" s="527"/>
      <c r="H165" s="527"/>
      <c r="I165" s="527"/>
      <c r="J165" s="527"/>
      <c r="K165" s="528"/>
      <c r="L165" s="636" t="s">
        <v>3614</v>
      </c>
      <c r="M165" s="636"/>
    </row>
    <row r="166" spans="1:18" s="2" customFormat="1" ht="25.5" customHeight="1" x14ac:dyDescent="0.25">
      <c r="A166" s="20">
        <v>871</v>
      </c>
      <c r="B166" s="531" t="s">
        <v>1652</v>
      </c>
      <c r="C166" s="532"/>
      <c r="D166" s="532"/>
      <c r="E166" s="532"/>
      <c r="F166" s="532"/>
      <c r="G166" s="532"/>
      <c r="H166" s="532"/>
      <c r="I166" s="532"/>
      <c r="J166" s="532"/>
      <c r="K166" s="533"/>
      <c r="L166" s="529"/>
      <c r="M166" s="955"/>
      <c r="N166" s="601" t="s">
        <v>1653</v>
      </c>
      <c r="O166" s="602"/>
      <c r="P166" s="602"/>
      <c r="Q166" s="602"/>
      <c r="R166" s="602"/>
    </row>
    <row r="167" spans="1:18" s="2" customFormat="1" ht="25.5" customHeight="1" x14ac:dyDescent="0.25">
      <c r="A167" s="20">
        <v>872</v>
      </c>
      <c r="B167" s="531" t="s">
        <v>1654</v>
      </c>
      <c r="C167" s="532"/>
      <c r="D167" s="532"/>
      <c r="E167" s="532"/>
      <c r="F167" s="532"/>
      <c r="G167" s="532"/>
      <c r="H167" s="532"/>
      <c r="I167" s="532"/>
      <c r="J167" s="532"/>
      <c r="K167" s="533"/>
      <c r="L167" s="529"/>
      <c r="M167" s="955"/>
    </row>
    <row r="168" spans="1:18" s="2" customFormat="1" ht="25.5" customHeight="1" x14ac:dyDescent="0.25">
      <c r="A168" s="20">
        <v>873</v>
      </c>
      <c r="B168" s="531" t="s">
        <v>1655</v>
      </c>
      <c r="C168" s="532"/>
      <c r="D168" s="532"/>
      <c r="E168" s="532"/>
      <c r="F168" s="532"/>
      <c r="G168" s="532"/>
      <c r="H168" s="532"/>
      <c r="I168" s="532"/>
      <c r="J168" s="532"/>
      <c r="K168" s="533"/>
      <c r="L168" s="529"/>
      <c r="M168" s="955"/>
      <c r="N168" s="618" t="s">
        <v>890</v>
      </c>
      <c r="O168" s="621"/>
      <c r="P168" s="621"/>
      <c r="Q168" s="621"/>
      <c r="R168" s="622"/>
    </row>
    <row r="169" spans="1:18" s="2" customFormat="1" ht="25.5" customHeight="1" x14ac:dyDescent="0.25">
      <c r="A169" s="20">
        <v>876</v>
      </c>
      <c r="B169" s="531" t="s">
        <v>1656</v>
      </c>
      <c r="C169" s="532"/>
      <c r="D169" s="532"/>
      <c r="E169" s="532"/>
      <c r="F169" s="532"/>
      <c r="G169" s="532"/>
      <c r="H169" s="532"/>
      <c r="I169" s="532"/>
      <c r="J169" s="532"/>
      <c r="K169" s="533"/>
      <c r="L169" s="553">
        <f>L170-SUM(L166:L168)</f>
        <v>0</v>
      </c>
      <c r="M169" s="554"/>
    </row>
    <row r="170" spans="1:18" s="2" customFormat="1" ht="25.5" customHeight="1" x14ac:dyDescent="0.25">
      <c r="A170" s="21">
        <v>880</v>
      </c>
      <c r="B170" s="611" t="s">
        <v>1657</v>
      </c>
      <c r="C170" s="612"/>
      <c r="D170" s="612"/>
      <c r="E170" s="612"/>
      <c r="F170" s="612"/>
      <c r="G170" s="612"/>
      <c r="H170" s="612"/>
      <c r="I170" s="612"/>
      <c r="J170" s="612"/>
      <c r="K170" s="613"/>
      <c r="L170" s="553">
        <f>Code_0853</f>
        <v>0</v>
      </c>
      <c r="M170" s="554"/>
    </row>
    <row r="171" spans="1:18" s="2" customFormat="1" ht="25.5" customHeight="1" x14ac:dyDescent="0.25">
      <c r="A171" s="38"/>
      <c r="B171" s="39"/>
      <c r="C171" s="39"/>
      <c r="D171" s="39"/>
      <c r="E171" s="39"/>
      <c r="F171" s="39"/>
      <c r="G171" s="39"/>
      <c r="H171" s="39"/>
      <c r="I171" s="39"/>
      <c r="J171" s="39"/>
      <c r="K171" s="39"/>
      <c r="L171" s="39"/>
      <c r="M171" s="39"/>
    </row>
    <row r="172" spans="1:18" s="2" customFormat="1" ht="25.5" customHeight="1" x14ac:dyDescent="0.25">
      <c r="A172" s="700" t="s">
        <v>616</v>
      </c>
      <c r="B172" s="701"/>
      <c r="C172" s="701"/>
      <c r="D172" s="701"/>
      <c r="E172" s="701"/>
      <c r="F172" s="701"/>
      <c r="G172" s="701"/>
      <c r="H172" s="701"/>
      <c r="I172" s="701"/>
      <c r="J172" s="701"/>
      <c r="K172" s="701"/>
      <c r="L172" s="701"/>
      <c r="M172" s="701"/>
    </row>
    <row r="173" spans="1:18" s="2" customFormat="1" ht="25.5" customHeight="1" x14ac:dyDescent="0.25">
      <c r="A173" s="527" t="s">
        <v>731</v>
      </c>
      <c r="B173" s="527"/>
      <c r="C173" s="527"/>
      <c r="D173" s="527"/>
      <c r="E173" s="527"/>
      <c r="F173" s="527"/>
      <c r="G173" s="527"/>
      <c r="H173" s="527"/>
      <c r="I173" s="527"/>
      <c r="J173" s="527"/>
      <c r="K173" s="528"/>
      <c r="L173" s="636" t="s">
        <v>3614</v>
      </c>
      <c r="M173" s="636"/>
    </row>
    <row r="174" spans="1:18" s="2" customFormat="1" ht="25.5" customHeight="1" x14ac:dyDescent="0.25">
      <c r="A174" s="21">
        <v>7225</v>
      </c>
      <c r="B174" s="611" t="s">
        <v>617</v>
      </c>
      <c r="C174" s="612"/>
      <c r="D174" s="612"/>
      <c r="E174" s="612"/>
      <c r="F174" s="612"/>
      <c r="G174" s="612"/>
      <c r="H174" s="612"/>
      <c r="I174" s="612"/>
      <c r="J174" s="612"/>
      <c r="K174" s="613"/>
      <c r="L174" s="537"/>
      <c r="M174" s="538"/>
      <c r="N174" s="596" t="str">
        <f>IF(ISBLANK(L174),"This item can not be left blank. Please review instructions.","")</f>
        <v>This item can not be left blank. Please review instructions.</v>
      </c>
      <c r="O174" s="597"/>
      <c r="P174" s="597"/>
      <c r="Q174" s="597"/>
      <c r="R174" s="598"/>
    </row>
    <row r="175" spans="1:18" s="2" customFormat="1" ht="25.5" customHeight="1" x14ac:dyDescent="0.25">
      <c r="A175" s="20">
        <v>7234</v>
      </c>
      <c r="B175" s="531" t="s">
        <v>618</v>
      </c>
      <c r="C175" s="532"/>
      <c r="D175" s="532"/>
      <c r="E175" s="532"/>
      <c r="F175" s="532"/>
      <c r="G175" s="532"/>
      <c r="H175" s="532"/>
      <c r="I175" s="533"/>
      <c r="J175" s="529"/>
      <c r="K175" s="955"/>
      <c r="L175" s="562"/>
      <c r="M175" s="563"/>
      <c r="N175" s="596" t="str">
        <f>IF(ISBLANK(J175),"This item can not be left blank. Please review instructions.","")</f>
        <v>This item can not be left blank. Please review instructions.</v>
      </c>
      <c r="O175" s="597"/>
      <c r="P175" s="597"/>
      <c r="Q175" s="597"/>
      <c r="R175" s="598"/>
    </row>
    <row r="176" spans="1:18" s="2" customFormat="1" ht="25.5" customHeight="1" x14ac:dyDescent="0.25">
      <c r="A176" s="20">
        <v>7235</v>
      </c>
      <c r="B176" s="531" t="s">
        <v>619</v>
      </c>
      <c r="C176" s="532"/>
      <c r="D176" s="532"/>
      <c r="E176" s="532"/>
      <c r="F176" s="532"/>
      <c r="G176" s="532"/>
      <c r="H176" s="532"/>
      <c r="I176" s="533"/>
      <c r="J176" s="553">
        <f>L174-J175</f>
        <v>0</v>
      </c>
      <c r="K176" s="554"/>
      <c r="L176" s="564"/>
      <c r="M176" s="565"/>
    </row>
    <row r="177" spans="1:18" s="2" customFormat="1" ht="25.5" customHeight="1" x14ac:dyDescent="0.25">
      <c r="A177" s="21">
        <v>7127</v>
      </c>
      <c r="B177" s="611" t="s">
        <v>620</v>
      </c>
      <c r="C177" s="612"/>
      <c r="D177" s="612"/>
      <c r="E177" s="612"/>
      <c r="F177" s="612"/>
      <c r="G177" s="612"/>
      <c r="H177" s="612"/>
      <c r="I177" s="612"/>
      <c r="J177" s="612"/>
      <c r="K177" s="613"/>
      <c r="L177" s="537"/>
      <c r="M177" s="538"/>
      <c r="N177" s="596" t="str">
        <f>IF(ISBLANK(L177),"This item can not be left blank. Please review instructions.","")</f>
        <v>This item can not be left blank. Please review instructions.</v>
      </c>
      <c r="O177" s="597"/>
      <c r="P177" s="597"/>
      <c r="Q177" s="597"/>
      <c r="R177" s="598"/>
    </row>
    <row r="178" spans="1:18" s="2" customFormat="1" ht="25.5" customHeight="1" x14ac:dyDescent="0.25">
      <c r="A178" s="20">
        <v>7242</v>
      </c>
      <c r="B178" s="531" t="s">
        <v>621</v>
      </c>
      <c r="C178" s="532"/>
      <c r="D178" s="532"/>
      <c r="E178" s="532"/>
      <c r="F178" s="532"/>
      <c r="G178" s="532"/>
      <c r="H178" s="532"/>
      <c r="I178" s="533"/>
      <c r="J178" s="529"/>
      <c r="K178" s="955"/>
      <c r="L178" s="562"/>
      <c r="M178" s="563"/>
      <c r="N178" s="596" t="str">
        <f>IF(ISBLANK(J178),"This item can not be left blank. Please review instructions.","")</f>
        <v>This item can not be left blank. Please review instructions.</v>
      </c>
      <c r="O178" s="597"/>
      <c r="P178" s="597"/>
      <c r="Q178" s="597"/>
      <c r="R178" s="598"/>
    </row>
    <row r="179" spans="1:18" s="2" customFormat="1" ht="25.5" customHeight="1" x14ac:dyDescent="0.25">
      <c r="A179" s="20">
        <v>7243</v>
      </c>
      <c r="B179" s="531" t="s">
        <v>622</v>
      </c>
      <c r="C179" s="532"/>
      <c r="D179" s="532"/>
      <c r="E179" s="532"/>
      <c r="F179" s="532"/>
      <c r="G179" s="532"/>
      <c r="H179" s="532"/>
      <c r="I179" s="533"/>
      <c r="J179" s="553">
        <f>L177-J178</f>
        <v>0</v>
      </c>
      <c r="K179" s="554"/>
      <c r="L179" s="564"/>
      <c r="M179" s="565"/>
    </row>
    <row r="180" spans="1:18" s="2" customFormat="1" ht="25.5" customHeight="1" x14ac:dyDescent="0.25">
      <c r="A180" s="21">
        <v>7128</v>
      </c>
      <c r="B180" s="611" t="s">
        <v>623</v>
      </c>
      <c r="C180" s="612"/>
      <c r="D180" s="612"/>
      <c r="E180" s="612"/>
      <c r="F180" s="612"/>
      <c r="G180" s="612"/>
      <c r="H180" s="612"/>
      <c r="I180" s="612"/>
      <c r="J180" s="612"/>
      <c r="K180" s="613"/>
      <c r="L180" s="553">
        <f>L174+L177</f>
        <v>0</v>
      </c>
      <c r="M180" s="554"/>
      <c r="N180" s="596" t="str">
        <f>IF(L180=Code_7090,"","Please review.  This must equal "&amp;TEXT(Code_7090,"$0,000"))</f>
        <v/>
      </c>
      <c r="O180" s="597"/>
      <c r="P180" s="597"/>
      <c r="Q180" s="597"/>
      <c r="R180" s="597"/>
    </row>
    <row r="181" spans="1:18" s="2" customFormat="1" ht="25.5" customHeight="1" x14ac:dyDescent="0.3">
      <c r="A181" s="15" t="e">
        <f>$A$33</f>
        <v>#N/A</v>
      </c>
    </row>
    <row r="182" spans="1:18" s="2" customFormat="1" ht="25.5" customHeight="1" x14ac:dyDescent="0.25">
      <c r="A182" s="700" t="s">
        <v>624</v>
      </c>
      <c r="B182" s="701"/>
      <c r="C182" s="701"/>
      <c r="D182" s="701"/>
      <c r="E182" s="701"/>
      <c r="F182" s="701"/>
      <c r="G182" s="701"/>
      <c r="H182" s="701"/>
      <c r="I182" s="701"/>
      <c r="J182" s="701"/>
      <c r="K182" s="701"/>
      <c r="L182" s="701"/>
      <c r="M182" s="701"/>
    </row>
    <row r="183" spans="1:18" s="2" customFormat="1" ht="25.5" customHeight="1" x14ac:dyDescent="0.25">
      <c r="A183" s="527" t="s">
        <v>732</v>
      </c>
      <c r="B183" s="527"/>
      <c r="C183" s="527"/>
      <c r="D183" s="527"/>
      <c r="E183" s="527"/>
      <c r="F183" s="527"/>
      <c r="G183" s="527"/>
      <c r="H183" s="527"/>
      <c r="I183" s="527"/>
      <c r="J183" s="527"/>
      <c r="K183" s="528"/>
      <c r="L183" s="636" t="s">
        <v>3614</v>
      </c>
      <c r="M183" s="636"/>
    </row>
    <row r="184" spans="1:18" s="2" customFormat="1" ht="25.5" customHeight="1" x14ac:dyDescent="0.25">
      <c r="A184" s="21">
        <v>7250</v>
      </c>
      <c r="B184" s="611" t="s">
        <v>2214</v>
      </c>
      <c r="C184" s="612"/>
      <c r="D184" s="612"/>
      <c r="E184" s="612"/>
      <c r="F184" s="612"/>
      <c r="G184" s="612"/>
      <c r="H184" s="612"/>
      <c r="I184" s="612"/>
      <c r="J184" s="612"/>
      <c r="K184" s="613"/>
      <c r="L184" s="537"/>
      <c r="M184" s="538"/>
      <c r="N184" s="601" t="s">
        <v>1653</v>
      </c>
      <c r="O184" s="602"/>
      <c r="P184" s="602"/>
      <c r="Q184" s="602"/>
      <c r="R184" s="602"/>
    </row>
    <row r="185" spans="1:18" s="2" customFormat="1" ht="25.5" customHeight="1" x14ac:dyDescent="0.25">
      <c r="A185" s="20">
        <v>841</v>
      </c>
      <c r="B185" s="531" t="s">
        <v>625</v>
      </c>
      <c r="C185" s="532"/>
      <c r="D185" s="532"/>
      <c r="E185" s="532"/>
      <c r="F185" s="532"/>
      <c r="G185" s="532"/>
      <c r="H185" s="532"/>
      <c r="I185" s="533"/>
      <c r="J185" s="529"/>
      <c r="K185" s="955"/>
      <c r="L185" s="966" t="s">
        <v>2215</v>
      </c>
      <c r="M185" s="957"/>
    </row>
    <row r="186" spans="1:18" s="2" customFormat="1" ht="25.5" customHeight="1" x14ac:dyDescent="0.25">
      <c r="A186" s="20">
        <v>7104</v>
      </c>
      <c r="B186" s="545" t="s">
        <v>626</v>
      </c>
      <c r="C186" s="665"/>
      <c r="D186" s="665"/>
      <c r="E186" s="665"/>
      <c r="F186" s="665"/>
      <c r="G186" s="640"/>
      <c r="H186" s="553">
        <f>J185-H187</f>
        <v>0</v>
      </c>
      <c r="I186" s="554"/>
      <c r="J186" s="40"/>
      <c r="K186" s="41"/>
      <c r="L186" s="973"/>
      <c r="M186" s="968"/>
    </row>
    <row r="187" spans="1:18" s="2" customFormat="1" ht="25.5" customHeight="1" x14ac:dyDescent="0.25">
      <c r="A187" s="20">
        <v>7105</v>
      </c>
      <c r="B187" s="545" t="s">
        <v>627</v>
      </c>
      <c r="C187" s="665"/>
      <c r="D187" s="665"/>
      <c r="E187" s="665"/>
      <c r="F187" s="665"/>
      <c r="G187" s="640"/>
      <c r="H187" s="553">
        <f>J320+J337+J352+J366</f>
        <v>0</v>
      </c>
      <c r="I187" s="554"/>
      <c r="J187" s="40"/>
      <c r="K187" s="41"/>
      <c r="L187" s="973"/>
      <c r="M187" s="968"/>
    </row>
    <row r="188" spans="1:18" s="2" customFormat="1" ht="25.5" customHeight="1" x14ac:dyDescent="0.25">
      <c r="A188" s="47">
        <v>842</v>
      </c>
      <c r="B188" s="608" t="s">
        <v>630</v>
      </c>
      <c r="C188" s="609"/>
      <c r="D188" s="609"/>
      <c r="E188" s="609"/>
      <c r="F188" s="609"/>
      <c r="G188" s="609"/>
      <c r="H188" s="609"/>
      <c r="I188" s="610"/>
      <c r="J188" s="529"/>
      <c r="K188" s="955"/>
      <c r="L188" s="973"/>
      <c r="M188" s="968"/>
    </row>
    <row r="189" spans="1:18" s="2" customFormat="1" ht="25.5" customHeight="1" x14ac:dyDescent="0.25">
      <c r="A189" s="20">
        <v>7106</v>
      </c>
      <c r="B189" s="974" t="s">
        <v>631</v>
      </c>
      <c r="C189" s="975"/>
      <c r="D189" s="975"/>
      <c r="E189" s="975"/>
      <c r="F189" s="975"/>
      <c r="G189" s="976"/>
      <c r="H189" s="553">
        <f>J188-H190</f>
        <v>0</v>
      </c>
      <c r="I189" s="554"/>
      <c r="J189" s="40"/>
      <c r="K189" s="41"/>
      <c r="L189" s="973"/>
      <c r="M189" s="968"/>
      <c r="N189" s="1193" t="str">
        <f>IF(AND(ISBLANK(H189),ISBLANK(H190)),"Enter total MA/MinnesotaCare Charges in 0843 if detail is not available. (Cell is not locked.)","")</f>
        <v/>
      </c>
      <c r="O189" s="1194"/>
      <c r="P189" s="1194"/>
      <c r="Q189" s="1194"/>
      <c r="R189" s="1194"/>
    </row>
    <row r="190" spans="1:18" s="2" customFormat="1" ht="25.5" customHeight="1" x14ac:dyDescent="0.25">
      <c r="A190" s="20">
        <v>7107</v>
      </c>
      <c r="B190" s="545" t="s">
        <v>632</v>
      </c>
      <c r="C190" s="546"/>
      <c r="D190" s="546"/>
      <c r="E190" s="546"/>
      <c r="F190" s="546"/>
      <c r="G190" s="547"/>
      <c r="H190" s="553">
        <f>J321+J338+J353+J367</f>
        <v>0</v>
      </c>
      <c r="I190" s="554"/>
      <c r="J190" s="40"/>
      <c r="K190" s="41"/>
      <c r="L190" s="973"/>
      <c r="M190" s="968"/>
      <c r="N190" s="1193"/>
      <c r="O190" s="1194"/>
      <c r="P190" s="1194"/>
      <c r="Q190" s="1194"/>
      <c r="R190" s="1194"/>
    </row>
    <row r="191" spans="1:18" s="2" customFormat="1" ht="25.5" customHeight="1" x14ac:dyDescent="0.25">
      <c r="A191" s="21">
        <v>7253</v>
      </c>
      <c r="B191" s="611" t="s">
        <v>2216</v>
      </c>
      <c r="C191" s="612"/>
      <c r="D191" s="612"/>
      <c r="E191" s="612"/>
      <c r="F191" s="612"/>
      <c r="G191" s="612"/>
      <c r="H191" s="612"/>
      <c r="I191" s="612"/>
      <c r="J191" s="612"/>
      <c r="K191" s="613"/>
      <c r="L191" s="964"/>
      <c r="M191" s="965"/>
    </row>
    <row r="192" spans="1:18" s="2" customFormat="1" ht="25.5" customHeight="1" x14ac:dyDescent="0.25">
      <c r="A192" s="20">
        <v>7142</v>
      </c>
      <c r="B192" s="608" t="s">
        <v>628</v>
      </c>
      <c r="C192" s="532"/>
      <c r="D192" s="532"/>
      <c r="E192" s="532"/>
      <c r="F192" s="532"/>
      <c r="G192" s="532"/>
      <c r="H192" s="532"/>
      <c r="I192" s="533"/>
      <c r="J192" s="529"/>
      <c r="K192" s="955"/>
      <c r="L192" s="960" t="s">
        <v>2217</v>
      </c>
      <c r="M192" s="542"/>
      <c r="N192" s="809" t="str">
        <f>IF(AND(ISBLANK(J192),ISBLANK(J193)),"Enter Total MA/PMAP Patient Charges in 7253 if detail is not available. 
(Cell is not locked.)","")</f>
        <v>Enter Total MA/PMAP Patient Charges in 7253 if detail is not available. 
(Cell is not locked.)</v>
      </c>
      <c r="O192" s="810"/>
      <c r="P192" s="810"/>
      <c r="Q192" s="810"/>
      <c r="R192" s="810"/>
    </row>
    <row r="193" spans="1:18" s="2" customFormat="1" ht="25.5" customHeight="1" x14ac:dyDescent="0.25">
      <c r="A193" s="20">
        <v>7145</v>
      </c>
      <c r="B193" s="608" t="s">
        <v>633</v>
      </c>
      <c r="C193" s="532"/>
      <c r="D193" s="532"/>
      <c r="E193" s="532"/>
      <c r="F193" s="532"/>
      <c r="G193" s="532"/>
      <c r="H193" s="532"/>
      <c r="I193" s="533"/>
      <c r="J193" s="529"/>
      <c r="K193" s="955"/>
      <c r="L193" s="1222"/>
      <c r="M193" s="1223"/>
      <c r="N193" s="809"/>
      <c r="O193" s="810"/>
      <c r="P193" s="810"/>
      <c r="Q193" s="810"/>
      <c r="R193" s="810"/>
    </row>
    <row r="194" spans="1:18" s="15" customFormat="1" ht="25.5" customHeight="1" x14ac:dyDescent="0.3">
      <c r="A194" s="21">
        <v>7256</v>
      </c>
      <c r="B194" s="611" t="s">
        <v>2219</v>
      </c>
      <c r="C194" s="612"/>
      <c r="D194" s="612"/>
      <c r="E194" s="612"/>
      <c r="F194" s="612"/>
      <c r="G194" s="612"/>
      <c r="H194" s="612"/>
      <c r="I194" s="612"/>
      <c r="J194" s="612"/>
      <c r="K194" s="613"/>
      <c r="L194" s="964"/>
      <c r="M194" s="965"/>
    </row>
    <row r="195" spans="1:18" s="2" customFormat="1" ht="25.5" customHeight="1" x14ac:dyDescent="0.25">
      <c r="A195" s="20">
        <v>7144</v>
      </c>
      <c r="B195" s="608" t="s">
        <v>629</v>
      </c>
      <c r="C195" s="532"/>
      <c r="D195" s="532"/>
      <c r="E195" s="532"/>
      <c r="F195" s="532"/>
      <c r="G195" s="532"/>
      <c r="H195" s="532"/>
      <c r="I195" s="533"/>
      <c r="J195" s="529"/>
      <c r="K195" s="955"/>
      <c r="L195" s="960" t="s">
        <v>2218</v>
      </c>
      <c r="M195" s="542"/>
      <c r="N195" s="809" t="str">
        <f>IF(AND(ISBLANK(J195),ISBLANK(J196)),"Enter Total MinnesotaCare Patient Charges in 7256 if detail is not available. (Cell is not locked.)","")</f>
        <v>Enter Total MinnesotaCare Patient Charges in 7256 if detail is not available. (Cell is not locked.)</v>
      </c>
      <c r="O195" s="810"/>
      <c r="P195" s="810"/>
      <c r="Q195" s="810"/>
      <c r="R195" s="810"/>
    </row>
    <row r="196" spans="1:18" s="2" customFormat="1" ht="25.5" customHeight="1" x14ac:dyDescent="0.25">
      <c r="A196" s="20">
        <v>7147</v>
      </c>
      <c r="B196" s="608" t="s">
        <v>634</v>
      </c>
      <c r="C196" s="532"/>
      <c r="D196" s="532"/>
      <c r="E196" s="532"/>
      <c r="F196" s="532"/>
      <c r="G196" s="532"/>
      <c r="H196" s="532"/>
      <c r="I196" s="533"/>
      <c r="J196" s="529"/>
      <c r="K196" s="955"/>
      <c r="L196" s="1222"/>
      <c r="M196" s="1223"/>
      <c r="N196" s="809"/>
      <c r="O196" s="810"/>
      <c r="P196" s="810"/>
      <c r="Q196" s="810"/>
      <c r="R196" s="810"/>
    </row>
    <row r="197" spans="1:18" s="15" customFormat="1" ht="25.5" customHeight="1" x14ac:dyDescent="0.3">
      <c r="A197" s="21">
        <v>7259</v>
      </c>
      <c r="B197" s="611" t="s">
        <v>2220</v>
      </c>
      <c r="C197" s="612"/>
      <c r="D197" s="612"/>
      <c r="E197" s="612"/>
      <c r="F197" s="612"/>
      <c r="G197" s="612"/>
      <c r="H197" s="612"/>
      <c r="I197" s="612"/>
      <c r="J197" s="612"/>
      <c r="K197" s="613"/>
      <c r="L197" s="537"/>
      <c r="M197" s="538"/>
    </row>
    <row r="198" spans="1:18" s="2" customFormat="1" ht="25.5" customHeight="1" x14ac:dyDescent="0.25">
      <c r="A198" s="20">
        <v>852</v>
      </c>
      <c r="B198" s="531" t="s">
        <v>635</v>
      </c>
      <c r="C198" s="532"/>
      <c r="D198" s="532"/>
      <c r="E198" s="532"/>
      <c r="F198" s="532"/>
      <c r="G198" s="532"/>
      <c r="H198" s="532"/>
      <c r="I198" s="532"/>
      <c r="J198" s="532"/>
      <c r="K198" s="533"/>
      <c r="L198" s="529"/>
      <c r="M198" s="955"/>
    </row>
    <row r="199" spans="1:18" s="2" customFormat="1" ht="25.5" customHeight="1" x14ac:dyDescent="0.25">
      <c r="A199" s="20">
        <v>847</v>
      </c>
      <c r="B199" s="534" t="s">
        <v>636</v>
      </c>
      <c r="C199" s="535"/>
      <c r="D199" s="535"/>
      <c r="E199" s="535"/>
      <c r="F199" s="535"/>
      <c r="G199" s="535"/>
      <c r="H199" s="535"/>
      <c r="I199" s="535"/>
      <c r="J199" s="535"/>
      <c r="K199" s="536"/>
      <c r="L199" s="553">
        <f>L200-L184-L191-L198-L194-L197</f>
        <v>0</v>
      </c>
      <c r="M199" s="554"/>
    </row>
    <row r="200" spans="1:18" s="15" customFormat="1" ht="25.5" customHeight="1" x14ac:dyDescent="0.3">
      <c r="A200" s="21">
        <v>850</v>
      </c>
      <c r="B200" s="611" t="s">
        <v>637</v>
      </c>
      <c r="C200" s="612"/>
      <c r="D200" s="612"/>
      <c r="E200" s="612"/>
      <c r="F200" s="612"/>
      <c r="G200" s="612"/>
      <c r="H200" s="612"/>
      <c r="I200" s="612"/>
      <c r="J200" s="612"/>
      <c r="K200" s="613"/>
      <c r="L200" s="893">
        <f>Code_0740</f>
        <v>0</v>
      </c>
      <c r="M200" s="894"/>
    </row>
    <row r="201" spans="1:18" s="2" customFormat="1" ht="25.5" customHeight="1" x14ac:dyDescent="0.25">
      <c r="A201" s="20">
        <v>843</v>
      </c>
      <c r="B201" s="970" t="s">
        <v>2628</v>
      </c>
      <c r="C201" s="532"/>
      <c r="D201" s="532"/>
      <c r="E201" s="532"/>
      <c r="F201" s="532"/>
      <c r="G201" s="532"/>
      <c r="H201" s="532"/>
      <c r="I201" s="533"/>
      <c r="J201" s="553">
        <f>SUM(Code_7142,Code_7144)</f>
        <v>0</v>
      </c>
      <c r="K201" s="554"/>
      <c r="L201" s="956"/>
      <c r="M201" s="957"/>
    </row>
    <row r="202" spans="1:18" s="2" customFormat="1" ht="25.5" customHeight="1" x14ac:dyDescent="0.25">
      <c r="A202" s="20">
        <v>854</v>
      </c>
      <c r="B202" s="608" t="s">
        <v>2234</v>
      </c>
      <c r="C202" s="532"/>
      <c r="D202" s="532"/>
      <c r="E202" s="532"/>
      <c r="F202" s="532"/>
      <c r="G202" s="532"/>
      <c r="H202" s="532"/>
      <c r="I202" s="533"/>
      <c r="J202" s="553">
        <f>SUM(Code_7145,Code_7147)</f>
        <v>0</v>
      </c>
      <c r="K202" s="554"/>
      <c r="L202" s="958"/>
      <c r="M202" s="959"/>
    </row>
    <row r="203" spans="1:18" s="2" customFormat="1" ht="25.5" customHeight="1" x14ac:dyDescent="0.3">
      <c r="A203" s="15" t="e">
        <f>$A$33</f>
        <v>#N/A</v>
      </c>
    </row>
    <row r="204" spans="1:18" s="2" customFormat="1" ht="25.5" customHeight="1" x14ac:dyDescent="0.25">
      <c r="A204" s="700" t="s">
        <v>638</v>
      </c>
      <c r="B204" s="701"/>
      <c r="C204" s="701"/>
      <c r="D204" s="701"/>
      <c r="E204" s="701"/>
      <c r="F204" s="701"/>
      <c r="G204" s="701"/>
      <c r="H204" s="701"/>
      <c r="I204" s="701"/>
      <c r="J204" s="701"/>
      <c r="K204" s="701"/>
      <c r="L204" s="701"/>
      <c r="M204" s="701"/>
    </row>
    <row r="205" spans="1:18" s="2" customFormat="1" ht="25.5" customHeight="1" x14ac:dyDescent="0.25">
      <c r="A205" s="527" t="s">
        <v>733</v>
      </c>
      <c r="B205" s="527"/>
      <c r="C205" s="527"/>
      <c r="D205" s="527"/>
      <c r="E205" s="527"/>
      <c r="F205" s="527"/>
      <c r="G205" s="527"/>
      <c r="H205" s="527"/>
      <c r="I205" s="527"/>
      <c r="J205" s="527"/>
      <c r="K205" s="528"/>
      <c r="L205" s="636" t="s">
        <v>3614</v>
      </c>
      <c r="M205" s="636"/>
      <c r="N205" s="602" t="s">
        <v>1653</v>
      </c>
      <c r="O205" s="602"/>
      <c r="P205" s="602"/>
      <c r="Q205" s="602"/>
      <c r="R205" s="602"/>
    </row>
    <row r="206" spans="1:18" s="15" customFormat="1" ht="25.5" customHeight="1" x14ac:dyDescent="0.3">
      <c r="A206" s="21">
        <v>7260</v>
      </c>
      <c r="B206" s="611" t="s">
        <v>2221</v>
      </c>
      <c r="C206" s="612"/>
      <c r="D206" s="612"/>
      <c r="E206" s="612"/>
      <c r="F206" s="612"/>
      <c r="G206" s="612"/>
      <c r="H206" s="612"/>
      <c r="I206" s="612"/>
      <c r="J206" s="612"/>
      <c r="K206" s="613"/>
      <c r="L206" s="537"/>
      <c r="M206" s="538"/>
      <c r="N206" s="524" t="str">
        <f>IF(L206&gt;=0,"This should be a negative number"," ")</f>
        <v>This should be a negative number</v>
      </c>
      <c r="O206" s="525"/>
      <c r="P206" s="525"/>
      <c r="Q206" s="525"/>
      <c r="R206" s="526"/>
    </row>
    <row r="207" spans="1:18" s="2" customFormat="1" ht="25.5" customHeight="1" x14ac:dyDescent="0.25">
      <c r="A207" s="20">
        <v>741</v>
      </c>
      <c r="B207" s="531" t="s">
        <v>639</v>
      </c>
      <c r="C207" s="532"/>
      <c r="D207" s="532"/>
      <c r="E207" s="532"/>
      <c r="F207" s="532"/>
      <c r="G207" s="532"/>
      <c r="H207" s="532"/>
      <c r="I207" s="533"/>
      <c r="J207" s="537"/>
      <c r="K207" s="538"/>
      <c r="L207" s="966" t="s">
        <v>2215</v>
      </c>
      <c r="M207" s="957"/>
      <c r="N207" s="548" t="str">
        <f>IF(J207&gt;=0,"This should be a negative number"," ")</f>
        <v>This should be a negative number</v>
      </c>
      <c r="O207" s="549"/>
      <c r="P207" s="549"/>
      <c r="Q207" s="549"/>
      <c r="R207" s="559"/>
    </row>
    <row r="208" spans="1:18" s="2" customFormat="1" ht="25.5" customHeight="1" x14ac:dyDescent="0.25">
      <c r="A208" s="20">
        <v>7098</v>
      </c>
      <c r="B208" s="545" t="s">
        <v>640</v>
      </c>
      <c r="C208" s="665"/>
      <c r="D208" s="665"/>
      <c r="E208" s="665"/>
      <c r="F208" s="665"/>
      <c r="G208" s="640"/>
      <c r="H208" s="553">
        <f>J207-H209</f>
        <v>0</v>
      </c>
      <c r="I208" s="554"/>
      <c r="J208" s="40"/>
      <c r="K208" s="41"/>
      <c r="L208" s="967"/>
      <c r="M208" s="968"/>
    </row>
    <row r="209" spans="1:18" s="2" customFormat="1" ht="25.5" customHeight="1" x14ac:dyDescent="0.25">
      <c r="A209" s="20">
        <v>7099</v>
      </c>
      <c r="B209" s="545" t="s">
        <v>641</v>
      </c>
      <c r="C209" s="665"/>
      <c r="D209" s="665"/>
      <c r="E209" s="665"/>
      <c r="F209" s="665"/>
      <c r="G209" s="640"/>
      <c r="H209" s="553">
        <f>Code_5504+Code_7065+Code_7072+Code_7079</f>
        <v>0</v>
      </c>
      <c r="I209" s="554"/>
      <c r="J209" s="40"/>
      <c r="K209" s="41"/>
      <c r="L209" s="967"/>
      <c r="M209" s="968"/>
    </row>
    <row r="210" spans="1:18" s="2" customFormat="1" ht="25.5" customHeight="1" x14ac:dyDescent="0.25">
      <c r="A210" s="20">
        <v>742</v>
      </c>
      <c r="B210" s="531" t="s">
        <v>644</v>
      </c>
      <c r="C210" s="532"/>
      <c r="D210" s="532"/>
      <c r="E210" s="532"/>
      <c r="F210" s="532"/>
      <c r="G210" s="532"/>
      <c r="H210" s="532"/>
      <c r="I210" s="533"/>
      <c r="J210" s="971"/>
      <c r="K210" s="972"/>
      <c r="L210" s="967"/>
      <c r="M210" s="968"/>
      <c r="N210" s="548" t="str">
        <f>IF(J210&gt;=0,"This should be a negative number"," ")</f>
        <v>This should be a negative number</v>
      </c>
      <c r="O210" s="549"/>
      <c r="P210" s="549"/>
      <c r="Q210" s="549"/>
      <c r="R210" s="559"/>
    </row>
    <row r="211" spans="1:18" s="2" customFormat="1" ht="25.5" customHeight="1" x14ac:dyDescent="0.25">
      <c r="A211" s="20">
        <v>7100</v>
      </c>
      <c r="B211" s="545" t="s">
        <v>645</v>
      </c>
      <c r="C211" s="665"/>
      <c r="D211" s="665"/>
      <c r="E211" s="665"/>
      <c r="F211" s="665"/>
      <c r="G211" s="640"/>
      <c r="H211" s="553">
        <f>J210-H212</f>
        <v>0</v>
      </c>
      <c r="I211" s="554"/>
      <c r="J211" s="40"/>
      <c r="K211" s="41"/>
      <c r="L211" s="967"/>
      <c r="M211" s="968"/>
    </row>
    <row r="212" spans="1:18" s="2" customFormat="1" ht="25.5" customHeight="1" x14ac:dyDescent="0.25">
      <c r="A212" s="20">
        <v>7101</v>
      </c>
      <c r="B212" s="545" t="s">
        <v>646</v>
      </c>
      <c r="C212" s="665"/>
      <c r="D212" s="665"/>
      <c r="E212" s="665"/>
      <c r="F212" s="665"/>
      <c r="G212" s="640"/>
      <c r="H212" s="553">
        <f>J324+J341+J356+J370</f>
        <v>0</v>
      </c>
      <c r="I212" s="554"/>
      <c r="J212" s="40"/>
      <c r="K212" s="41"/>
      <c r="L212" s="969"/>
      <c r="M212" s="959"/>
    </row>
    <row r="213" spans="1:18" s="15" customFormat="1" ht="25.5" customHeight="1" x14ac:dyDescent="0.3">
      <c r="A213" s="21">
        <v>7263</v>
      </c>
      <c r="B213" s="611" t="s">
        <v>2222</v>
      </c>
      <c r="C213" s="612"/>
      <c r="D213" s="612"/>
      <c r="E213" s="612"/>
      <c r="F213" s="612"/>
      <c r="G213" s="612"/>
      <c r="H213" s="612"/>
      <c r="I213" s="612"/>
      <c r="J213" s="612"/>
      <c r="K213" s="613"/>
      <c r="L213" s="964"/>
      <c r="M213" s="965"/>
      <c r="N213" s="524" t="str">
        <f>IF(L213&gt;=0,"This should be a negative number"," ")</f>
        <v>This should be a negative number</v>
      </c>
      <c r="O213" s="525"/>
      <c r="P213" s="525"/>
      <c r="Q213" s="525"/>
      <c r="R213" s="526"/>
    </row>
    <row r="214" spans="1:18" s="2" customFormat="1" ht="25.5" customHeight="1" x14ac:dyDescent="0.25">
      <c r="A214" s="20">
        <v>7136</v>
      </c>
      <c r="B214" s="545" t="s">
        <v>642</v>
      </c>
      <c r="C214" s="546"/>
      <c r="D214" s="546"/>
      <c r="E214" s="546"/>
      <c r="F214" s="546"/>
      <c r="G214" s="546"/>
      <c r="H214" s="546"/>
      <c r="I214" s="547"/>
      <c r="J214" s="560"/>
      <c r="K214" s="561"/>
      <c r="L214" s="960" t="s">
        <v>2217</v>
      </c>
      <c r="M214" s="961"/>
      <c r="N214" s="809" t="str">
        <f>IF(AND(ISBLANK(J214),ISBLANK(J215)),"Enter Total MA/PMAP Adjustments in 7263 if detail is not available. 
(Cell is not locked.)","")</f>
        <v>Enter Total MA/PMAP Adjustments in 7263 if detail is not available. 
(Cell is not locked.)</v>
      </c>
      <c r="O214" s="810"/>
      <c r="P214" s="810"/>
      <c r="Q214" s="810"/>
      <c r="R214" s="810"/>
    </row>
    <row r="215" spans="1:18" s="2" customFormat="1" ht="25.5" customHeight="1" x14ac:dyDescent="0.25">
      <c r="A215" s="20">
        <v>7139</v>
      </c>
      <c r="B215" s="545" t="s">
        <v>647</v>
      </c>
      <c r="C215" s="546"/>
      <c r="D215" s="546"/>
      <c r="E215" s="546"/>
      <c r="F215" s="546"/>
      <c r="G215" s="546"/>
      <c r="H215" s="546"/>
      <c r="I215" s="547"/>
      <c r="J215" s="560"/>
      <c r="K215" s="561"/>
      <c r="L215" s="962"/>
      <c r="M215" s="963"/>
      <c r="N215" s="809"/>
      <c r="O215" s="810"/>
      <c r="P215" s="810"/>
      <c r="Q215" s="810"/>
      <c r="R215" s="810"/>
    </row>
    <row r="216" spans="1:18" s="15" customFormat="1" ht="25.5" customHeight="1" x14ac:dyDescent="0.3">
      <c r="A216" s="21">
        <v>7266</v>
      </c>
      <c r="B216" s="611" t="s">
        <v>2223</v>
      </c>
      <c r="C216" s="612"/>
      <c r="D216" s="612"/>
      <c r="E216" s="612"/>
      <c r="F216" s="612"/>
      <c r="G216" s="612"/>
      <c r="H216" s="612"/>
      <c r="I216" s="612"/>
      <c r="J216" s="612"/>
      <c r="K216" s="613"/>
      <c r="L216" s="964"/>
      <c r="M216" s="965"/>
      <c r="N216" s="524" t="str">
        <f>IF(L216&gt;=0,"This should be a negative number"," ")</f>
        <v>This should be a negative number</v>
      </c>
      <c r="O216" s="525"/>
      <c r="P216" s="525"/>
      <c r="Q216" s="525"/>
      <c r="R216" s="526"/>
    </row>
    <row r="217" spans="1:18" s="2" customFormat="1" ht="25.5" customHeight="1" x14ac:dyDescent="0.25">
      <c r="A217" s="20">
        <v>7138</v>
      </c>
      <c r="B217" s="545" t="s">
        <v>643</v>
      </c>
      <c r="C217" s="546"/>
      <c r="D217" s="546"/>
      <c r="E217" s="546"/>
      <c r="F217" s="546"/>
      <c r="G217" s="546"/>
      <c r="H217" s="546"/>
      <c r="I217" s="547"/>
      <c r="J217" s="560"/>
      <c r="K217" s="561"/>
      <c r="L217" s="541" t="s">
        <v>2218</v>
      </c>
      <c r="M217" s="542"/>
      <c r="N217" s="809" t="str">
        <f>IF(AND(ISBLANK(J217),ISBLANK(J218)),"Enter Total MinnesotaCare Adjustments in 7266 if detail is not available. 
(Cell is not locked.)","")</f>
        <v>Enter Total MinnesotaCare Adjustments in 7266 if detail is not available. 
(Cell is not locked.)</v>
      </c>
      <c r="O217" s="810"/>
      <c r="P217" s="810"/>
      <c r="Q217" s="810"/>
      <c r="R217" s="810"/>
    </row>
    <row r="218" spans="1:18" s="2" customFormat="1" ht="25.5" customHeight="1" x14ac:dyDescent="0.25">
      <c r="A218" s="20">
        <v>7141</v>
      </c>
      <c r="B218" s="545" t="s">
        <v>648</v>
      </c>
      <c r="C218" s="546"/>
      <c r="D218" s="546"/>
      <c r="E218" s="546"/>
      <c r="F218" s="546"/>
      <c r="G218" s="546"/>
      <c r="H218" s="546"/>
      <c r="I218" s="547"/>
      <c r="J218" s="560"/>
      <c r="K218" s="561"/>
      <c r="L218" s="543"/>
      <c r="M218" s="544"/>
      <c r="N218" s="809"/>
      <c r="O218" s="810"/>
      <c r="P218" s="810"/>
      <c r="Q218" s="810"/>
      <c r="R218" s="810"/>
    </row>
    <row r="219" spans="1:18" s="2" customFormat="1" ht="25.5" customHeight="1" x14ac:dyDescent="0.25">
      <c r="A219" s="21">
        <v>7269</v>
      </c>
      <c r="B219" s="611" t="s">
        <v>2224</v>
      </c>
      <c r="C219" s="612"/>
      <c r="D219" s="612"/>
      <c r="E219" s="612"/>
      <c r="F219" s="612"/>
      <c r="G219" s="612"/>
      <c r="H219" s="612"/>
      <c r="I219" s="612"/>
      <c r="J219" s="612"/>
      <c r="K219" s="613"/>
      <c r="L219" s="537"/>
      <c r="M219" s="538"/>
      <c r="N219" s="548" t="str">
        <f>IF(L219&gt;=0,"This should be a negative number"," ")</f>
        <v>This should be a negative number</v>
      </c>
      <c r="O219" s="549"/>
      <c r="P219" s="549"/>
      <c r="Q219" s="549"/>
      <c r="R219" s="559"/>
    </row>
    <row r="220" spans="1:18" s="2" customFormat="1" ht="25.5" customHeight="1" x14ac:dyDescent="0.25">
      <c r="A220" s="20">
        <v>7410</v>
      </c>
      <c r="B220" s="534" t="s">
        <v>649</v>
      </c>
      <c r="C220" s="535"/>
      <c r="D220" s="535"/>
      <c r="E220" s="535"/>
      <c r="F220" s="535"/>
      <c r="G220" s="535"/>
      <c r="H220" s="535"/>
      <c r="I220" s="535"/>
      <c r="J220" s="535"/>
      <c r="K220" s="536"/>
      <c r="L220" s="560"/>
      <c r="M220" s="561"/>
      <c r="N220" s="548" t="str">
        <f>IF(L220&gt;=0,"This should be a negative number"," ")</f>
        <v>This should be a negative number</v>
      </c>
      <c r="O220" s="549"/>
      <c r="P220" s="549"/>
      <c r="Q220" s="549"/>
      <c r="R220" s="559"/>
    </row>
    <row r="221" spans="1:18" s="2" customFormat="1" ht="25.5" customHeight="1" x14ac:dyDescent="0.25">
      <c r="A221" s="20">
        <v>7570</v>
      </c>
      <c r="B221" s="531" t="s">
        <v>1530</v>
      </c>
      <c r="C221" s="532"/>
      <c r="D221" s="532"/>
      <c r="E221" s="532"/>
      <c r="F221" s="532"/>
      <c r="G221" s="532"/>
      <c r="H221" s="532"/>
      <c r="I221" s="533"/>
      <c r="J221" s="953"/>
      <c r="K221" s="954"/>
      <c r="L221" s="539"/>
      <c r="M221" s="540"/>
      <c r="N221" s="605" t="s">
        <v>1529</v>
      </c>
      <c r="O221" s="606"/>
      <c r="P221" s="606"/>
      <c r="Q221" s="606"/>
      <c r="R221" s="607"/>
    </row>
    <row r="222" spans="1:18" s="15" customFormat="1" ht="25.5" customHeight="1" x14ac:dyDescent="0.3">
      <c r="A222" s="21">
        <v>762</v>
      </c>
      <c r="B222" s="943" t="s">
        <v>650</v>
      </c>
      <c r="C222" s="944"/>
      <c r="D222" s="944"/>
      <c r="E222" s="944"/>
      <c r="F222" s="944"/>
      <c r="G222" s="944"/>
      <c r="H222" s="944"/>
      <c r="I222" s="944"/>
      <c r="J222" s="944"/>
      <c r="K222" s="945"/>
      <c r="L222" s="537"/>
      <c r="M222" s="538"/>
      <c r="N222" s="524" t="str">
        <f>IF(L222&gt;=0,"This should be a negative number"," ")</f>
        <v>This should be a negative number</v>
      </c>
      <c r="O222" s="525"/>
      <c r="P222" s="525"/>
      <c r="Q222" s="525"/>
      <c r="R222" s="526"/>
    </row>
    <row r="223" spans="1:18" s="2" customFormat="1" ht="25.5" customHeight="1" x14ac:dyDescent="0.25">
      <c r="A223" s="20">
        <v>7571</v>
      </c>
      <c r="B223" s="531" t="s">
        <v>651</v>
      </c>
      <c r="C223" s="532"/>
      <c r="D223" s="532"/>
      <c r="E223" s="532"/>
      <c r="F223" s="532"/>
      <c r="G223" s="532"/>
      <c r="H223" s="532"/>
      <c r="I223" s="533"/>
      <c r="J223" s="537"/>
      <c r="K223" s="538"/>
      <c r="L223" s="966" t="s">
        <v>652</v>
      </c>
      <c r="M223" s="957"/>
    </row>
    <row r="224" spans="1:18" s="15" customFormat="1" ht="25.5" customHeight="1" x14ac:dyDescent="0.3">
      <c r="A224" s="21">
        <v>7572</v>
      </c>
      <c r="B224" s="611" t="s">
        <v>653</v>
      </c>
      <c r="C224" s="612"/>
      <c r="D224" s="612"/>
      <c r="E224" s="612"/>
      <c r="F224" s="612"/>
      <c r="G224" s="612"/>
      <c r="H224" s="612"/>
      <c r="I224" s="613"/>
      <c r="J224" s="893">
        <f>L222-J223</f>
        <v>0</v>
      </c>
      <c r="K224" s="894"/>
      <c r="L224" s="967"/>
      <c r="M224" s="968"/>
    </row>
    <row r="225" spans="1:18" s="2" customFormat="1" ht="25.5" customHeight="1" x14ac:dyDescent="0.25">
      <c r="A225" s="20">
        <v>7573</v>
      </c>
      <c r="B225" s="948" t="s">
        <v>1921</v>
      </c>
      <c r="C225" s="929"/>
      <c r="D225" s="929"/>
      <c r="E225" s="929"/>
      <c r="F225" s="929"/>
      <c r="G225" s="930"/>
      <c r="H225" s="537"/>
      <c r="I225" s="538"/>
      <c r="J225" s="40"/>
      <c r="K225" s="41"/>
      <c r="L225" s="967"/>
      <c r="M225" s="968"/>
      <c r="N225" s="548" t="str">
        <f>IF(H225&gt;=0,"This should be a negative number"," ")</f>
        <v>This should be a negative number</v>
      </c>
      <c r="O225" s="549"/>
      <c r="P225" s="549"/>
      <c r="Q225" s="549"/>
      <c r="R225" s="559"/>
    </row>
    <row r="226" spans="1:18" s="2" customFormat="1" ht="25.5" customHeight="1" x14ac:dyDescent="0.25">
      <c r="A226" s="20">
        <v>7574</v>
      </c>
      <c r="B226" s="948" t="s">
        <v>1922</v>
      </c>
      <c r="C226" s="929"/>
      <c r="D226" s="929"/>
      <c r="E226" s="929"/>
      <c r="F226" s="929"/>
      <c r="G226" s="930"/>
      <c r="H226" s="893">
        <f>Code_7572-Code_7573</f>
        <v>0</v>
      </c>
      <c r="I226" s="894"/>
      <c r="J226" s="40"/>
      <c r="K226" s="41"/>
      <c r="L226" s="967"/>
      <c r="M226" s="968"/>
      <c r="N226" s="548" t="str">
        <f>IF(H225+H226=Code_7572,"","Please review.  This must equal "&amp;TEXT(Code_7572,"$0,000"))</f>
        <v/>
      </c>
      <c r="O226" s="549"/>
      <c r="P226" s="549"/>
      <c r="Q226" s="549"/>
      <c r="R226" s="559"/>
    </row>
    <row r="227" spans="1:18" s="2" customFormat="1" ht="25.5" customHeight="1" x14ac:dyDescent="0.25">
      <c r="A227" s="20">
        <v>7575</v>
      </c>
      <c r="B227" s="534" t="s">
        <v>654</v>
      </c>
      <c r="C227" s="535"/>
      <c r="D227" s="535"/>
      <c r="E227" s="535"/>
      <c r="F227" s="535"/>
      <c r="G227" s="535"/>
      <c r="H227" s="535"/>
      <c r="I227" s="536"/>
      <c r="J227" s="949"/>
      <c r="K227" s="950"/>
      <c r="L227" s="967"/>
      <c r="M227" s="968"/>
      <c r="N227" s="548" t="str">
        <f>IF(Code_7575&lt;0,"This should be greater than 0%"," ")</f>
        <v xml:space="preserve"> </v>
      </c>
      <c r="O227" s="549"/>
      <c r="P227" s="549"/>
      <c r="Q227" s="549"/>
      <c r="R227" s="559"/>
    </row>
    <row r="228" spans="1:18" s="2" customFormat="1" ht="25.5" customHeight="1" x14ac:dyDescent="0.25">
      <c r="A228" s="20">
        <v>7102</v>
      </c>
      <c r="B228" s="531" t="s">
        <v>655</v>
      </c>
      <c r="C228" s="532"/>
      <c r="D228" s="532"/>
      <c r="E228" s="532"/>
      <c r="F228" s="532"/>
      <c r="G228" s="532"/>
      <c r="H228" s="532"/>
      <c r="I228" s="533"/>
      <c r="J228" s="946">
        <f>L222-J229</f>
        <v>0</v>
      </c>
      <c r="K228" s="947"/>
      <c r="L228" s="967"/>
      <c r="M228" s="968"/>
    </row>
    <row r="229" spans="1:18" s="2" customFormat="1" ht="25.5" customHeight="1" x14ac:dyDescent="0.25">
      <c r="A229" s="20">
        <v>7103</v>
      </c>
      <c r="B229" s="531" t="s">
        <v>665</v>
      </c>
      <c r="C229" s="532"/>
      <c r="D229" s="532"/>
      <c r="E229" s="532"/>
      <c r="F229" s="532"/>
      <c r="G229" s="532"/>
      <c r="H229" s="532"/>
      <c r="I229" s="533"/>
      <c r="J229" s="946">
        <f>J325+J342+J371</f>
        <v>0</v>
      </c>
      <c r="K229" s="947"/>
      <c r="L229" s="969"/>
      <c r="M229" s="959"/>
    </row>
    <row r="230" spans="1:18" s="2" customFormat="1" ht="25.5" customHeight="1" x14ac:dyDescent="0.25">
      <c r="A230" s="20">
        <v>8100</v>
      </c>
      <c r="B230" s="534" t="s">
        <v>1936</v>
      </c>
      <c r="C230" s="535"/>
      <c r="D230" s="535"/>
      <c r="E230" s="535"/>
      <c r="F230" s="535"/>
      <c r="G230" s="535"/>
      <c r="H230" s="535"/>
      <c r="I230" s="535"/>
      <c r="J230" s="535"/>
      <c r="K230" s="536"/>
      <c r="L230" s="553">
        <f>Code_0739</f>
        <v>0</v>
      </c>
      <c r="M230" s="554"/>
      <c r="N230" s="951" t="str">
        <f>IF(L230&gt;=0,"This should be a negative number"," ")</f>
        <v>This should be a negative number</v>
      </c>
      <c r="O230" s="952"/>
      <c r="P230" s="952"/>
      <c r="Q230" s="952"/>
      <c r="R230" s="952"/>
    </row>
    <row r="231" spans="1:18" s="2" customFormat="1" ht="25.5" customHeight="1" x14ac:dyDescent="0.25">
      <c r="A231" s="20">
        <v>8101</v>
      </c>
      <c r="B231" s="531" t="s">
        <v>604</v>
      </c>
      <c r="C231" s="532"/>
      <c r="D231" s="532"/>
      <c r="E231" s="532"/>
      <c r="F231" s="532"/>
      <c r="G231" s="532"/>
      <c r="H231" s="532"/>
      <c r="I231" s="533"/>
      <c r="J231" s="553">
        <f>L230-J232</f>
        <v>0</v>
      </c>
      <c r="K231" s="554"/>
      <c r="L231" s="562"/>
      <c r="M231" s="563"/>
      <c r="N231" s="951" t="str">
        <f>IF(J231&gt;=0,"This should be a negative number"," ")</f>
        <v>This should be a negative number</v>
      </c>
      <c r="O231" s="952"/>
      <c r="P231" s="952"/>
      <c r="Q231" s="952"/>
      <c r="R231" s="952"/>
    </row>
    <row r="232" spans="1:18" s="2" customFormat="1" ht="25.5" customHeight="1" x14ac:dyDescent="0.25">
      <c r="A232" s="20">
        <v>8102</v>
      </c>
      <c r="B232" s="531" t="s">
        <v>605</v>
      </c>
      <c r="C232" s="532"/>
      <c r="D232" s="532"/>
      <c r="E232" s="532"/>
      <c r="F232" s="532"/>
      <c r="G232" s="532"/>
      <c r="H232" s="532"/>
      <c r="I232" s="533"/>
      <c r="J232" s="553">
        <f>J326+J343+J357+J372</f>
        <v>0</v>
      </c>
      <c r="K232" s="554"/>
      <c r="L232" s="564"/>
      <c r="M232" s="565"/>
      <c r="N232" s="951" t="str">
        <f>IF(J232&gt;=0,"This should be a negative number"," ")</f>
        <v>This should be a negative number</v>
      </c>
      <c r="O232" s="952"/>
      <c r="P232" s="952"/>
      <c r="Q232" s="952"/>
      <c r="R232" s="952"/>
    </row>
    <row r="233" spans="1:18" s="2" customFormat="1" ht="25.5" customHeight="1" x14ac:dyDescent="0.25">
      <c r="A233" s="20">
        <v>751</v>
      </c>
      <c r="B233" s="811" t="s">
        <v>666</v>
      </c>
      <c r="C233" s="535"/>
      <c r="D233" s="535"/>
      <c r="E233" s="535"/>
      <c r="F233" s="535"/>
      <c r="G233" s="535"/>
      <c r="H233" s="535"/>
      <c r="I233" s="535"/>
      <c r="J233" s="535"/>
      <c r="K233" s="536"/>
      <c r="L233" s="553">
        <f>L234-L206-L213-L216-L219-L220-L222-L230</f>
        <v>0</v>
      </c>
      <c r="M233" s="554"/>
      <c r="N233" s="548" t="str">
        <f>IF(L233&gt;=0,"This should be a negative number"," ")</f>
        <v>This should be a negative number</v>
      </c>
      <c r="O233" s="549"/>
      <c r="P233" s="549"/>
      <c r="Q233" s="549"/>
      <c r="R233" s="559"/>
    </row>
    <row r="234" spans="1:18" s="15" customFormat="1" ht="25.5" customHeight="1" x14ac:dyDescent="0.3">
      <c r="A234" s="21">
        <v>760</v>
      </c>
      <c r="B234" s="611" t="s">
        <v>1120</v>
      </c>
      <c r="C234" s="612"/>
      <c r="D234" s="612"/>
      <c r="E234" s="612"/>
      <c r="F234" s="612"/>
      <c r="G234" s="612"/>
      <c r="H234" s="612"/>
      <c r="I234" s="612"/>
      <c r="J234" s="612"/>
      <c r="K234" s="613"/>
      <c r="L234" s="893">
        <f>Code_8063</f>
        <v>0</v>
      </c>
      <c r="M234" s="894"/>
      <c r="N234" s="524" t="str">
        <f>IF(L234&gt;=0,"This should be a negative number"," ")</f>
        <v>This should be a negative number</v>
      </c>
      <c r="O234" s="525"/>
      <c r="P234" s="525"/>
      <c r="Q234" s="525"/>
      <c r="R234" s="526"/>
    </row>
    <row r="235" spans="1:18" s="2" customFormat="1" ht="25.5" customHeight="1" x14ac:dyDescent="0.25">
      <c r="A235" s="20">
        <v>7125</v>
      </c>
      <c r="B235" s="531" t="s">
        <v>667</v>
      </c>
      <c r="C235" s="532"/>
      <c r="D235" s="532"/>
      <c r="E235" s="532"/>
      <c r="F235" s="532"/>
      <c r="G235" s="532"/>
      <c r="H235" s="532"/>
      <c r="I235" s="533"/>
      <c r="J235" s="946">
        <f>L234-J236</f>
        <v>0</v>
      </c>
      <c r="K235" s="947"/>
      <c r="L235" s="1213"/>
      <c r="M235" s="1214"/>
    </row>
    <row r="236" spans="1:18" s="2" customFormat="1" ht="25.5" customHeight="1" x14ac:dyDescent="0.25">
      <c r="A236" s="20">
        <v>7126</v>
      </c>
      <c r="B236" s="531" t="s">
        <v>668</v>
      </c>
      <c r="C236" s="532"/>
      <c r="D236" s="532"/>
      <c r="E236" s="532"/>
      <c r="F236" s="532"/>
      <c r="G236" s="532"/>
      <c r="H236" s="532"/>
      <c r="I236" s="533"/>
      <c r="J236" s="946">
        <f>L322+L339+L354+L368</f>
        <v>0</v>
      </c>
      <c r="K236" s="947"/>
      <c r="L236" s="1215"/>
      <c r="M236" s="1216"/>
    </row>
    <row r="237" spans="1:18" s="340" customFormat="1" ht="25.5" customHeight="1" x14ac:dyDescent="0.25">
      <c r="A237" s="47">
        <v>744</v>
      </c>
      <c r="B237" s="608" t="s">
        <v>1919</v>
      </c>
      <c r="C237" s="609"/>
      <c r="D237" s="609"/>
      <c r="E237" s="609"/>
      <c r="F237" s="609"/>
      <c r="G237" s="609"/>
      <c r="H237" s="609"/>
      <c r="I237" s="610"/>
      <c r="J237" s="946">
        <f>SUM(Code_7136,Code_7138)</f>
        <v>0</v>
      </c>
      <c r="K237" s="947"/>
      <c r="L237" s="1215"/>
      <c r="M237" s="1216"/>
      <c r="N237" s="1210"/>
      <c r="O237" s="1211"/>
      <c r="P237" s="1211"/>
      <c r="Q237" s="1211"/>
      <c r="R237" s="1212"/>
    </row>
    <row r="238" spans="1:18" s="2" customFormat="1" ht="25.5" customHeight="1" x14ac:dyDescent="0.25">
      <c r="A238" s="47">
        <v>743</v>
      </c>
      <c r="B238" s="608" t="s">
        <v>1920</v>
      </c>
      <c r="C238" s="609"/>
      <c r="D238" s="609"/>
      <c r="E238" s="609"/>
      <c r="F238" s="609"/>
      <c r="G238" s="609"/>
      <c r="H238" s="609"/>
      <c r="I238" s="610"/>
      <c r="J238" s="946">
        <f>SUM(Code_7139,Code_7141)</f>
        <v>0</v>
      </c>
      <c r="K238" s="947"/>
      <c r="L238" s="1217"/>
      <c r="M238" s="1218"/>
      <c r="N238" s="548"/>
      <c r="O238" s="549"/>
      <c r="P238" s="549"/>
      <c r="Q238" s="549"/>
      <c r="R238" s="559"/>
    </row>
    <row r="239" spans="1:18" s="2" customFormat="1" ht="25.5" customHeight="1" x14ac:dyDescent="0.25">
      <c r="A239" s="527" t="s">
        <v>734</v>
      </c>
      <c r="B239" s="527"/>
      <c r="C239" s="527"/>
      <c r="D239" s="527"/>
      <c r="E239" s="527"/>
      <c r="F239" s="527"/>
      <c r="G239" s="527"/>
      <c r="H239" s="527"/>
      <c r="I239" s="527"/>
      <c r="J239" s="527"/>
      <c r="K239" s="528"/>
      <c r="L239" s="636" t="s">
        <v>3614</v>
      </c>
      <c r="M239" s="636"/>
    </row>
    <row r="240" spans="1:18" s="2" customFormat="1" ht="25.5" customHeight="1" x14ac:dyDescent="0.25">
      <c r="A240" s="20">
        <v>752</v>
      </c>
      <c r="B240" s="531" t="s">
        <v>594</v>
      </c>
      <c r="C240" s="532"/>
      <c r="D240" s="532"/>
      <c r="E240" s="532"/>
      <c r="F240" s="532"/>
      <c r="G240" s="532"/>
      <c r="H240" s="532"/>
      <c r="I240" s="532"/>
      <c r="J240" s="532"/>
      <c r="K240" s="533"/>
      <c r="L240" s="553" t="e">
        <f>ROUND((Code_0851/Code_0860)*Code_0760,0)</f>
        <v>#DIV/0!</v>
      </c>
      <c r="M240" s="554"/>
    </row>
    <row r="241" spans="1:18" s="2" customFormat="1" ht="25.5" customHeight="1" x14ac:dyDescent="0.25">
      <c r="A241" s="20">
        <v>754</v>
      </c>
      <c r="B241" s="531" t="s">
        <v>595</v>
      </c>
      <c r="C241" s="532"/>
      <c r="D241" s="532"/>
      <c r="E241" s="532"/>
      <c r="F241" s="532"/>
      <c r="G241" s="532"/>
      <c r="H241" s="532"/>
      <c r="I241" s="532"/>
      <c r="J241" s="532"/>
      <c r="K241" s="533"/>
      <c r="L241" s="553" t="e">
        <f>ROUND((Code_0853/Code_0860)*Code_0760,0)</f>
        <v>#DIV/0!</v>
      </c>
      <c r="M241" s="554"/>
    </row>
    <row r="242" spans="1:18" s="2" customFormat="1" ht="25.5" customHeight="1" x14ac:dyDescent="0.3">
      <c r="A242" s="15" t="e">
        <f>$A$33</f>
        <v>#N/A</v>
      </c>
    </row>
    <row r="243" spans="1:18" s="2" customFormat="1" ht="25.5" customHeight="1" x14ac:dyDescent="0.25">
      <c r="A243" s="527" t="s">
        <v>735</v>
      </c>
      <c r="B243" s="527"/>
      <c r="C243" s="527"/>
      <c r="D243" s="527"/>
      <c r="E243" s="527"/>
      <c r="F243" s="527"/>
      <c r="G243" s="527"/>
      <c r="H243" s="527"/>
      <c r="I243" s="527"/>
      <c r="J243" s="527"/>
      <c r="K243" s="528"/>
      <c r="L243" s="636" t="s">
        <v>3614</v>
      </c>
      <c r="M243" s="636"/>
    </row>
    <row r="244" spans="1:18" s="2" customFormat="1" ht="25.5" customHeight="1" x14ac:dyDescent="0.25">
      <c r="A244" s="20">
        <v>601</v>
      </c>
      <c r="B244" s="531" t="s">
        <v>596</v>
      </c>
      <c r="C244" s="532"/>
      <c r="D244" s="532"/>
      <c r="E244" s="532"/>
      <c r="F244" s="532"/>
      <c r="G244" s="532"/>
      <c r="H244" s="532"/>
      <c r="I244" s="532"/>
      <c r="J244" s="532"/>
      <c r="K244" s="533"/>
      <c r="L244" s="560"/>
      <c r="M244" s="561"/>
    </row>
    <row r="245" spans="1:18" s="2" customFormat="1" ht="25.5" customHeight="1" x14ac:dyDescent="0.25">
      <c r="A245" s="20">
        <v>602</v>
      </c>
      <c r="B245" s="531" t="s">
        <v>597</v>
      </c>
      <c r="C245" s="532"/>
      <c r="D245" s="532"/>
      <c r="E245" s="532"/>
      <c r="F245" s="532"/>
      <c r="G245" s="532"/>
      <c r="H245" s="532"/>
      <c r="I245" s="532"/>
      <c r="J245" s="532"/>
      <c r="K245" s="533"/>
      <c r="L245" s="560"/>
      <c r="M245" s="561"/>
    </row>
    <row r="246" spans="1:18" s="2" customFormat="1" ht="25.5" customHeight="1" x14ac:dyDescent="0.25">
      <c r="A246" s="20">
        <v>604</v>
      </c>
      <c r="B246" s="531" t="s">
        <v>598</v>
      </c>
      <c r="C246" s="532"/>
      <c r="D246" s="532"/>
      <c r="E246" s="532"/>
      <c r="F246" s="532"/>
      <c r="G246" s="532"/>
      <c r="H246" s="532"/>
      <c r="I246" s="532"/>
      <c r="J246" s="532"/>
      <c r="K246" s="533"/>
      <c r="L246" s="560"/>
      <c r="M246" s="561"/>
    </row>
    <row r="247" spans="1:18" s="2" customFormat="1" ht="25.5" customHeight="1" x14ac:dyDescent="0.25">
      <c r="A247" s="20">
        <v>608</v>
      </c>
      <c r="B247" s="531" t="s">
        <v>599</v>
      </c>
      <c r="C247" s="532"/>
      <c r="D247" s="532"/>
      <c r="E247" s="532"/>
      <c r="F247" s="532"/>
      <c r="G247" s="532"/>
      <c r="H247" s="532"/>
      <c r="I247" s="532"/>
      <c r="J247" s="532"/>
      <c r="K247" s="533"/>
      <c r="L247" s="560"/>
      <c r="M247" s="561"/>
    </row>
    <row r="248" spans="1:18" s="2" customFormat="1" ht="25.5" customHeight="1" x14ac:dyDescent="0.25">
      <c r="A248" s="20">
        <v>615</v>
      </c>
      <c r="B248" s="531" t="s">
        <v>600</v>
      </c>
      <c r="C248" s="532"/>
      <c r="D248" s="532"/>
      <c r="E248" s="532"/>
      <c r="F248" s="532"/>
      <c r="G248" s="532"/>
      <c r="H248" s="532"/>
      <c r="I248" s="532"/>
      <c r="J248" s="532"/>
      <c r="K248" s="533"/>
      <c r="L248" s="560"/>
      <c r="M248" s="561"/>
    </row>
    <row r="249" spans="1:18" s="2" customFormat="1" ht="25.5" customHeight="1" x14ac:dyDescent="0.25">
      <c r="A249" s="20">
        <v>616</v>
      </c>
      <c r="B249" s="531" t="s">
        <v>601</v>
      </c>
      <c r="C249" s="532"/>
      <c r="D249" s="532"/>
      <c r="E249" s="532"/>
      <c r="F249" s="532"/>
      <c r="G249" s="532"/>
      <c r="H249" s="532"/>
      <c r="I249" s="532"/>
      <c r="J249" s="532"/>
      <c r="K249" s="533"/>
      <c r="L249" s="560"/>
      <c r="M249" s="561"/>
    </row>
    <row r="250" spans="1:18" s="2" customFormat="1" ht="25.5" customHeight="1" x14ac:dyDescent="0.25">
      <c r="A250" s="20">
        <v>618</v>
      </c>
      <c r="B250" s="531" t="s">
        <v>602</v>
      </c>
      <c r="C250" s="532"/>
      <c r="D250" s="532"/>
      <c r="E250" s="532"/>
      <c r="F250" s="532"/>
      <c r="G250" s="532"/>
      <c r="H250" s="532"/>
      <c r="I250" s="532"/>
      <c r="J250" s="532"/>
      <c r="K250" s="533"/>
      <c r="L250" s="560"/>
      <c r="M250" s="561"/>
    </row>
    <row r="251" spans="1:18" s="2" customFormat="1" ht="25.5" customHeight="1" x14ac:dyDescent="0.25">
      <c r="A251" s="20">
        <v>625</v>
      </c>
      <c r="B251" s="531" t="s">
        <v>606</v>
      </c>
      <c r="C251" s="532"/>
      <c r="D251" s="532"/>
      <c r="E251" s="532"/>
      <c r="F251" s="532"/>
      <c r="G251" s="532"/>
      <c r="H251" s="532"/>
      <c r="I251" s="532"/>
      <c r="J251" s="532"/>
      <c r="K251" s="533"/>
      <c r="L251" s="560"/>
      <c r="M251" s="561"/>
    </row>
    <row r="252" spans="1:18" s="2" customFormat="1" ht="25.5" customHeight="1" x14ac:dyDescent="0.25">
      <c r="A252" s="20">
        <v>622</v>
      </c>
      <c r="B252" s="531" t="s">
        <v>607</v>
      </c>
      <c r="C252" s="532"/>
      <c r="D252" s="532"/>
      <c r="E252" s="532"/>
      <c r="F252" s="532"/>
      <c r="G252" s="532"/>
      <c r="H252" s="532"/>
      <c r="I252" s="532"/>
      <c r="J252" s="532"/>
      <c r="K252" s="533"/>
      <c r="L252" s="560"/>
      <c r="M252" s="561"/>
    </row>
    <row r="253" spans="1:18" s="2" customFormat="1" ht="25.5" customHeight="1" x14ac:dyDescent="0.25">
      <c r="A253" s="20">
        <v>623</v>
      </c>
      <c r="B253" s="531" t="s">
        <v>608</v>
      </c>
      <c r="C253" s="532"/>
      <c r="D253" s="532"/>
      <c r="E253" s="532"/>
      <c r="F253" s="532"/>
      <c r="G253" s="532"/>
      <c r="H253" s="532"/>
      <c r="I253" s="532"/>
      <c r="J253" s="532"/>
      <c r="K253" s="533"/>
      <c r="L253" s="560"/>
      <c r="M253" s="561"/>
    </row>
    <row r="254" spans="1:18" s="2" customFormat="1" ht="25.5" customHeight="1" x14ac:dyDescent="0.25">
      <c r="A254" s="20">
        <v>619</v>
      </c>
      <c r="B254" s="531" t="s">
        <v>609</v>
      </c>
      <c r="C254" s="532"/>
      <c r="D254" s="532"/>
      <c r="E254" s="532"/>
      <c r="F254" s="532"/>
      <c r="G254" s="532"/>
      <c r="H254" s="532"/>
      <c r="I254" s="532"/>
      <c r="J254" s="532"/>
      <c r="K254" s="533"/>
      <c r="L254" s="553">
        <f>L255-SUM(L244:M250,L251:M253)</f>
        <v>0</v>
      </c>
      <c r="M254" s="554"/>
    </row>
    <row r="255" spans="1:18" s="2" customFormat="1" ht="25.5" customHeight="1" x14ac:dyDescent="0.25">
      <c r="A255" s="21">
        <v>600</v>
      </c>
      <c r="B255" s="611" t="s">
        <v>610</v>
      </c>
      <c r="C255" s="612"/>
      <c r="D255" s="612"/>
      <c r="E255" s="612"/>
      <c r="F255" s="612"/>
      <c r="G255" s="612"/>
      <c r="H255" s="612"/>
      <c r="I255" s="612"/>
      <c r="J255" s="612"/>
      <c r="K255" s="613"/>
      <c r="L255" s="553">
        <f>L112</f>
        <v>0</v>
      </c>
      <c r="M255" s="554"/>
      <c r="N255" s="551" t="str">
        <f>IF(L255&lt;0,"This should be a positive number"," ")</f>
        <v xml:space="preserve"> </v>
      </c>
      <c r="O255" s="552"/>
      <c r="P255" s="552"/>
      <c r="Q255" s="552"/>
      <c r="R255" s="598"/>
    </row>
    <row r="256" spans="1:18" s="2" customFormat="1" ht="25.5" customHeight="1" x14ac:dyDescent="0.25">
      <c r="A256" s="42"/>
    </row>
    <row r="257" spans="1:18" s="2" customFormat="1" ht="25.5" customHeight="1" x14ac:dyDescent="0.25">
      <c r="A257" s="700" t="s">
        <v>611</v>
      </c>
      <c r="B257" s="701"/>
      <c r="C257" s="701"/>
      <c r="D257" s="701"/>
      <c r="E257" s="701"/>
      <c r="F257" s="701"/>
      <c r="G257" s="701"/>
      <c r="H257" s="701"/>
      <c r="I257" s="701"/>
      <c r="J257" s="701"/>
      <c r="K257" s="701"/>
      <c r="L257" s="701"/>
      <c r="M257" s="701"/>
    </row>
    <row r="258" spans="1:18" s="2" customFormat="1" ht="25.5" customHeight="1" x14ac:dyDescent="0.25">
      <c r="A258" s="581" t="s">
        <v>1867</v>
      </c>
      <c r="B258" s="527"/>
      <c r="C258" s="527"/>
      <c r="D258" s="527"/>
      <c r="E258" s="527"/>
      <c r="F258" s="527"/>
      <c r="G258" s="527"/>
      <c r="H258" s="527"/>
      <c r="I258" s="527"/>
      <c r="J258" s="527"/>
      <c r="K258" s="528"/>
      <c r="L258" s="636" t="s">
        <v>3614</v>
      </c>
      <c r="M258" s="636"/>
    </row>
    <row r="259" spans="1:18" s="2" customFormat="1" ht="25.5" customHeight="1" x14ac:dyDescent="0.25">
      <c r="A259" s="21">
        <v>7567</v>
      </c>
      <c r="B259" s="811" t="s">
        <v>1121</v>
      </c>
      <c r="C259" s="535"/>
      <c r="D259" s="535"/>
      <c r="E259" s="535"/>
      <c r="F259" s="535"/>
      <c r="G259" s="535"/>
      <c r="H259" s="535"/>
      <c r="I259" s="535"/>
      <c r="J259" s="535"/>
      <c r="K259" s="536"/>
      <c r="L259" s="893">
        <f>J260+J261</f>
        <v>0</v>
      </c>
      <c r="M259" s="894"/>
      <c r="N259" s="548" t="str">
        <f>IF(L259&lt;&gt;Code_9999,"This should be different than Provision for Bad Debts"," ")</f>
        <v xml:space="preserve"> </v>
      </c>
      <c r="O259" s="549"/>
      <c r="P259" s="549"/>
      <c r="Q259" s="549"/>
      <c r="R259" s="559"/>
    </row>
    <row r="260" spans="1:18" s="2" customFormat="1" ht="25.5" customHeight="1" x14ac:dyDescent="0.25">
      <c r="A260" s="20">
        <v>7568</v>
      </c>
      <c r="B260" s="531" t="s">
        <v>613</v>
      </c>
      <c r="C260" s="532"/>
      <c r="D260" s="532"/>
      <c r="E260" s="532"/>
      <c r="F260" s="532"/>
      <c r="G260" s="532"/>
      <c r="H260" s="532"/>
      <c r="I260" s="533"/>
      <c r="J260" s="560"/>
      <c r="K260" s="561"/>
      <c r="L260" s="562"/>
      <c r="M260" s="563"/>
    </row>
    <row r="261" spans="1:18" s="2" customFormat="1" ht="25.5" customHeight="1" x14ac:dyDescent="0.25">
      <c r="A261" s="20">
        <v>7569</v>
      </c>
      <c r="B261" s="531" t="s">
        <v>614</v>
      </c>
      <c r="C261" s="532"/>
      <c r="D261" s="532"/>
      <c r="E261" s="532"/>
      <c r="F261" s="532"/>
      <c r="G261" s="532"/>
      <c r="H261" s="532"/>
      <c r="I261" s="533"/>
      <c r="J261" s="560"/>
      <c r="K261" s="561"/>
      <c r="L261" s="564"/>
      <c r="M261" s="565"/>
    </row>
    <row r="262" spans="1:18" s="2" customFormat="1" ht="25.5" customHeight="1" x14ac:dyDescent="0.3">
      <c r="A262" s="15" t="e">
        <f>$A$33</f>
        <v>#N/A</v>
      </c>
    </row>
    <row r="263" spans="1:18" s="2" customFormat="1" ht="25.5" customHeight="1" x14ac:dyDescent="0.25">
      <c r="A263" s="700" t="s">
        <v>615</v>
      </c>
      <c r="B263" s="701"/>
      <c r="C263" s="701"/>
      <c r="D263" s="701"/>
      <c r="E263" s="701"/>
      <c r="F263" s="701"/>
      <c r="G263" s="701"/>
      <c r="H263" s="701"/>
      <c r="I263" s="701"/>
      <c r="J263" s="701"/>
      <c r="K263" s="701"/>
      <c r="L263" s="701"/>
      <c r="M263" s="701"/>
      <c r="N263" s="236"/>
      <c r="O263" s="236"/>
      <c r="P263" s="236"/>
      <c r="Q263" s="236"/>
      <c r="R263" s="237"/>
    </row>
    <row r="264" spans="1:18" s="2" customFormat="1" ht="25.5" customHeight="1" x14ac:dyDescent="0.25">
      <c r="A264" s="700" t="s">
        <v>433</v>
      </c>
      <c r="B264" s="701"/>
      <c r="C264" s="701"/>
      <c r="D264" s="701"/>
      <c r="E264" s="701"/>
      <c r="F264" s="701"/>
      <c r="G264" s="701"/>
      <c r="H264" s="701"/>
      <c r="I264" s="701"/>
      <c r="J264" s="701"/>
      <c r="K264" s="701"/>
      <c r="L264" s="701"/>
      <c r="M264" s="701"/>
      <c r="N264" s="236"/>
      <c r="O264" s="236"/>
      <c r="P264" s="236"/>
      <c r="Q264" s="236"/>
      <c r="R264" s="237"/>
    </row>
    <row r="265" spans="1:18" s="2" customFormat="1" ht="25.5" customHeight="1" x14ac:dyDescent="0.25">
      <c r="A265" s="581" t="s">
        <v>1868</v>
      </c>
      <c r="B265" s="527"/>
      <c r="C265" s="527"/>
      <c r="D265" s="527"/>
      <c r="E265" s="527"/>
      <c r="F265" s="527"/>
      <c r="G265" s="527"/>
      <c r="H265" s="527"/>
      <c r="I265" s="527"/>
      <c r="J265" s="527"/>
      <c r="K265" s="528"/>
      <c r="L265" s="684" t="s">
        <v>3614</v>
      </c>
      <c r="M265" s="870"/>
      <c r="N265" s="604" t="s">
        <v>1653</v>
      </c>
      <c r="O265" s="604"/>
      <c r="P265" s="604"/>
      <c r="Q265" s="604"/>
      <c r="R265" s="603" t="s">
        <v>1424</v>
      </c>
    </row>
    <row r="266" spans="1:18" s="2" customFormat="1" ht="25.5" customHeight="1" x14ac:dyDescent="0.25">
      <c r="A266" s="20">
        <v>632</v>
      </c>
      <c r="B266" s="531" t="s">
        <v>434</v>
      </c>
      <c r="C266" s="532"/>
      <c r="D266" s="532"/>
      <c r="E266" s="532"/>
      <c r="F266" s="532"/>
      <c r="G266" s="532"/>
      <c r="H266" s="532"/>
      <c r="I266" s="532"/>
      <c r="J266" s="532"/>
      <c r="K266" s="533"/>
      <c r="L266" s="941"/>
      <c r="M266" s="942"/>
      <c r="N266" s="627" t="str">
        <f>IF(OR(AND(ISBLANK(L572),S572&lt;50), AND(NOT(ISBLANK(L572)),L572&lt;50)),"Based on your hospital's licensed bed size, you are NOT required to complete the detail lines of Administrative Expenses.","")</f>
        <v/>
      </c>
      <c r="O266" s="628"/>
      <c r="P266" s="628"/>
      <c r="Q266" s="628"/>
      <c r="R266" s="603"/>
    </row>
    <row r="267" spans="1:18" s="2" customFormat="1" ht="25.5" customHeight="1" x14ac:dyDescent="0.25">
      <c r="A267" s="20">
        <v>634</v>
      </c>
      <c r="B267" s="531" t="s">
        <v>435</v>
      </c>
      <c r="C267" s="532"/>
      <c r="D267" s="532"/>
      <c r="E267" s="532"/>
      <c r="F267" s="532"/>
      <c r="G267" s="532"/>
      <c r="H267" s="532"/>
      <c r="I267" s="532"/>
      <c r="J267" s="532"/>
      <c r="K267" s="533"/>
      <c r="L267" s="941"/>
      <c r="M267" s="942"/>
      <c r="N267" s="627"/>
      <c r="O267" s="628"/>
      <c r="P267" s="628"/>
      <c r="Q267" s="628"/>
      <c r="R267" s="603"/>
    </row>
    <row r="268" spans="1:18" s="2" customFormat="1" ht="25.5" customHeight="1" x14ac:dyDescent="0.25">
      <c r="A268" s="20">
        <v>635</v>
      </c>
      <c r="B268" s="531" t="s">
        <v>436</v>
      </c>
      <c r="C268" s="532"/>
      <c r="D268" s="532"/>
      <c r="E268" s="532"/>
      <c r="F268" s="532"/>
      <c r="G268" s="532"/>
      <c r="H268" s="532"/>
      <c r="I268" s="532"/>
      <c r="J268" s="532"/>
      <c r="K268" s="533"/>
      <c r="L268" s="941"/>
      <c r="M268" s="942"/>
      <c r="N268" s="627"/>
      <c r="O268" s="628"/>
      <c r="P268" s="628"/>
      <c r="Q268" s="628"/>
      <c r="R268" s="603"/>
    </row>
    <row r="269" spans="1:18" s="2" customFormat="1" ht="25.5" customHeight="1" x14ac:dyDescent="0.25">
      <c r="A269" s="20">
        <v>636</v>
      </c>
      <c r="B269" s="531" t="s">
        <v>437</v>
      </c>
      <c r="C269" s="532"/>
      <c r="D269" s="532"/>
      <c r="E269" s="532"/>
      <c r="F269" s="532"/>
      <c r="G269" s="532"/>
      <c r="H269" s="532"/>
      <c r="I269" s="532"/>
      <c r="J269" s="532"/>
      <c r="K269" s="533"/>
      <c r="L269" s="941"/>
      <c r="M269" s="942"/>
      <c r="N269" s="627"/>
      <c r="O269" s="628"/>
      <c r="P269" s="628"/>
      <c r="Q269" s="628"/>
      <c r="R269" s="603"/>
    </row>
    <row r="270" spans="1:18" s="2" customFormat="1" ht="25.5" customHeight="1" x14ac:dyDescent="0.25">
      <c r="A270" s="20">
        <v>639</v>
      </c>
      <c r="B270" s="531" t="s">
        <v>438</v>
      </c>
      <c r="C270" s="532"/>
      <c r="D270" s="532"/>
      <c r="E270" s="532"/>
      <c r="F270" s="532"/>
      <c r="G270" s="532"/>
      <c r="H270" s="532"/>
      <c r="I270" s="532"/>
      <c r="J270" s="532"/>
      <c r="K270" s="533"/>
      <c r="L270" s="941"/>
      <c r="M270" s="942"/>
      <c r="N270" s="627"/>
      <c r="O270" s="628"/>
      <c r="P270" s="628"/>
      <c r="Q270" s="628"/>
      <c r="R270" s="603"/>
    </row>
    <row r="271" spans="1:18" s="2" customFormat="1" ht="25.5" customHeight="1" x14ac:dyDescent="0.25">
      <c r="A271" s="20">
        <v>647</v>
      </c>
      <c r="B271" s="531" t="s">
        <v>439</v>
      </c>
      <c r="C271" s="532"/>
      <c r="D271" s="532"/>
      <c r="E271" s="532"/>
      <c r="F271" s="532"/>
      <c r="G271" s="532"/>
      <c r="H271" s="532"/>
      <c r="I271" s="532"/>
      <c r="J271" s="532"/>
      <c r="K271" s="533"/>
      <c r="L271" s="941"/>
      <c r="M271" s="942"/>
      <c r="N271" s="627"/>
      <c r="O271" s="628"/>
      <c r="P271" s="628"/>
      <c r="Q271" s="628"/>
      <c r="R271" s="603"/>
    </row>
    <row r="272" spans="1:18" s="2" customFormat="1" ht="25.5" customHeight="1" x14ac:dyDescent="0.25">
      <c r="A272" s="20">
        <v>648</v>
      </c>
      <c r="B272" s="531" t="s">
        <v>440</v>
      </c>
      <c r="C272" s="532"/>
      <c r="D272" s="532"/>
      <c r="E272" s="532"/>
      <c r="F272" s="532"/>
      <c r="G272" s="532"/>
      <c r="H272" s="532"/>
      <c r="I272" s="532"/>
      <c r="J272" s="532"/>
      <c r="K272" s="533"/>
      <c r="L272" s="941"/>
      <c r="M272" s="942"/>
      <c r="N272" s="627"/>
      <c r="O272" s="628"/>
      <c r="P272" s="628"/>
      <c r="Q272" s="628"/>
      <c r="R272" s="603"/>
    </row>
    <row r="273" spans="1:18" s="2" customFormat="1" ht="25.5" customHeight="1" x14ac:dyDescent="0.25">
      <c r="A273" s="20">
        <v>641</v>
      </c>
      <c r="B273" s="531" t="s">
        <v>441</v>
      </c>
      <c r="C273" s="532"/>
      <c r="D273" s="532"/>
      <c r="E273" s="532"/>
      <c r="F273" s="532"/>
      <c r="G273" s="532"/>
      <c r="H273" s="532"/>
      <c r="I273" s="532"/>
      <c r="J273" s="532"/>
      <c r="K273" s="533"/>
      <c r="L273" s="860">
        <f>IF(AND(ISBLANK(L266),ISBLANK(L267),ISBLANK(L268),ISBLANK(L269),ISBLANK(L270),ISBLANK(L271),ISBLANK(L272)),,L274-SUM(L266:M272))</f>
        <v>0</v>
      </c>
      <c r="M273" s="861"/>
      <c r="N273" s="627"/>
      <c r="O273" s="628"/>
      <c r="P273" s="628"/>
      <c r="Q273" s="628"/>
      <c r="R273" s="603"/>
    </row>
    <row r="274" spans="1:18" s="2" customFormat="1" ht="25.5" customHeight="1" x14ac:dyDescent="0.25">
      <c r="A274" s="21">
        <v>630</v>
      </c>
      <c r="B274" s="943" t="s">
        <v>442</v>
      </c>
      <c r="C274" s="944"/>
      <c r="D274" s="944"/>
      <c r="E274" s="944"/>
      <c r="F274" s="944"/>
      <c r="G274" s="944"/>
      <c r="H274" s="944"/>
      <c r="I274" s="944"/>
      <c r="J274" s="944"/>
      <c r="K274" s="945"/>
      <c r="L274" s="537"/>
      <c r="M274" s="538"/>
      <c r="N274" s="1"/>
      <c r="O274" s="1"/>
      <c r="P274" s="1"/>
      <c r="Q274" s="1"/>
      <c r="R274" s="603"/>
    </row>
    <row r="275" spans="1:18" s="2" customFormat="1" ht="25.5" customHeight="1" x14ac:dyDescent="0.25">
      <c r="A275" s="38"/>
      <c r="B275" s="43"/>
      <c r="C275" s="43"/>
      <c r="D275" s="43"/>
      <c r="E275" s="43"/>
      <c r="F275" s="43"/>
      <c r="G275" s="43"/>
      <c r="H275" s="43"/>
      <c r="I275" s="43"/>
      <c r="J275" s="43"/>
      <c r="K275" s="43"/>
      <c r="L275" s="278"/>
      <c r="M275" s="278"/>
      <c r="N275" s="1"/>
      <c r="O275" s="1"/>
      <c r="P275" s="1"/>
      <c r="Q275" s="1"/>
      <c r="R275" s="603"/>
    </row>
    <row r="276" spans="1:18" s="2" customFormat="1" ht="25.5" customHeight="1" x14ac:dyDescent="0.25">
      <c r="A276" s="700" t="s">
        <v>615</v>
      </c>
      <c r="B276" s="701"/>
      <c r="C276" s="701"/>
      <c r="D276" s="701"/>
      <c r="E276" s="701"/>
      <c r="F276" s="701"/>
      <c r="G276" s="701"/>
      <c r="H276" s="701"/>
      <c r="I276" s="701"/>
      <c r="J276" s="701"/>
      <c r="K276" s="701"/>
      <c r="L276" s="701"/>
      <c r="M276" s="701"/>
      <c r="N276" s="1"/>
      <c r="O276" s="1"/>
      <c r="P276" s="1"/>
      <c r="Q276" s="1"/>
      <c r="R276" s="603"/>
    </row>
    <row r="277" spans="1:18" s="2" customFormat="1" ht="25.5" customHeight="1" x14ac:dyDescent="0.25">
      <c r="A277" s="581" t="s">
        <v>1869</v>
      </c>
      <c r="B277" s="527"/>
      <c r="C277" s="527"/>
      <c r="D277" s="527"/>
      <c r="E277" s="527"/>
      <c r="F277" s="527"/>
      <c r="G277" s="527"/>
      <c r="H277" s="527"/>
      <c r="I277" s="527"/>
      <c r="J277" s="527"/>
      <c r="K277" s="528"/>
      <c r="L277" s="636" t="s">
        <v>3614</v>
      </c>
      <c r="M277" s="636"/>
      <c r="N277" s="1"/>
      <c r="O277" s="1"/>
      <c r="P277" s="1"/>
      <c r="Q277" s="1"/>
      <c r="R277" s="603"/>
    </row>
    <row r="278" spans="1:18" s="2" customFormat="1" ht="25.5" customHeight="1" x14ac:dyDescent="0.25">
      <c r="A278" s="20">
        <v>637</v>
      </c>
      <c r="B278" s="534" t="s">
        <v>443</v>
      </c>
      <c r="C278" s="535"/>
      <c r="D278" s="535"/>
      <c r="E278" s="535"/>
      <c r="F278" s="535"/>
      <c r="G278" s="535"/>
      <c r="H278" s="535"/>
      <c r="I278" s="535"/>
      <c r="J278" s="535"/>
      <c r="K278" s="536"/>
      <c r="L278" s="560"/>
      <c r="M278" s="561"/>
      <c r="N278" s="596" t="str">
        <f>IF(ISBLANK(L278),"This item can not be left blank. Please review instructions.","")</f>
        <v>This item can not be left blank. Please review instructions.</v>
      </c>
      <c r="O278" s="597"/>
      <c r="P278" s="597"/>
      <c r="Q278" s="597"/>
      <c r="R278" s="598"/>
    </row>
    <row r="279" spans="1:18" s="2" customFormat="1" ht="25.5" customHeight="1" x14ac:dyDescent="0.25">
      <c r="A279" s="42"/>
      <c r="N279" s="932" t="s">
        <v>1923</v>
      </c>
      <c r="O279" s="573"/>
      <c r="P279" s="573"/>
      <c r="Q279" s="573"/>
      <c r="R279" s="574"/>
    </row>
    <row r="280" spans="1:18" s="2" customFormat="1" ht="25.5" customHeight="1" x14ac:dyDescent="0.25">
      <c r="A280" s="700" t="s">
        <v>615</v>
      </c>
      <c r="B280" s="701"/>
      <c r="C280" s="701"/>
      <c r="D280" s="701"/>
      <c r="E280" s="701"/>
      <c r="F280" s="701"/>
      <c r="G280" s="701"/>
      <c r="H280" s="701"/>
      <c r="I280" s="701"/>
      <c r="J280" s="701"/>
      <c r="K280" s="701"/>
      <c r="L280" s="701"/>
      <c r="M280" s="701"/>
      <c r="N280" s="880"/>
      <c r="O280" s="876"/>
      <c r="P280" s="876"/>
      <c r="Q280" s="876"/>
      <c r="R280" s="881"/>
    </row>
    <row r="281" spans="1:18" s="2" customFormat="1" ht="25.5" customHeight="1" x14ac:dyDescent="0.25">
      <c r="A281" s="581" t="s">
        <v>1870</v>
      </c>
      <c r="B281" s="527"/>
      <c r="C281" s="527"/>
      <c r="D281" s="527"/>
      <c r="E281" s="527"/>
      <c r="F281" s="527"/>
      <c r="G281" s="527"/>
      <c r="H281" s="527"/>
      <c r="I281" s="527"/>
      <c r="J281" s="527"/>
      <c r="K281" s="528"/>
      <c r="L281" s="636" t="s">
        <v>3614</v>
      </c>
      <c r="M281" s="636"/>
      <c r="N281" s="575"/>
      <c r="O281" s="576"/>
      <c r="P281" s="576"/>
      <c r="Q281" s="576"/>
      <c r="R281" s="577"/>
    </row>
    <row r="282" spans="1:18" s="2" customFormat="1" ht="25.5" customHeight="1" x14ac:dyDescent="0.25">
      <c r="A282" s="20">
        <v>650</v>
      </c>
      <c r="B282" s="534" t="s">
        <v>444</v>
      </c>
      <c r="C282" s="535"/>
      <c r="D282" s="535"/>
      <c r="E282" s="535"/>
      <c r="F282" s="535"/>
      <c r="G282" s="535"/>
      <c r="H282" s="535"/>
      <c r="I282" s="535"/>
      <c r="J282" s="535"/>
      <c r="K282" s="536"/>
      <c r="L282" s="560"/>
      <c r="M282" s="561"/>
      <c r="N282" s="596" t="str">
        <f>IF(ISBLANK(L282),"This item can not be left blank. Please review instructions.","")</f>
        <v>This item can not be left blank. Please review instructions.</v>
      </c>
      <c r="O282" s="597"/>
      <c r="P282" s="597"/>
      <c r="Q282" s="597"/>
      <c r="R282" s="598"/>
    </row>
    <row r="283" spans="1:18" s="2" customFormat="1" ht="25.5" customHeight="1" x14ac:dyDescent="0.25">
      <c r="A283" s="20">
        <v>655</v>
      </c>
      <c r="B283" s="534" t="s">
        <v>445</v>
      </c>
      <c r="C283" s="535"/>
      <c r="D283" s="535"/>
      <c r="E283" s="535"/>
      <c r="F283" s="535"/>
      <c r="G283" s="535"/>
      <c r="H283" s="535"/>
      <c r="I283" s="535"/>
      <c r="J283" s="535"/>
      <c r="K283" s="536"/>
      <c r="L283" s="560"/>
      <c r="M283" s="561"/>
      <c r="N283" s="596" t="str">
        <f>IF(ISBLANK(L283),"This item can not be left blank. Please review instructions.","")</f>
        <v>This item can not be left blank. Please review instructions.</v>
      </c>
      <c r="O283" s="597"/>
      <c r="P283" s="597"/>
      <c r="Q283" s="597"/>
      <c r="R283" s="598"/>
    </row>
    <row r="284" spans="1:18" s="2" customFormat="1" ht="25.5" customHeight="1" x14ac:dyDescent="0.3">
      <c r="A284" s="15" t="e">
        <f>$A$33</f>
        <v>#N/A</v>
      </c>
    </row>
    <row r="285" spans="1:18" s="2" customFormat="1" ht="25.5" customHeight="1" x14ac:dyDescent="0.25">
      <c r="A285" s="787" t="s">
        <v>446</v>
      </c>
      <c r="B285" s="787"/>
      <c r="C285" s="787"/>
      <c r="D285" s="787"/>
      <c r="E285" s="787"/>
      <c r="F285" s="787"/>
      <c r="G285" s="787"/>
      <c r="H285" s="787"/>
      <c r="I285" s="787"/>
      <c r="J285" s="787"/>
      <c r="K285" s="787"/>
      <c r="L285" s="787"/>
      <c r="M285" s="787"/>
    </row>
    <row r="286" spans="1:18" s="2" customFormat="1" ht="25.5" customHeight="1" x14ac:dyDescent="0.25">
      <c r="A286" s="581" t="s">
        <v>1871</v>
      </c>
      <c r="B286" s="581"/>
      <c r="C286" s="581"/>
      <c r="D286" s="581"/>
      <c r="E286" s="581"/>
      <c r="F286" s="581"/>
      <c r="G286" s="581"/>
      <c r="H286" s="581"/>
      <c r="I286" s="581"/>
      <c r="J286" s="581"/>
      <c r="K286" s="581"/>
      <c r="L286" s="636" t="s">
        <v>3614</v>
      </c>
      <c r="M286" s="636"/>
    </row>
    <row r="287" spans="1:18" s="2" customFormat="1" ht="25.5" customHeight="1" x14ac:dyDescent="0.25">
      <c r="A287" s="44"/>
      <c r="B287" s="44"/>
      <c r="C287" s="44"/>
      <c r="D287" s="44"/>
      <c r="E287" s="44"/>
      <c r="F287" s="44"/>
      <c r="G287" s="44"/>
      <c r="H287" s="898" t="s">
        <v>447</v>
      </c>
      <c r="I287" s="898"/>
      <c r="J287" s="898"/>
      <c r="K287" s="898" t="s">
        <v>448</v>
      </c>
      <c r="L287" s="898"/>
      <c r="M287" s="898"/>
    </row>
    <row r="288" spans="1:18" s="2" customFormat="1" ht="25.5" customHeight="1" x14ac:dyDescent="0.25">
      <c r="A288" s="238"/>
      <c r="B288" s="914" t="s">
        <v>449</v>
      </c>
      <c r="C288" s="915"/>
      <c r="D288" s="915"/>
      <c r="E288" s="915"/>
      <c r="F288" s="915"/>
      <c r="G288" s="916"/>
      <c r="H288" s="45">
        <v>7310</v>
      </c>
      <c r="I288" s="903" t="e">
        <f>ROUND((Code_0600/(Code_0740+Code_0770))*(-1*(Code_0762)),0)</f>
        <v>#DIV/0!</v>
      </c>
      <c r="J288" s="553"/>
      <c r="K288" s="917"/>
      <c r="L288" s="918"/>
      <c r="M288" s="918"/>
      <c r="N288" s="879" t="s">
        <v>1525</v>
      </c>
      <c r="O288" s="921"/>
      <c r="P288" s="921"/>
      <c r="Q288" s="921"/>
      <c r="R288" s="922"/>
    </row>
    <row r="289" spans="1:18" s="2" customFormat="1" ht="25.5" customHeight="1" x14ac:dyDescent="0.25">
      <c r="A289" s="919"/>
      <c r="B289" s="933" t="s">
        <v>2627</v>
      </c>
      <c r="C289" s="591"/>
      <c r="D289" s="591"/>
      <c r="E289" s="591"/>
      <c r="F289" s="591"/>
      <c r="G289" s="934"/>
      <c r="H289" s="937">
        <v>7577</v>
      </c>
      <c r="I289" s="903" t="e">
        <f>IF(ROUND((Code_7253+Code_7256)*(Code_0600/(Code_0740+Code_0770))-(Code_7253+Code_7256+Code_7263+Code_7266),0)&gt;0,ROUND((Code_7253+Code_7256)*(Code_0600/(Code_0740+Code_0770))-(Code_7253+Code_7256+Code_7263+Code_7266),0),0)</f>
        <v>#DIV/0!</v>
      </c>
      <c r="J289" s="553"/>
      <c r="K289" s="918"/>
      <c r="L289" s="918"/>
      <c r="M289" s="918"/>
      <c r="N289" s="923"/>
      <c r="O289" s="924"/>
      <c r="P289" s="924"/>
      <c r="Q289" s="924"/>
      <c r="R289" s="925"/>
    </row>
    <row r="290" spans="1:18" s="2" customFormat="1" ht="25.5" customHeight="1" x14ac:dyDescent="0.25">
      <c r="A290" s="920"/>
      <c r="B290" s="935"/>
      <c r="C290" s="935"/>
      <c r="D290" s="935"/>
      <c r="E290" s="935"/>
      <c r="F290" s="935"/>
      <c r="G290" s="936"/>
      <c r="H290" s="938"/>
      <c r="I290" s="939"/>
      <c r="J290" s="940"/>
      <c r="K290" s="918"/>
      <c r="L290" s="918"/>
      <c r="M290" s="918"/>
      <c r="N290" s="923"/>
      <c r="O290" s="924"/>
      <c r="P290" s="924"/>
      <c r="Q290" s="924"/>
      <c r="R290" s="925"/>
    </row>
    <row r="291" spans="1:18" s="2" customFormat="1" ht="25.5" customHeight="1" x14ac:dyDescent="0.25">
      <c r="A291" s="238"/>
      <c r="B291" s="594" t="s">
        <v>450</v>
      </c>
      <c r="C291" s="929"/>
      <c r="D291" s="929"/>
      <c r="E291" s="929"/>
      <c r="F291" s="929"/>
      <c r="G291" s="930"/>
      <c r="H291" s="45">
        <v>7578</v>
      </c>
      <c r="I291" s="900"/>
      <c r="J291" s="900"/>
      <c r="K291" s="45">
        <v>7586</v>
      </c>
      <c r="L291" s="931"/>
      <c r="M291" s="931"/>
      <c r="N291" s="923"/>
      <c r="O291" s="924"/>
      <c r="P291" s="924"/>
      <c r="Q291" s="924"/>
      <c r="R291" s="925"/>
    </row>
    <row r="292" spans="1:18" s="2" customFormat="1" ht="25.5" customHeight="1" x14ac:dyDescent="0.25">
      <c r="A292" s="238"/>
      <c r="B292" s="594" t="s">
        <v>451</v>
      </c>
      <c r="C292" s="929"/>
      <c r="D292" s="929"/>
      <c r="E292" s="929"/>
      <c r="F292" s="929"/>
      <c r="G292" s="930"/>
      <c r="H292" s="45">
        <v>7579</v>
      </c>
      <c r="I292" s="901"/>
      <c r="J292" s="901"/>
      <c r="K292" s="45">
        <v>7587</v>
      </c>
      <c r="L292" s="900"/>
      <c r="M292" s="900"/>
      <c r="N292" s="923"/>
      <c r="O292" s="924"/>
      <c r="P292" s="924"/>
      <c r="Q292" s="924"/>
      <c r="R292" s="925"/>
    </row>
    <row r="293" spans="1:18" s="2" customFormat="1" ht="25.5" customHeight="1" x14ac:dyDescent="0.25">
      <c r="A293" s="238"/>
      <c r="B293" s="594" t="s">
        <v>452</v>
      </c>
      <c r="C293" s="929"/>
      <c r="D293" s="929"/>
      <c r="E293" s="929"/>
      <c r="F293" s="929"/>
      <c r="G293" s="930"/>
      <c r="H293" s="45">
        <v>7580</v>
      </c>
      <c r="I293" s="900"/>
      <c r="J293" s="900"/>
      <c r="K293" s="45">
        <v>7588</v>
      </c>
      <c r="L293" s="900"/>
      <c r="M293" s="900"/>
      <c r="N293" s="923"/>
      <c r="O293" s="924"/>
      <c r="P293" s="924"/>
      <c r="Q293" s="924"/>
      <c r="R293" s="925"/>
    </row>
    <row r="294" spans="1:18" s="2" customFormat="1" ht="25.5" customHeight="1" x14ac:dyDescent="0.25">
      <c r="A294" s="238"/>
      <c r="B294" s="594" t="s">
        <v>453</v>
      </c>
      <c r="C294" s="929"/>
      <c r="D294" s="929"/>
      <c r="E294" s="929"/>
      <c r="F294" s="929"/>
      <c r="G294" s="930"/>
      <c r="H294" s="45">
        <v>7581</v>
      </c>
      <c r="I294" s="900"/>
      <c r="J294" s="900"/>
      <c r="K294" s="45">
        <v>7589</v>
      </c>
      <c r="L294" s="900"/>
      <c r="M294" s="900"/>
      <c r="N294" s="923"/>
      <c r="O294" s="924"/>
      <c r="P294" s="924"/>
      <c r="Q294" s="924"/>
      <c r="R294" s="925"/>
    </row>
    <row r="295" spans="1:18" s="2" customFormat="1" ht="25.5" customHeight="1" x14ac:dyDescent="0.25">
      <c r="A295" s="238"/>
      <c r="B295" s="594" t="s">
        <v>454</v>
      </c>
      <c r="C295" s="929"/>
      <c r="D295" s="929"/>
      <c r="E295" s="929"/>
      <c r="F295" s="929"/>
      <c r="G295" s="930"/>
      <c r="H295" s="45">
        <v>7582</v>
      </c>
      <c r="I295" s="900"/>
      <c r="J295" s="900"/>
      <c r="K295" s="45">
        <v>7590</v>
      </c>
      <c r="L295" s="900"/>
      <c r="M295" s="900"/>
      <c r="N295" s="923"/>
      <c r="O295" s="924"/>
      <c r="P295" s="924"/>
      <c r="Q295" s="924"/>
      <c r="R295" s="925"/>
    </row>
    <row r="296" spans="1:18" s="2" customFormat="1" ht="25.5" customHeight="1" x14ac:dyDescent="0.25">
      <c r="A296" s="238"/>
      <c r="B296" s="594" t="s">
        <v>455</v>
      </c>
      <c r="C296" s="929"/>
      <c r="D296" s="929"/>
      <c r="E296" s="929"/>
      <c r="F296" s="929"/>
      <c r="G296" s="930"/>
      <c r="H296" s="45">
        <v>7583</v>
      </c>
      <c r="I296" s="900"/>
      <c r="J296" s="900"/>
      <c r="K296" s="45">
        <v>7591</v>
      </c>
      <c r="L296" s="900"/>
      <c r="M296" s="900"/>
      <c r="N296" s="923"/>
      <c r="O296" s="924"/>
      <c r="P296" s="924"/>
      <c r="Q296" s="924"/>
      <c r="R296" s="925"/>
    </row>
    <row r="297" spans="1:18" s="2" customFormat="1" ht="25.5" customHeight="1" x14ac:dyDescent="0.25">
      <c r="A297" s="238"/>
      <c r="B297" s="594" t="s">
        <v>456</v>
      </c>
      <c r="C297" s="929"/>
      <c r="D297" s="929"/>
      <c r="E297" s="929"/>
      <c r="F297" s="929"/>
      <c r="G297" s="930"/>
      <c r="H297" s="45">
        <v>7584</v>
      </c>
      <c r="I297" s="900"/>
      <c r="J297" s="900"/>
      <c r="K297" s="45">
        <v>7592</v>
      </c>
      <c r="L297" s="900"/>
      <c r="M297" s="900"/>
      <c r="N297" s="923"/>
      <c r="O297" s="924"/>
      <c r="P297" s="924"/>
      <c r="Q297" s="924"/>
      <c r="R297" s="925"/>
    </row>
    <row r="298" spans="1:18" s="2" customFormat="1" ht="25.5" customHeight="1" x14ac:dyDescent="0.25">
      <c r="A298" s="239"/>
      <c r="B298" s="666" t="s">
        <v>457</v>
      </c>
      <c r="C298" s="667"/>
      <c r="D298" s="667"/>
      <c r="E298" s="667"/>
      <c r="F298" s="667"/>
      <c r="G298" s="668"/>
      <c r="H298" s="46">
        <v>7585</v>
      </c>
      <c r="I298" s="907" t="e">
        <f>SUM(I288:J297)</f>
        <v>#DIV/0!</v>
      </c>
      <c r="J298" s="907"/>
      <c r="K298" s="46">
        <v>7593</v>
      </c>
      <c r="L298" s="907">
        <f>SUM(L291:M297)</f>
        <v>0</v>
      </c>
      <c r="M298" s="907"/>
      <c r="N298" s="926"/>
      <c r="O298" s="927"/>
      <c r="P298" s="927"/>
      <c r="Q298" s="927"/>
      <c r="R298" s="928"/>
    </row>
    <row r="299" spans="1:18" s="2" customFormat="1" ht="25.5" customHeight="1" x14ac:dyDescent="0.25">
      <c r="A299" s="42"/>
    </row>
    <row r="300" spans="1:18" s="2" customFormat="1" ht="25.5" customHeight="1" x14ac:dyDescent="0.25">
      <c r="A300" s="787" t="s">
        <v>458</v>
      </c>
      <c r="B300" s="787"/>
      <c r="C300" s="787"/>
      <c r="D300" s="787"/>
      <c r="E300" s="787"/>
      <c r="F300" s="787"/>
      <c r="G300" s="787"/>
      <c r="H300" s="787"/>
      <c r="I300" s="787"/>
      <c r="J300" s="787"/>
      <c r="K300" s="787"/>
      <c r="L300" s="787"/>
      <c r="M300" s="787"/>
    </row>
    <row r="301" spans="1:18" s="2" customFormat="1" ht="25.5" customHeight="1" x14ac:dyDescent="0.25">
      <c r="A301" s="581" t="s">
        <v>1872</v>
      </c>
      <c r="B301" s="581"/>
      <c r="C301" s="581"/>
      <c r="D301" s="581"/>
      <c r="E301" s="581"/>
      <c r="F301" s="581"/>
      <c r="G301" s="581"/>
      <c r="H301" s="581"/>
      <c r="I301" s="581"/>
      <c r="J301" s="581"/>
      <c r="K301" s="581"/>
      <c r="L301" s="636" t="s">
        <v>3614</v>
      </c>
      <c r="M301" s="636"/>
      <c r="N301" s="572" t="s">
        <v>459</v>
      </c>
      <c r="O301" s="573"/>
      <c r="P301" s="573"/>
      <c r="Q301" s="573"/>
      <c r="R301" s="574"/>
    </row>
    <row r="302" spans="1:18" s="2" customFormat="1" ht="25.5" customHeight="1" x14ac:dyDescent="0.25">
      <c r="A302" s="897"/>
      <c r="B302" s="897"/>
      <c r="C302" s="897"/>
      <c r="D302" s="897"/>
      <c r="E302" s="897"/>
      <c r="F302" s="897"/>
      <c r="G302" s="897"/>
      <c r="H302" s="898" t="s">
        <v>460</v>
      </c>
      <c r="I302" s="898"/>
      <c r="J302" s="898"/>
      <c r="K302" s="898" t="s">
        <v>461</v>
      </c>
      <c r="L302" s="898"/>
      <c r="M302" s="898"/>
      <c r="N302" s="575"/>
      <c r="O302" s="576"/>
      <c r="P302" s="576"/>
      <c r="Q302" s="576"/>
      <c r="R302" s="577"/>
    </row>
    <row r="303" spans="1:18" s="2" customFormat="1" ht="25.5" customHeight="1" x14ac:dyDescent="0.25">
      <c r="A303" s="232"/>
      <c r="B303" s="791" t="s">
        <v>462</v>
      </c>
      <c r="C303" s="579"/>
      <c r="D303" s="579"/>
      <c r="E303" s="579"/>
      <c r="F303" s="579"/>
      <c r="G303" s="580"/>
      <c r="H303" s="45">
        <v>7050</v>
      </c>
      <c r="I303" s="899"/>
      <c r="J303" s="899"/>
      <c r="K303" s="45">
        <v>7051</v>
      </c>
      <c r="L303" s="901"/>
      <c r="M303" s="901"/>
      <c r="N303" s="548" t="str">
        <f>IF(L303&lt;0,"This should be a positive number"," ")</f>
        <v xml:space="preserve"> </v>
      </c>
      <c r="O303" s="549"/>
      <c r="P303" s="549"/>
      <c r="Q303" s="549"/>
      <c r="R303" s="559"/>
    </row>
    <row r="304" spans="1:18" s="2" customFormat="1" ht="25.5" customHeight="1" x14ac:dyDescent="0.25">
      <c r="A304" s="232"/>
      <c r="B304" s="791" t="s">
        <v>463</v>
      </c>
      <c r="C304" s="579"/>
      <c r="D304" s="579"/>
      <c r="E304" s="579"/>
      <c r="F304" s="579"/>
      <c r="G304" s="580"/>
      <c r="H304" s="45">
        <v>7052</v>
      </c>
      <c r="I304" s="899"/>
      <c r="J304" s="899"/>
      <c r="K304" s="45">
        <v>7053</v>
      </c>
      <c r="L304" s="900"/>
      <c r="M304" s="900"/>
      <c r="N304" s="548" t="str">
        <f>IF(L304&lt;0,"This should be a positive number"," ")</f>
        <v xml:space="preserve"> </v>
      </c>
      <c r="O304" s="549"/>
      <c r="P304" s="549"/>
      <c r="Q304" s="549"/>
      <c r="R304" s="559"/>
    </row>
    <row r="305" spans="1:18" s="2" customFormat="1" ht="25.5" customHeight="1" x14ac:dyDescent="0.25">
      <c r="A305" s="232"/>
      <c r="B305" s="791" t="s">
        <v>988</v>
      </c>
      <c r="C305" s="579"/>
      <c r="D305" s="579"/>
      <c r="E305" s="579"/>
      <c r="F305" s="579"/>
      <c r="G305" s="580"/>
      <c r="H305" s="45">
        <v>7054</v>
      </c>
      <c r="I305" s="902">
        <f>I306-(I303+I304)</f>
        <v>0</v>
      </c>
      <c r="J305" s="902"/>
      <c r="K305" s="45">
        <v>7055</v>
      </c>
      <c r="L305" s="903">
        <f>L306-(L303+L304)</f>
        <v>0</v>
      </c>
      <c r="M305" s="903"/>
    </row>
    <row r="306" spans="1:18" s="2" customFormat="1" ht="25.5" customHeight="1" x14ac:dyDescent="0.25">
      <c r="A306" s="233"/>
      <c r="B306" s="904" t="s">
        <v>989</v>
      </c>
      <c r="C306" s="850"/>
      <c r="D306" s="850"/>
      <c r="E306" s="850"/>
      <c r="F306" s="850"/>
      <c r="G306" s="851"/>
      <c r="H306" s="46">
        <v>7056</v>
      </c>
      <c r="I306" s="905"/>
      <c r="J306" s="905"/>
      <c r="K306" s="46">
        <v>7057</v>
      </c>
      <c r="L306" s="906">
        <f>ABS(Code_0762)</f>
        <v>0</v>
      </c>
      <c r="M306" s="907"/>
    </row>
    <row r="307" spans="1:18" s="2" customFormat="1" ht="25.5" customHeight="1" x14ac:dyDescent="0.25">
      <c r="A307" s="45">
        <v>7576</v>
      </c>
      <c r="B307" s="908" t="s">
        <v>990</v>
      </c>
      <c r="C307" s="908"/>
      <c r="D307" s="908"/>
      <c r="E307" s="908"/>
      <c r="F307" s="908"/>
      <c r="G307" s="908"/>
      <c r="H307" s="908"/>
      <c r="I307" s="908"/>
      <c r="J307" s="908"/>
      <c r="K307" s="908"/>
      <c r="L307" s="882"/>
      <c r="M307" s="883"/>
    </row>
    <row r="308" spans="1:18" s="2" customFormat="1" ht="25.5" customHeight="1" x14ac:dyDescent="0.25">
      <c r="A308" s="909" t="s">
        <v>991</v>
      </c>
      <c r="B308" s="671" t="s">
        <v>992</v>
      </c>
      <c r="C308" s="910"/>
      <c r="D308" s="910"/>
      <c r="E308" s="910"/>
      <c r="F308" s="910"/>
      <c r="G308" s="910"/>
      <c r="H308" s="910"/>
      <c r="I308" s="910"/>
      <c r="J308" s="910"/>
      <c r="K308" s="910"/>
      <c r="L308" s="35" t="s">
        <v>103</v>
      </c>
      <c r="M308" s="35" t="s">
        <v>104</v>
      </c>
    </row>
    <row r="309" spans="1:18" s="2" customFormat="1" ht="25.5" customHeight="1" x14ac:dyDescent="0.25">
      <c r="A309" s="678"/>
      <c r="B309" s="910"/>
      <c r="C309" s="910"/>
      <c r="D309" s="910"/>
      <c r="E309" s="910"/>
      <c r="F309" s="910"/>
      <c r="G309" s="910"/>
      <c r="H309" s="910"/>
      <c r="I309" s="910"/>
      <c r="J309" s="910"/>
      <c r="K309" s="910"/>
      <c r="L309" s="36"/>
      <c r="M309" s="36"/>
      <c r="N309" s="596" t="str">
        <f>IF(COUNTBLANK(L309:M309)=2,"",IF(COUNTBLANK(L309:M309)&lt;&gt;1,"Please VERIFY response",""))</f>
        <v/>
      </c>
      <c r="O309" s="597"/>
      <c r="P309" s="597"/>
      <c r="Q309" s="597"/>
      <c r="R309" s="597"/>
    </row>
    <row r="310" spans="1:18" s="2" customFormat="1" ht="25.5" customHeight="1" x14ac:dyDescent="0.3">
      <c r="A310" s="15" t="e">
        <f>$A$33</f>
        <v>#N/A</v>
      </c>
    </row>
    <row r="311" spans="1:18" s="2" customFormat="1" ht="25.5" customHeight="1" x14ac:dyDescent="0.25">
      <c r="A311" s="869" t="s">
        <v>1877</v>
      </c>
      <c r="B311" s="701"/>
      <c r="C311" s="701"/>
      <c r="D311" s="701"/>
      <c r="E311" s="701"/>
      <c r="F311" s="701"/>
      <c r="G311" s="701"/>
      <c r="H311" s="701"/>
      <c r="I311" s="701"/>
      <c r="J311" s="701"/>
      <c r="K311" s="701"/>
      <c r="L311" s="701"/>
      <c r="M311" s="701"/>
    </row>
    <row r="312" spans="1:18" s="2" customFormat="1" ht="25.5" customHeight="1" x14ac:dyDescent="0.25">
      <c r="A312" s="18"/>
      <c r="B312" s="19"/>
      <c r="C312" s="19"/>
      <c r="D312" s="19"/>
      <c r="E312" s="19"/>
      <c r="F312" s="19"/>
      <c r="G312" s="19"/>
      <c r="H312" s="19"/>
      <c r="I312" s="19"/>
      <c r="J312" s="19"/>
      <c r="K312" s="19"/>
      <c r="L312" s="19"/>
      <c r="M312" s="19"/>
    </row>
    <row r="313" spans="1:18" s="2" customFormat="1" ht="25.5" customHeight="1" x14ac:dyDescent="0.25">
      <c r="A313" s="875" t="s">
        <v>1881</v>
      </c>
      <c r="B313" s="876"/>
      <c r="C313" s="876"/>
      <c r="D313" s="876"/>
      <c r="E313" s="876"/>
      <c r="F313" s="876"/>
      <c r="G313" s="876"/>
      <c r="H313" s="876"/>
      <c r="I313" s="876"/>
      <c r="J313" s="876"/>
      <c r="K313" s="876"/>
      <c r="L313" s="876"/>
      <c r="M313" s="876"/>
    </row>
    <row r="314" spans="1:18" s="2" customFormat="1" ht="25.5" customHeight="1" x14ac:dyDescent="0.25">
      <c r="A314" s="876"/>
      <c r="B314" s="876"/>
      <c r="C314" s="876"/>
      <c r="D314" s="876"/>
      <c r="E314" s="876"/>
      <c r="F314" s="876"/>
      <c r="G314" s="876"/>
      <c r="H314" s="876"/>
      <c r="I314" s="876"/>
      <c r="J314" s="876"/>
      <c r="K314" s="876"/>
      <c r="L314" s="876"/>
      <c r="M314" s="876"/>
    </row>
    <row r="315" spans="1:18" s="2" customFormat="1" ht="25.5" customHeight="1" x14ac:dyDescent="0.25">
      <c r="A315" s="911"/>
      <c r="B315" s="911"/>
      <c r="C315" s="911"/>
      <c r="D315" s="911"/>
      <c r="E315" s="911"/>
      <c r="F315" s="911"/>
      <c r="G315" s="911"/>
      <c r="H315" s="911"/>
      <c r="I315" s="911"/>
      <c r="J315" s="911"/>
      <c r="K315" s="911"/>
      <c r="L315" s="911"/>
      <c r="M315" s="911"/>
    </row>
    <row r="316" spans="1:18" s="2" customFormat="1" ht="25.5" customHeight="1" x14ac:dyDescent="0.25">
      <c r="A316" s="581" t="s">
        <v>1873</v>
      </c>
      <c r="B316" s="527"/>
      <c r="C316" s="527"/>
      <c r="D316" s="527"/>
      <c r="E316" s="527"/>
      <c r="F316" s="527"/>
      <c r="G316" s="527"/>
      <c r="H316" s="527"/>
      <c r="I316" s="527"/>
      <c r="J316" s="527"/>
      <c r="K316" s="528"/>
      <c r="L316" s="636" t="s">
        <v>3614</v>
      </c>
      <c r="M316" s="636"/>
    </row>
    <row r="317" spans="1:18" s="2" customFormat="1" ht="25.5" customHeight="1" x14ac:dyDescent="0.25">
      <c r="A317" s="20">
        <v>7117</v>
      </c>
      <c r="B317" s="531" t="s">
        <v>993</v>
      </c>
      <c r="C317" s="532"/>
      <c r="D317" s="532"/>
      <c r="E317" s="532"/>
      <c r="F317" s="532"/>
      <c r="G317" s="532"/>
      <c r="H317" s="532"/>
      <c r="I317" s="533"/>
      <c r="J317" s="882"/>
      <c r="K317" s="883"/>
      <c r="L317" s="562"/>
      <c r="M317" s="563"/>
      <c r="N317" s="884" t="s">
        <v>994</v>
      </c>
      <c r="O317" s="885"/>
      <c r="P317" s="885"/>
      <c r="Q317" s="885"/>
      <c r="R317" s="886"/>
    </row>
    <row r="318" spans="1:18" s="2" customFormat="1" ht="25.5" customHeight="1" x14ac:dyDescent="0.25">
      <c r="A318" s="20">
        <v>7118</v>
      </c>
      <c r="B318" s="531" t="s">
        <v>995</v>
      </c>
      <c r="C318" s="532"/>
      <c r="D318" s="532"/>
      <c r="E318" s="532"/>
      <c r="F318" s="532"/>
      <c r="G318" s="532"/>
      <c r="H318" s="532"/>
      <c r="I318" s="533"/>
      <c r="J318" s="555">
        <f>Code_5501-Code_7117</f>
        <v>0</v>
      </c>
      <c r="K318" s="556"/>
      <c r="L318" s="564"/>
      <c r="M318" s="565"/>
      <c r="N318" s="887"/>
      <c r="O318" s="888"/>
      <c r="P318" s="888"/>
      <c r="Q318" s="888"/>
      <c r="R318" s="889"/>
    </row>
    <row r="319" spans="1:18" s="2" customFormat="1" ht="25.5" customHeight="1" x14ac:dyDescent="0.25">
      <c r="A319" s="21">
        <v>5501</v>
      </c>
      <c r="B319" s="611" t="s">
        <v>996</v>
      </c>
      <c r="C319" s="612"/>
      <c r="D319" s="612"/>
      <c r="E319" s="612"/>
      <c r="F319" s="612"/>
      <c r="G319" s="612"/>
      <c r="H319" s="612"/>
      <c r="I319" s="612"/>
      <c r="J319" s="612"/>
      <c r="K319" s="613"/>
      <c r="L319" s="893">
        <f>Code_7094</f>
        <v>0</v>
      </c>
      <c r="M319" s="894"/>
      <c r="N319" s="890"/>
      <c r="O319" s="891"/>
      <c r="P319" s="891"/>
      <c r="Q319" s="891"/>
      <c r="R319" s="892"/>
    </row>
    <row r="320" spans="1:18" s="2" customFormat="1" ht="25.5" customHeight="1" x14ac:dyDescent="0.25">
      <c r="A320" s="20">
        <v>5502</v>
      </c>
      <c r="B320" s="531" t="s">
        <v>997</v>
      </c>
      <c r="C320" s="532"/>
      <c r="D320" s="532"/>
      <c r="E320" s="532"/>
      <c r="F320" s="532"/>
      <c r="G320" s="532"/>
      <c r="H320" s="532"/>
      <c r="I320" s="533"/>
      <c r="J320" s="877">
        <f>IF(ISERROR(ROUND((Code_0841/Code_0740)*L319,0)),,ROUND((Code_0841/Code_0740)*L319,0))</f>
        <v>0</v>
      </c>
      <c r="K320" s="878"/>
      <c r="L320" s="562"/>
      <c r="M320" s="895"/>
      <c r="N320" s="879" t="s">
        <v>1939</v>
      </c>
      <c r="O320" s="573"/>
      <c r="P320" s="573"/>
      <c r="Q320" s="573"/>
      <c r="R320" s="574"/>
    </row>
    <row r="321" spans="1:18" s="2" customFormat="1" ht="25.5" customHeight="1" x14ac:dyDescent="0.25">
      <c r="A321" s="20">
        <v>5506</v>
      </c>
      <c r="B321" s="531" t="s">
        <v>998</v>
      </c>
      <c r="C321" s="532"/>
      <c r="D321" s="532"/>
      <c r="E321" s="532"/>
      <c r="F321" s="532"/>
      <c r="G321" s="532"/>
      <c r="H321" s="532"/>
      <c r="I321" s="533"/>
      <c r="J321" s="877">
        <f>IF(ISERROR(ROUND((Code_0842/Code_0740)*L319,0)),,ROUND((Code_0842/Code_0740)*L319,0))</f>
        <v>0</v>
      </c>
      <c r="K321" s="878"/>
      <c r="L321" s="564"/>
      <c r="M321" s="896"/>
      <c r="N321" s="880"/>
      <c r="O321" s="876"/>
      <c r="P321" s="876"/>
      <c r="Q321" s="876"/>
      <c r="R321" s="881"/>
    </row>
    <row r="322" spans="1:18" s="2" customFormat="1" ht="25.5" customHeight="1" x14ac:dyDescent="0.25">
      <c r="A322" s="47">
        <v>5503</v>
      </c>
      <c r="B322" s="608" t="s">
        <v>999</v>
      </c>
      <c r="C322" s="609"/>
      <c r="D322" s="609"/>
      <c r="E322" s="609"/>
      <c r="F322" s="609"/>
      <c r="G322" s="609"/>
      <c r="H322" s="609"/>
      <c r="I322" s="609"/>
      <c r="J322" s="609"/>
      <c r="K322" s="610"/>
      <c r="L322" s="877">
        <f>IF(ISERROR(ROUND((Code_0760/Code_0740)*L319,0)),,ROUND((Code_0760/Code_0740)*L319,0))</f>
        <v>0</v>
      </c>
      <c r="M322" s="878"/>
      <c r="N322" s="880"/>
      <c r="O322" s="876"/>
      <c r="P322" s="876"/>
      <c r="Q322" s="876"/>
      <c r="R322" s="881"/>
    </row>
    <row r="323" spans="1:18" s="2" customFormat="1" ht="25.5" customHeight="1" x14ac:dyDescent="0.25">
      <c r="A323" s="20">
        <v>5504</v>
      </c>
      <c r="B323" s="531" t="s">
        <v>1000</v>
      </c>
      <c r="C323" s="532"/>
      <c r="D323" s="532"/>
      <c r="E323" s="532"/>
      <c r="F323" s="532"/>
      <c r="G323" s="532"/>
      <c r="H323" s="532"/>
      <c r="I323" s="533"/>
      <c r="J323" s="877">
        <f>IF(ISERROR(ROUND((Code_0741/Code_0760)*L322,0)),,ROUND((Code_0741/Code_0760)*L322,0))</f>
        <v>0</v>
      </c>
      <c r="K323" s="878"/>
      <c r="L323" s="912"/>
      <c r="M323" s="912"/>
      <c r="N323" s="880"/>
      <c r="O323" s="876"/>
      <c r="P323" s="876"/>
      <c r="Q323" s="876"/>
      <c r="R323" s="881"/>
    </row>
    <row r="324" spans="1:18" s="2" customFormat="1" ht="25.5" customHeight="1" x14ac:dyDescent="0.25">
      <c r="A324" s="20">
        <v>5507</v>
      </c>
      <c r="B324" s="531" t="s">
        <v>1001</v>
      </c>
      <c r="C324" s="532"/>
      <c r="D324" s="532"/>
      <c r="E324" s="532"/>
      <c r="F324" s="532"/>
      <c r="G324" s="532"/>
      <c r="H324" s="532"/>
      <c r="I324" s="533"/>
      <c r="J324" s="877">
        <f>IF(ISERROR(ROUND((Code_0742/Code_0760)*L322,0)),,ROUND((Code_0742/Code_0760)*L322,0))</f>
        <v>0</v>
      </c>
      <c r="K324" s="878"/>
      <c r="L324" s="913"/>
      <c r="M324" s="913"/>
      <c r="N324" s="880"/>
      <c r="O324" s="876"/>
      <c r="P324" s="876"/>
      <c r="Q324" s="876"/>
      <c r="R324" s="881"/>
    </row>
    <row r="325" spans="1:18" s="2" customFormat="1" ht="25.5" customHeight="1" x14ac:dyDescent="0.25">
      <c r="A325" s="20">
        <v>7121</v>
      </c>
      <c r="B325" s="531" t="s">
        <v>1002</v>
      </c>
      <c r="C325" s="532"/>
      <c r="D325" s="532"/>
      <c r="E325" s="532"/>
      <c r="F325" s="532"/>
      <c r="G325" s="532"/>
      <c r="H325" s="532"/>
      <c r="I325" s="533"/>
      <c r="J325" s="877">
        <f>IF(ISERROR(ROUND((Code_0762/Code_0760)*L322,0)),,ROUND((Code_0762/Code_0760)*L322,0))</f>
        <v>0</v>
      </c>
      <c r="K325" s="878"/>
      <c r="L325" s="913"/>
      <c r="M325" s="913"/>
      <c r="N325" s="880"/>
      <c r="O325" s="876"/>
      <c r="P325" s="876"/>
      <c r="Q325" s="876"/>
      <c r="R325" s="881"/>
    </row>
    <row r="326" spans="1:18" s="2" customFormat="1" ht="25.5" customHeight="1" x14ac:dyDescent="0.25">
      <c r="A326" s="20">
        <v>5512</v>
      </c>
      <c r="B326" s="608" t="s">
        <v>2211</v>
      </c>
      <c r="C326" s="609"/>
      <c r="D326" s="609"/>
      <c r="E326" s="609"/>
      <c r="F326" s="609"/>
      <c r="G326" s="609"/>
      <c r="H326" s="609"/>
      <c r="I326" s="609"/>
      <c r="J326" s="877">
        <f>IF(ISERROR(ROUND((Code_8100/Code_0760)*Code_5503,0)),,ROUND((Code_8100/Code_0760)*Code_5503,0))</f>
        <v>0</v>
      </c>
      <c r="K326" s="878"/>
      <c r="L326" s="913"/>
      <c r="M326" s="913"/>
      <c r="N326" s="575"/>
      <c r="O326" s="576"/>
      <c r="P326" s="576"/>
      <c r="Q326" s="576"/>
      <c r="R326" s="577"/>
    </row>
    <row r="327" spans="1:18" s="2" customFormat="1" ht="25.5" customHeight="1" x14ac:dyDescent="0.25">
      <c r="A327" s="20">
        <v>7087</v>
      </c>
      <c r="B327" s="531" t="s">
        <v>1003</v>
      </c>
      <c r="C327" s="532"/>
      <c r="D327" s="532"/>
      <c r="E327" s="532"/>
      <c r="F327" s="532"/>
      <c r="G327" s="532"/>
      <c r="H327" s="532"/>
      <c r="I327" s="532"/>
      <c r="J327" s="532"/>
      <c r="K327" s="533"/>
      <c r="L327" s="537"/>
      <c r="M327" s="538"/>
      <c r="N327" s="551" t="str">
        <f>IF(AND(ISBLANK(L327),L319&gt;0),"If charges are entered, then expenses must also be entered.","")</f>
        <v/>
      </c>
      <c r="O327" s="552"/>
      <c r="P327" s="552"/>
      <c r="Q327" s="552"/>
      <c r="R327" s="598"/>
    </row>
    <row r="328" spans="1:18" s="2" customFormat="1" ht="25.5" customHeight="1" x14ac:dyDescent="0.25">
      <c r="A328" s="48"/>
      <c r="B328" s="49"/>
      <c r="C328" s="49"/>
      <c r="D328" s="49"/>
      <c r="E328" s="49"/>
      <c r="F328" s="49"/>
      <c r="G328" s="49"/>
      <c r="H328" s="49"/>
      <c r="I328" s="49"/>
      <c r="J328" s="49"/>
      <c r="K328" s="49"/>
      <c r="L328" s="50"/>
      <c r="M328" s="51"/>
    </row>
    <row r="329" spans="1:18" s="2" customFormat="1" ht="25.5" customHeight="1" x14ac:dyDescent="0.25">
      <c r="A329" s="869" t="s">
        <v>1877</v>
      </c>
      <c r="B329" s="701"/>
      <c r="C329" s="701"/>
      <c r="D329" s="701"/>
      <c r="E329" s="701"/>
      <c r="F329" s="701"/>
      <c r="G329" s="701"/>
      <c r="H329" s="701"/>
      <c r="I329" s="701"/>
      <c r="J329" s="701"/>
      <c r="K329" s="701"/>
      <c r="L329" s="701"/>
      <c r="M329" s="701"/>
    </row>
    <row r="330" spans="1:18" s="2" customFormat="1" ht="25.5" customHeight="1" x14ac:dyDescent="0.25">
      <c r="A330" s="18"/>
      <c r="B330" s="19"/>
      <c r="C330" s="19"/>
      <c r="D330" s="19"/>
      <c r="E330" s="19"/>
      <c r="F330" s="19"/>
      <c r="G330" s="19"/>
      <c r="H330" s="19"/>
      <c r="I330" s="19"/>
      <c r="J330" s="19"/>
      <c r="K330" s="19"/>
      <c r="L330" s="19"/>
      <c r="M330" s="19"/>
    </row>
    <row r="331" spans="1:18" s="2" customFormat="1" ht="25.5" customHeight="1" x14ac:dyDescent="0.25">
      <c r="A331" s="875" t="s">
        <v>1880</v>
      </c>
      <c r="B331" s="876"/>
      <c r="C331" s="876"/>
      <c r="D331" s="876"/>
      <c r="E331" s="876"/>
      <c r="F331" s="876"/>
      <c r="G331" s="876"/>
      <c r="H331" s="876"/>
      <c r="I331" s="876"/>
      <c r="J331" s="876"/>
      <c r="K331" s="876"/>
      <c r="L331" s="876"/>
      <c r="M331" s="876"/>
    </row>
    <row r="332" spans="1:18" s="2" customFormat="1" ht="25.5" customHeight="1" x14ac:dyDescent="0.25">
      <c r="A332" s="876"/>
      <c r="B332" s="876"/>
      <c r="C332" s="876"/>
      <c r="D332" s="876"/>
      <c r="E332" s="876"/>
      <c r="F332" s="876"/>
      <c r="G332" s="876"/>
      <c r="H332" s="876"/>
      <c r="I332" s="876"/>
      <c r="J332" s="876"/>
      <c r="K332" s="876"/>
      <c r="L332" s="876"/>
      <c r="M332" s="876"/>
    </row>
    <row r="333" spans="1:18" s="2" customFormat="1" ht="25.5" customHeight="1" x14ac:dyDescent="0.25">
      <c r="A333" s="581" t="s">
        <v>1874</v>
      </c>
      <c r="B333" s="527"/>
      <c r="C333" s="527"/>
      <c r="D333" s="527"/>
      <c r="E333" s="527"/>
      <c r="F333" s="527"/>
      <c r="G333" s="527"/>
      <c r="H333" s="527"/>
      <c r="I333" s="527"/>
      <c r="J333" s="527"/>
      <c r="K333" s="528"/>
      <c r="L333" s="636" t="s">
        <v>3614</v>
      </c>
      <c r="M333" s="636"/>
    </row>
    <row r="334" spans="1:18" s="2" customFormat="1" ht="25.5" customHeight="1" x14ac:dyDescent="0.25">
      <c r="A334" s="20">
        <v>7119</v>
      </c>
      <c r="B334" s="531" t="s">
        <v>1004</v>
      </c>
      <c r="C334" s="532"/>
      <c r="D334" s="532"/>
      <c r="E334" s="532"/>
      <c r="F334" s="532"/>
      <c r="G334" s="532"/>
      <c r="H334" s="532"/>
      <c r="I334" s="533"/>
      <c r="J334" s="882"/>
      <c r="K334" s="883"/>
      <c r="L334" s="562"/>
      <c r="M334" s="563"/>
      <c r="N334" s="884" t="s">
        <v>1005</v>
      </c>
      <c r="O334" s="885"/>
      <c r="P334" s="885"/>
      <c r="Q334" s="885"/>
      <c r="R334" s="886"/>
    </row>
    <row r="335" spans="1:18" s="2" customFormat="1" ht="25.5" customHeight="1" x14ac:dyDescent="0.25">
      <c r="A335" s="20">
        <v>7120</v>
      </c>
      <c r="B335" s="531" t="s">
        <v>1006</v>
      </c>
      <c r="C335" s="532"/>
      <c r="D335" s="532"/>
      <c r="E335" s="532"/>
      <c r="F335" s="532"/>
      <c r="G335" s="532"/>
      <c r="H335" s="532"/>
      <c r="I335" s="533"/>
      <c r="J335" s="555">
        <f>Code_7061-Code_7119</f>
        <v>0</v>
      </c>
      <c r="K335" s="556"/>
      <c r="L335" s="564"/>
      <c r="M335" s="565"/>
      <c r="N335" s="887"/>
      <c r="O335" s="888"/>
      <c r="P335" s="888"/>
      <c r="Q335" s="888"/>
      <c r="R335" s="889"/>
    </row>
    <row r="336" spans="1:18" s="2" customFormat="1" ht="25.5" customHeight="1" x14ac:dyDescent="0.25">
      <c r="A336" s="21">
        <v>7061</v>
      </c>
      <c r="B336" s="611" t="s">
        <v>1007</v>
      </c>
      <c r="C336" s="612"/>
      <c r="D336" s="612"/>
      <c r="E336" s="612"/>
      <c r="F336" s="612"/>
      <c r="G336" s="612"/>
      <c r="H336" s="612"/>
      <c r="I336" s="612"/>
      <c r="J336" s="612"/>
      <c r="K336" s="613"/>
      <c r="L336" s="893">
        <f>Code_7095</f>
        <v>0</v>
      </c>
      <c r="M336" s="894"/>
      <c r="N336" s="890"/>
      <c r="O336" s="891"/>
      <c r="P336" s="891"/>
      <c r="Q336" s="891"/>
      <c r="R336" s="892"/>
    </row>
    <row r="337" spans="1:18" s="2" customFormat="1" ht="25.5" customHeight="1" x14ac:dyDescent="0.25">
      <c r="A337" s="20">
        <v>7062</v>
      </c>
      <c r="B337" s="531" t="s">
        <v>1008</v>
      </c>
      <c r="C337" s="532"/>
      <c r="D337" s="532"/>
      <c r="E337" s="532"/>
      <c r="F337" s="532"/>
      <c r="G337" s="532"/>
      <c r="H337" s="532"/>
      <c r="I337" s="533"/>
      <c r="J337" s="877">
        <f>IF(ISERROR(ROUND((Code_0841/Code_0740)*L336,0)),,ROUND((Code_0841/Code_0740)*L336,0))</f>
        <v>0</v>
      </c>
      <c r="K337" s="878"/>
      <c r="L337" s="562"/>
      <c r="M337" s="563"/>
      <c r="N337" s="879" t="s">
        <v>1940</v>
      </c>
      <c r="O337" s="573"/>
      <c r="P337" s="573"/>
      <c r="Q337" s="573"/>
      <c r="R337" s="574"/>
    </row>
    <row r="338" spans="1:18" s="2" customFormat="1" ht="25.5" customHeight="1" x14ac:dyDescent="0.25">
      <c r="A338" s="20">
        <v>7063</v>
      </c>
      <c r="B338" s="531" t="s">
        <v>322</v>
      </c>
      <c r="C338" s="532"/>
      <c r="D338" s="532"/>
      <c r="E338" s="532"/>
      <c r="F338" s="532"/>
      <c r="G338" s="532"/>
      <c r="H338" s="532"/>
      <c r="I338" s="533"/>
      <c r="J338" s="877">
        <f>IF(ISERROR(ROUND((Code_0842/Code_0740)*L336,0)),,ROUND((Code_0842/Code_0740)*L336,0))</f>
        <v>0</v>
      </c>
      <c r="K338" s="878"/>
      <c r="L338" s="564"/>
      <c r="M338" s="565"/>
      <c r="N338" s="880"/>
      <c r="O338" s="598"/>
      <c r="P338" s="598"/>
      <c r="Q338" s="598"/>
      <c r="R338" s="881"/>
    </row>
    <row r="339" spans="1:18" s="2" customFormat="1" ht="25.5" customHeight="1" x14ac:dyDescent="0.25">
      <c r="A339" s="47">
        <v>7064</v>
      </c>
      <c r="B339" s="608" t="s">
        <v>323</v>
      </c>
      <c r="C339" s="609"/>
      <c r="D339" s="609"/>
      <c r="E339" s="609"/>
      <c r="F339" s="609"/>
      <c r="G339" s="609"/>
      <c r="H339" s="609"/>
      <c r="I339" s="609"/>
      <c r="J339" s="609"/>
      <c r="K339" s="610"/>
      <c r="L339" s="877">
        <f>IF(ISERROR(ROUND((Code_0760/Code_0740)*L336,0)),,ROUND((Code_0760/Code_0740)*L336,0))</f>
        <v>0</v>
      </c>
      <c r="M339" s="878"/>
      <c r="N339" s="880"/>
      <c r="O339" s="598"/>
      <c r="P339" s="598"/>
      <c r="Q339" s="598"/>
      <c r="R339" s="881"/>
    </row>
    <row r="340" spans="1:18" s="2" customFormat="1" ht="25.5" customHeight="1" x14ac:dyDescent="0.25">
      <c r="A340" s="20">
        <v>7065</v>
      </c>
      <c r="B340" s="531" t="s">
        <v>324</v>
      </c>
      <c r="C340" s="532"/>
      <c r="D340" s="532"/>
      <c r="E340" s="532"/>
      <c r="F340" s="532"/>
      <c r="G340" s="532"/>
      <c r="H340" s="532"/>
      <c r="I340" s="533"/>
      <c r="J340" s="877">
        <f>IF(ISERROR(ROUND((Code_0741/Code_0760)*L339,0)),,ROUND((Code_0741/Code_0760)*L339,0))</f>
        <v>0</v>
      </c>
      <c r="K340" s="878"/>
      <c r="L340" s="566"/>
      <c r="M340" s="567"/>
      <c r="N340" s="880"/>
      <c r="O340" s="598"/>
      <c r="P340" s="598"/>
      <c r="Q340" s="598"/>
      <c r="R340" s="881"/>
    </row>
    <row r="341" spans="1:18" s="2" customFormat="1" ht="25.5" customHeight="1" x14ac:dyDescent="0.25">
      <c r="A341" s="20">
        <v>7066</v>
      </c>
      <c r="B341" s="531" t="s">
        <v>325</v>
      </c>
      <c r="C341" s="532"/>
      <c r="D341" s="532"/>
      <c r="E341" s="532"/>
      <c r="F341" s="532"/>
      <c r="G341" s="532"/>
      <c r="H341" s="532"/>
      <c r="I341" s="533"/>
      <c r="J341" s="877">
        <f>IF(ISERROR(ROUND((Code_0742/Code_0760)*L339,0)),,ROUND((Code_0742/Code_0760)*L339,0))</f>
        <v>0</v>
      </c>
      <c r="K341" s="878"/>
      <c r="L341" s="568"/>
      <c r="M341" s="569"/>
      <c r="N341" s="880"/>
      <c r="O341" s="598"/>
      <c r="P341" s="598"/>
      <c r="Q341" s="598"/>
      <c r="R341" s="881"/>
    </row>
    <row r="342" spans="1:18" s="2" customFormat="1" ht="25.5" customHeight="1" x14ac:dyDescent="0.25">
      <c r="A342" s="20">
        <v>7122</v>
      </c>
      <c r="B342" s="531" t="s">
        <v>326</v>
      </c>
      <c r="C342" s="532"/>
      <c r="D342" s="532"/>
      <c r="E342" s="532"/>
      <c r="F342" s="532"/>
      <c r="G342" s="532"/>
      <c r="H342" s="532"/>
      <c r="I342" s="533"/>
      <c r="J342" s="877">
        <f>IF(ISERROR(ROUND((Code_0762/Code_0760)*L339,0)),,ROUND((Code_0762/Code_0760)*L339,0))</f>
        <v>0</v>
      </c>
      <c r="K342" s="878"/>
      <c r="L342" s="568"/>
      <c r="M342" s="569"/>
      <c r="N342" s="880"/>
      <c r="O342" s="598"/>
      <c r="P342" s="598"/>
      <c r="Q342" s="598"/>
      <c r="R342" s="881"/>
    </row>
    <row r="343" spans="1:18" s="2" customFormat="1" ht="25.5" customHeight="1" x14ac:dyDescent="0.25">
      <c r="A343" s="20">
        <v>7123</v>
      </c>
      <c r="B343" s="608" t="s">
        <v>2212</v>
      </c>
      <c r="C343" s="609"/>
      <c r="D343" s="609"/>
      <c r="E343" s="609"/>
      <c r="F343" s="609"/>
      <c r="G343" s="609"/>
      <c r="H343" s="609"/>
      <c r="I343" s="609"/>
      <c r="J343" s="877">
        <f>IF(ISERROR(ROUND((Code_8100/Code_0760)*Code_7064,0)),,ROUND((Code_8100/Code_0760)*Code_7064,0))</f>
        <v>0</v>
      </c>
      <c r="K343" s="878"/>
      <c r="L343" s="570"/>
      <c r="M343" s="571"/>
      <c r="N343" s="575"/>
      <c r="O343" s="576"/>
      <c r="P343" s="576"/>
      <c r="Q343" s="576"/>
      <c r="R343" s="577"/>
    </row>
    <row r="344" spans="1:18" s="2" customFormat="1" ht="25.5" customHeight="1" x14ac:dyDescent="0.25">
      <c r="A344" s="20">
        <v>7088</v>
      </c>
      <c r="B344" s="531" t="s">
        <v>327</v>
      </c>
      <c r="C344" s="532"/>
      <c r="D344" s="532"/>
      <c r="E344" s="532"/>
      <c r="F344" s="532"/>
      <c r="G344" s="532"/>
      <c r="H344" s="532"/>
      <c r="I344" s="532"/>
      <c r="J344" s="532"/>
      <c r="K344" s="533"/>
      <c r="L344" s="537"/>
      <c r="M344" s="538"/>
      <c r="N344" s="551" t="str">
        <f>IF(AND(ISBLANK(L344),L336&gt;0),"If charges are entered, then expenses must also be entered.","")</f>
        <v/>
      </c>
      <c r="O344" s="552"/>
      <c r="P344" s="552"/>
      <c r="Q344" s="552"/>
      <c r="R344" s="598"/>
    </row>
    <row r="345" spans="1:18" s="2" customFormat="1" ht="25.5" customHeight="1" x14ac:dyDescent="0.3">
      <c r="A345" s="15" t="e">
        <f>$A$33</f>
        <v>#N/A</v>
      </c>
    </row>
    <row r="346" spans="1:18" s="2" customFormat="1" ht="25.5" customHeight="1" x14ac:dyDescent="0.25">
      <c r="A346" s="869" t="s">
        <v>1877</v>
      </c>
      <c r="B346" s="701"/>
      <c r="C346" s="701"/>
      <c r="D346" s="701"/>
      <c r="E346" s="701"/>
      <c r="F346" s="701"/>
      <c r="G346" s="701"/>
      <c r="H346" s="701"/>
      <c r="I346" s="701"/>
      <c r="J346" s="701"/>
      <c r="K346" s="701"/>
      <c r="L346" s="701"/>
      <c r="M346" s="701"/>
    </row>
    <row r="347" spans="1:18" s="2" customFormat="1" ht="25.5" customHeight="1" x14ac:dyDescent="0.25">
      <c r="A347" s="18"/>
      <c r="B347" s="19"/>
      <c r="C347" s="19"/>
      <c r="D347" s="19"/>
      <c r="E347" s="19"/>
      <c r="F347" s="19"/>
      <c r="G347" s="19"/>
      <c r="H347" s="19"/>
      <c r="I347" s="19"/>
      <c r="J347" s="19"/>
      <c r="K347" s="19"/>
      <c r="L347" s="19"/>
      <c r="M347" s="19"/>
    </row>
    <row r="348" spans="1:18" s="2" customFormat="1" ht="25.5" customHeight="1" x14ac:dyDescent="0.25">
      <c r="A348" s="875" t="s">
        <v>1879</v>
      </c>
      <c r="B348" s="876"/>
      <c r="C348" s="876"/>
      <c r="D348" s="876"/>
      <c r="E348" s="876"/>
      <c r="F348" s="876"/>
      <c r="G348" s="876"/>
      <c r="H348" s="876"/>
      <c r="I348" s="876"/>
      <c r="J348" s="876"/>
      <c r="K348" s="876"/>
      <c r="L348" s="876"/>
      <c r="M348" s="876"/>
    </row>
    <row r="349" spans="1:18" s="2" customFormat="1" ht="25.5" customHeight="1" x14ac:dyDescent="0.25">
      <c r="A349" s="876"/>
      <c r="B349" s="876"/>
      <c r="C349" s="876"/>
      <c r="D349" s="876"/>
      <c r="E349" s="876"/>
      <c r="F349" s="876"/>
      <c r="G349" s="876"/>
      <c r="H349" s="876"/>
      <c r="I349" s="876"/>
      <c r="J349" s="876"/>
      <c r="K349" s="876"/>
      <c r="L349" s="876"/>
      <c r="M349" s="876"/>
    </row>
    <row r="350" spans="1:18" s="2" customFormat="1" ht="25.5" customHeight="1" x14ac:dyDescent="0.25">
      <c r="A350" s="581" t="s">
        <v>1875</v>
      </c>
      <c r="B350" s="527"/>
      <c r="C350" s="527"/>
      <c r="D350" s="527"/>
      <c r="E350" s="527"/>
      <c r="F350" s="527"/>
      <c r="G350" s="527"/>
      <c r="H350" s="527"/>
      <c r="I350" s="527"/>
      <c r="J350" s="527"/>
      <c r="K350" s="528"/>
      <c r="L350" s="636" t="s">
        <v>3614</v>
      </c>
      <c r="M350" s="636"/>
    </row>
    <row r="351" spans="1:18" s="2" customFormat="1" ht="25.5" customHeight="1" x14ac:dyDescent="0.25">
      <c r="A351" s="20">
        <v>7068</v>
      </c>
      <c r="B351" s="531" t="s">
        <v>328</v>
      </c>
      <c r="C351" s="532"/>
      <c r="D351" s="532"/>
      <c r="E351" s="532"/>
      <c r="F351" s="532"/>
      <c r="G351" s="532"/>
      <c r="H351" s="532"/>
      <c r="I351" s="532"/>
      <c r="J351" s="532"/>
      <c r="K351" s="533"/>
      <c r="L351" s="553">
        <f>Code_7091</f>
        <v>0</v>
      </c>
      <c r="M351" s="554"/>
    </row>
    <row r="352" spans="1:18" s="2" customFormat="1" ht="25.5" customHeight="1" x14ac:dyDescent="0.25">
      <c r="A352" s="20">
        <v>7069</v>
      </c>
      <c r="B352" s="531" t="s">
        <v>329</v>
      </c>
      <c r="C352" s="532"/>
      <c r="D352" s="532"/>
      <c r="E352" s="532"/>
      <c r="F352" s="532"/>
      <c r="G352" s="532"/>
      <c r="H352" s="532"/>
      <c r="I352" s="533"/>
      <c r="J352" s="560"/>
      <c r="K352" s="561"/>
      <c r="L352" s="562"/>
      <c r="M352" s="563"/>
    </row>
    <row r="353" spans="1:18" s="2" customFormat="1" ht="25.5" customHeight="1" x14ac:dyDescent="0.25">
      <c r="A353" s="20">
        <v>7070</v>
      </c>
      <c r="B353" s="531" t="s">
        <v>330</v>
      </c>
      <c r="C353" s="532"/>
      <c r="D353" s="532"/>
      <c r="E353" s="532"/>
      <c r="F353" s="532"/>
      <c r="G353" s="532"/>
      <c r="H353" s="532"/>
      <c r="I353" s="533"/>
      <c r="J353" s="560"/>
      <c r="K353" s="561"/>
      <c r="L353" s="564"/>
      <c r="M353" s="565"/>
    </row>
    <row r="354" spans="1:18" s="2" customFormat="1" ht="25.5" customHeight="1" x14ac:dyDescent="0.25">
      <c r="A354" s="20">
        <v>7071</v>
      </c>
      <c r="B354" s="531" t="s">
        <v>331</v>
      </c>
      <c r="C354" s="532"/>
      <c r="D354" s="532"/>
      <c r="E354" s="532"/>
      <c r="F354" s="532"/>
      <c r="G354" s="532"/>
      <c r="H354" s="532"/>
      <c r="I354" s="532"/>
      <c r="J354" s="532"/>
      <c r="K354" s="533"/>
      <c r="L354" s="560"/>
      <c r="M354" s="561"/>
      <c r="N354" s="548" t="str">
        <f>IF(L354&gt;0,"This normally should be a negative number"," ")</f>
        <v xml:space="preserve"> </v>
      </c>
      <c r="O354" s="549"/>
      <c r="P354" s="549"/>
      <c r="Q354" s="549"/>
      <c r="R354" s="550"/>
    </row>
    <row r="355" spans="1:18" s="2" customFormat="1" ht="25.5" customHeight="1" x14ac:dyDescent="0.25">
      <c r="A355" s="20">
        <v>7072</v>
      </c>
      <c r="B355" s="531" t="s">
        <v>332</v>
      </c>
      <c r="C355" s="532"/>
      <c r="D355" s="532"/>
      <c r="E355" s="532"/>
      <c r="F355" s="532"/>
      <c r="G355" s="532"/>
      <c r="H355" s="532"/>
      <c r="I355" s="533"/>
      <c r="J355" s="560"/>
      <c r="K355" s="561"/>
      <c r="L355" s="566"/>
      <c r="M355" s="567"/>
      <c r="N355" s="548" t="str">
        <f>IF(J355&gt;0,"This normally should be a negative number"," ")</f>
        <v xml:space="preserve"> </v>
      </c>
      <c r="O355" s="549"/>
      <c r="P355" s="549"/>
      <c r="Q355" s="549"/>
      <c r="R355" s="550"/>
    </row>
    <row r="356" spans="1:18" s="2" customFormat="1" ht="25.5" customHeight="1" x14ac:dyDescent="0.25">
      <c r="A356" s="20">
        <v>7073</v>
      </c>
      <c r="B356" s="531" t="s">
        <v>333</v>
      </c>
      <c r="C356" s="532"/>
      <c r="D356" s="532"/>
      <c r="E356" s="532"/>
      <c r="F356" s="532"/>
      <c r="G356" s="532"/>
      <c r="H356" s="532"/>
      <c r="I356" s="533"/>
      <c r="J356" s="560"/>
      <c r="K356" s="561"/>
      <c r="L356" s="568"/>
      <c r="M356" s="569"/>
      <c r="N356" s="548" t="str">
        <f>IF(J356&gt;0,"This normally should be a negative number"," ")</f>
        <v xml:space="preserve"> </v>
      </c>
      <c r="O356" s="549"/>
      <c r="P356" s="549"/>
      <c r="Q356" s="549"/>
      <c r="R356" s="550"/>
    </row>
    <row r="357" spans="1:18" s="2" customFormat="1" ht="25.5" customHeight="1" x14ac:dyDescent="0.25">
      <c r="A357" s="20">
        <v>7130</v>
      </c>
      <c r="B357" s="608" t="s">
        <v>1942</v>
      </c>
      <c r="C357" s="609"/>
      <c r="D357" s="609"/>
      <c r="E357" s="609"/>
      <c r="F357" s="609"/>
      <c r="G357" s="609"/>
      <c r="H357" s="609"/>
      <c r="I357" s="609"/>
      <c r="J357" s="560"/>
      <c r="K357" s="561"/>
      <c r="L357" s="570"/>
      <c r="M357" s="571"/>
      <c r="N357" s="548" t="str">
        <f>IF(J357&gt;0,"This should be a negative number"," ")</f>
        <v xml:space="preserve"> </v>
      </c>
      <c r="O357" s="549"/>
      <c r="P357" s="549"/>
      <c r="Q357" s="549"/>
      <c r="R357" s="550"/>
    </row>
    <row r="358" spans="1:18" s="2" customFormat="1" ht="25.5" customHeight="1" x14ac:dyDescent="0.25">
      <c r="A358" s="20">
        <v>7085</v>
      </c>
      <c r="B358" s="531" t="s">
        <v>334</v>
      </c>
      <c r="C358" s="532"/>
      <c r="D358" s="532"/>
      <c r="E358" s="532"/>
      <c r="F358" s="532"/>
      <c r="G358" s="532"/>
      <c r="H358" s="532"/>
      <c r="I358" s="532"/>
      <c r="J358" s="532"/>
      <c r="K358" s="533"/>
      <c r="L358" s="560"/>
      <c r="M358" s="561"/>
      <c r="N358" s="551" t="str">
        <f>IF(AND(ISBLANK(L358),L351&gt;0),"If charges are entered, then expenses must also be entered.","")</f>
        <v/>
      </c>
      <c r="O358" s="552"/>
      <c r="P358" s="552"/>
      <c r="Q358" s="552"/>
      <c r="R358" s="598"/>
    </row>
    <row r="359" spans="1:18" s="2" customFormat="1" ht="25.5" customHeight="1" x14ac:dyDescent="0.25">
      <c r="A359" s="42"/>
    </row>
    <row r="360" spans="1:18" s="2" customFormat="1" ht="25.5" customHeight="1" x14ac:dyDescent="0.25">
      <c r="A360" s="869" t="s">
        <v>1877</v>
      </c>
      <c r="B360" s="701"/>
      <c r="C360" s="701"/>
      <c r="D360" s="701"/>
      <c r="E360" s="701"/>
      <c r="F360" s="701"/>
      <c r="G360" s="701"/>
      <c r="H360" s="701"/>
      <c r="I360" s="701"/>
      <c r="J360" s="701"/>
      <c r="K360" s="701"/>
      <c r="L360" s="701"/>
      <c r="M360" s="701"/>
    </row>
    <row r="361" spans="1:18" s="2" customFormat="1" ht="25.5" customHeight="1" x14ac:dyDescent="0.25">
      <c r="A361" s="18"/>
      <c r="B361" s="19"/>
      <c r="C361" s="19"/>
      <c r="D361" s="19"/>
      <c r="E361" s="19"/>
      <c r="F361" s="19"/>
      <c r="G361" s="19"/>
      <c r="H361" s="19"/>
      <c r="I361" s="19"/>
      <c r="J361" s="19"/>
      <c r="K361" s="19"/>
      <c r="L361" s="19"/>
      <c r="M361" s="19"/>
    </row>
    <row r="362" spans="1:18" s="2" customFormat="1" ht="25.5" customHeight="1" x14ac:dyDescent="0.25">
      <c r="A362" s="875" t="s">
        <v>1878</v>
      </c>
      <c r="B362" s="876"/>
      <c r="C362" s="876"/>
      <c r="D362" s="876"/>
      <c r="E362" s="876"/>
      <c r="F362" s="876"/>
      <c r="G362" s="876"/>
      <c r="H362" s="876"/>
      <c r="I362" s="876"/>
      <c r="J362" s="876"/>
      <c r="K362" s="876"/>
      <c r="L362" s="876"/>
      <c r="M362" s="876"/>
    </row>
    <row r="363" spans="1:18" s="2" customFormat="1" ht="25.5" customHeight="1" x14ac:dyDescent="0.25">
      <c r="A363" s="876"/>
      <c r="B363" s="876"/>
      <c r="C363" s="876"/>
      <c r="D363" s="876"/>
      <c r="E363" s="876"/>
      <c r="F363" s="876"/>
      <c r="G363" s="876"/>
      <c r="H363" s="876"/>
      <c r="I363" s="876"/>
      <c r="J363" s="876"/>
      <c r="K363" s="876"/>
      <c r="L363" s="876"/>
      <c r="M363" s="876"/>
    </row>
    <row r="364" spans="1:18" s="2" customFormat="1" ht="25.5" customHeight="1" x14ac:dyDescent="0.25">
      <c r="A364" s="581" t="s">
        <v>1876</v>
      </c>
      <c r="B364" s="527"/>
      <c r="C364" s="527"/>
      <c r="D364" s="527"/>
      <c r="E364" s="527"/>
      <c r="F364" s="527"/>
      <c r="G364" s="527"/>
      <c r="H364" s="527"/>
      <c r="I364" s="527"/>
      <c r="J364" s="527"/>
      <c r="K364" s="528"/>
      <c r="L364" s="636" t="s">
        <v>3614</v>
      </c>
      <c r="M364" s="636"/>
    </row>
    <row r="365" spans="1:18" s="2" customFormat="1" ht="25.5" customHeight="1" x14ac:dyDescent="0.25">
      <c r="A365" s="20">
        <v>7075</v>
      </c>
      <c r="B365" s="531" t="s">
        <v>335</v>
      </c>
      <c r="C365" s="532"/>
      <c r="D365" s="532"/>
      <c r="E365" s="532"/>
      <c r="F365" s="532"/>
      <c r="G365" s="532"/>
      <c r="H365" s="532"/>
      <c r="I365" s="532"/>
      <c r="J365" s="532"/>
      <c r="K365" s="533"/>
      <c r="L365" s="555">
        <f>Code_7092</f>
        <v>0</v>
      </c>
      <c r="M365" s="556"/>
    </row>
    <row r="366" spans="1:18" s="2" customFormat="1" ht="25.5" customHeight="1" x14ac:dyDescent="0.25">
      <c r="A366" s="20">
        <v>7076</v>
      </c>
      <c r="B366" s="531" t="s">
        <v>336</v>
      </c>
      <c r="C366" s="532"/>
      <c r="D366" s="532"/>
      <c r="E366" s="532"/>
      <c r="F366" s="532"/>
      <c r="G366" s="532"/>
      <c r="H366" s="532"/>
      <c r="I366" s="533"/>
      <c r="J366" s="560"/>
      <c r="K366" s="561"/>
      <c r="L366" s="562"/>
      <c r="M366" s="563"/>
    </row>
    <row r="367" spans="1:18" s="2" customFormat="1" ht="25.5" customHeight="1" x14ac:dyDescent="0.25">
      <c r="A367" s="20">
        <v>7077</v>
      </c>
      <c r="B367" s="531" t="s">
        <v>337</v>
      </c>
      <c r="C367" s="532"/>
      <c r="D367" s="532"/>
      <c r="E367" s="532"/>
      <c r="F367" s="532"/>
      <c r="G367" s="532"/>
      <c r="H367" s="532"/>
      <c r="I367" s="533"/>
      <c r="J367" s="560"/>
      <c r="K367" s="561"/>
      <c r="L367" s="564"/>
      <c r="M367" s="565"/>
    </row>
    <row r="368" spans="1:18" s="2" customFormat="1" ht="25.5" customHeight="1" x14ac:dyDescent="0.25">
      <c r="A368" s="20">
        <v>7078</v>
      </c>
      <c r="B368" s="531" t="s">
        <v>338</v>
      </c>
      <c r="C368" s="532"/>
      <c r="D368" s="532"/>
      <c r="E368" s="532"/>
      <c r="F368" s="532"/>
      <c r="G368" s="532"/>
      <c r="H368" s="532"/>
      <c r="I368" s="532"/>
      <c r="J368" s="532"/>
      <c r="K368" s="533"/>
      <c r="L368" s="560"/>
      <c r="M368" s="561"/>
      <c r="N368" s="548" t="str">
        <f>IF(L368&gt;0,"This normally should be a negative number"," ")</f>
        <v xml:space="preserve"> </v>
      </c>
      <c r="O368" s="549"/>
      <c r="P368" s="549"/>
      <c r="Q368" s="549"/>
      <c r="R368" s="550"/>
    </row>
    <row r="369" spans="1:18" s="2" customFormat="1" ht="25.5" customHeight="1" x14ac:dyDescent="0.25">
      <c r="A369" s="20">
        <v>7079</v>
      </c>
      <c r="B369" s="531" t="s">
        <v>339</v>
      </c>
      <c r="C369" s="532"/>
      <c r="D369" s="532"/>
      <c r="E369" s="532"/>
      <c r="F369" s="532"/>
      <c r="G369" s="532"/>
      <c r="H369" s="532"/>
      <c r="I369" s="533"/>
      <c r="J369" s="560"/>
      <c r="K369" s="561"/>
      <c r="L369" s="566"/>
      <c r="M369" s="567"/>
      <c r="N369" s="548" t="str">
        <f>IF(J369&gt;0,"This normally should be a negative number"," ")</f>
        <v xml:space="preserve"> </v>
      </c>
      <c r="O369" s="549"/>
      <c r="P369" s="549"/>
      <c r="Q369" s="549"/>
      <c r="R369" s="550"/>
    </row>
    <row r="370" spans="1:18" s="2" customFormat="1" ht="25.5" customHeight="1" x14ac:dyDescent="0.25">
      <c r="A370" s="20">
        <v>7080</v>
      </c>
      <c r="B370" s="531" t="s">
        <v>340</v>
      </c>
      <c r="C370" s="532"/>
      <c r="D370" s="532"/>
      <c r="E370" s="532"/>
      <c r="F370" s="532"/>
      <c r="G370" s="532"/>
      <c r="H370" s="532"/>
      <c r="I370" s="533"/>
      <c r="J370" s="560"/>
      <c r="K370" s="561"/>
      <c r="L370" s="568"/>
      <c r="M370" s="569"/>
      <c r="N370" s="548" t="str">
        <f>IF(J370&gt;0,"This normally should be a negative number"," ")</f>
        <v xml:space="preserve"> </v>
      </c>
      <c r="O370" s="549"/>
      <c r="P370" s="549"/>
      <c r="Q370" s="549"/>
      <c r="R370" s="550"/>
    </row>
    <row r="371" spans="1:18" s="2" customFormat="1" ht="25.5" customHeight="1" x14ac:dyDescent="0.25">
      <c r="A371" s="20">
        <v>7124</v>
      </c>
      <c r="B371" s="531" t="s">
        <v>341</v>
      </c>
      <c r="C371" s="532"/>
      <c r="D371" s="532"/>
      <c r="E371" s="532"/>
      <c r="F371" s="532"/>
      <c r="G371" s="532"/>
      <c r="H371" s="532"/>
      <c r="I371" s="533"/>
      <c r="J371" s="560"/>
      <c r="K371" s="561"/>
      <c r="L371" s="568"/>
      <c r="M371" s="569"/>
      <c r="N371" s="548" t="str">
        <f>IF(J371&gt;0,"This normally should be a negative number"," ")</f>
        <v xml:space="preserve"> </v>
      </c>
      <c r="O371" s="549"/>
      <c r="P371" s="549"/>
      <c r="Q371" s="549"/>
      <c r="R371" s="550"/>
    </row>
    <row r="372" spans="1:18" s="2" customFormat="1" ht="25.5" customHeight="1" x14ac:dyDescent="0.25">
      <c r="A372" s="20">
        <v>7131</v>
      </c>
      <c r="B372" s="608" t="s">
        <v>1941</v>
      </c>
      <c r="C372" s="609"/>
      <c r="D372" s="609"/>
      <c r="E372" s="609"/>
      <c r="F372" s="609"/>
      <c r="G372" s="609"/>
      <c r="H372" s="609"/>
      <c r="I372" s="609"/>
      <c r="J372" s="560"/>
      <c r="K372" s="561"/>
      <c r="L372" s="570"/>
      <c r="M372" s="571"/>
      <c r="N372" s="548" t="str">
        <f>IF(J372&gt;0,"This should be a negative number"," ")</f>
        <v xml:space="preserve"> </v>
      </c>
      <c r="O372" s="549"/>
      <c r="P372" s="549"/>
      <c r="Q372" s="549"/>
      <c r="R372" s="550"/>
    </row>
    <row r="373" spans="1:18" s="2" customFormat="1" ht="25.5" customHeight="1" x14ac:dyDescent="0.25">
      <c r="A373" s="20">
        <v>7086</v>
      </c>
      <c r="B373" s="531" t="s">
        <v>342</v>
      </c>
      <c r="C373" s="532"/>
      <c r="D373" s="532"/>
      <c r="E373" s="532"/>
      <c r="F373" s="532"/>
      <c r="G373" s="532"/>
      <c r="H373" s="532"/>
      <c r="I373" s="532"/>
      <c r="J373" s="532"/>
      <c r="K373" s="533"/>
      <c r="L373" s="560"/>
      <c r="M373" s="561"/>
      <c r="N373" s="551" t="str">
        <f>IF(AND(ISBLANK(L373),L365&gt;0),"If charges are entered, then expenses must also be entered.","")</f>
        <v/>
      </c>
      <c r="O373" s="552"/>
      <c r="P373" s="552"/>
      <c r="Q373" s="552"/>
      <c r="R373" s="598"/>
    </row>
    <row r="374" spans="1:18" s="2" customFormat="1" ht="25.5" customHeight="1" x14ac:dyDescent="0.3">
      <c r="A374" s="15" t="e">
        <f>$A$33</f>
        <v>#N/A</v>
      </c>
    </row>
    <row r="375" spans="1:18" s="2" customFormat="1" ht="25.5" customHeight="1" x14ac:dyDescent="0.25">
      <c r="A375" s="869" t="s">
        <v>1887</v>
      </c>
      <c r="B375" s="701"/>
      <c r="C375" s="701"/>
      <c r="D375" s="701"/>
      <c r="E375" s="701"/>
      <c r="F375" s="701"/>
      <c r="G375" s="701"/>
      <c r="H375" s="701"/>
      <c r="I375" s="701"/>
      <c r="J375" s="701"/>
      <c r="K375" s="701"/>
      <c r="L375" s="701"/>
      <c r="M375" s="701"/>
    </row>
    <row r="376" spans="1:18" s="2" customFormat="1" ht="25.5" customHeight="1" x14ac:dyDescent="0.25">
      <c r="A376" s="862" t="s">
        <v>1882</v>
      </c>
      <c r="B376" s="863"/>
      <c r="C376" s="863"/>
      <c r="D376" s="863"/>
      <c r="E376" s="3"/>
      <c r="F376" s="865" t="s">
        <v>343</v>
      </c>
      <c r="G376" s="866"/>
      <c r="H376" s="3"/>
      <c r="I376" s="865" t="s">
        <v>344</v>
      </c>
      <c r="J376" s="866"/>
      <c r="K376" s="52"/>
      <c r="L376" s="636" t="s">
        <v>3614</v>
      </c>
      <c r="M376" s="636"/>
      <c r="N376" s="550" t="str">
        <f>IF($D$5&gt;=200,"This section is REQUIRED for Pyschiatric and Specialty hospitals.","")</f>
        <v/>
      </c>
      <c r="O376" s="550"/>
      <c r="P376" s="550"/>
      <c r="Q376" s="550"/>
      <c r="R376" s="550"/>
    </row>
    <row r="377" spans="1:18" s="2" customFormat="1" ht="25.5" customHeight="1" x14ac:dyDescent="0.3">
      <c r="A377" s="864"/>
      <c r="B377" s="864"/>
      <c r="C377" s="864"/>
      <c r="D377" s="864"/>
      <c r="E377" s="53" t="s">
        <v>345</v>
      </c>
      <c r="F377" s="867"/>
      <c r="G377" s="867"/>
      <c r="H377" s="53" t="s">
        <v>345</v>
      </c>
      <c r="I377" s="867"/>
      <c r="J377" s="867"/>
      <c r="K377" s="53" t="s">
        <v>345</v>
      </c>
      <c r="L377" s="696" t="s">
        <v>346</v>
      </c>
      <c r="M377" s="696"/>
    </row>
    <row r="378" spans="1:18" s="2" customFormat="1" ht="25.5" customHeight="1" x14ac:dyDescent="0.25">
      <c r="A378" s="578" t="s">
        <v>347</v>
      </c>
      <c r="B378" s="579"/>
      <c r="C378" s="579"/>
      <c r="D378" s="580"/>
      <c r="E378" s="438">
        <v>2021</v>
      </c>
      <c r="F378" s="560"/>
      <c r="G378" s="561"/>
      <c r="H378" s="438">
        <v>2031</v>
      </c>
      <c r="I378" s="856"/>
      <c r="J378" s="857"/>
      <c r="K378" s="438">
        <v>2071</v>
      </c>
      <c r="L378" s="856"/>
      <c r="M378" s="857"/>
      <c r="N378" s="601" t="s">
        <v>1653</v>
      </c>
      <c r="O378" s="602"/>
      <c r="P378" s="602"/>
      <c r="Q378" s="602"/>
      <c r="R378" s="602"/>
    </row>
    <row r="379" spans="1:18" s="2" customFormat="1" ht="25.5" customHeight="1" x14ac:dyDescent="0.25">
      <c r="A379" s="578" t="s">
        <v>348</v>
      </c>
      <c r="B379" s="579"/>
      <c r="C379" s="579"/>
      <c r="D379" s="580"/>
      <c r="E379" s="438">
        <v>2022</v>
      </c>
      <c r="F379" s="560"/>
      <c r="G379" s="561"/>
      <c r="H379" s="438">
        <v>2032</v>
      </c>
      <c r="I379" s="856"/>
      <c r="J379" s="857"/>
      <c r="K379" s="438">
        <v>2072</v>
      </c>
      <c r="L379" s="856"/>
      <c r="M379" s="857"/>
    </row>
    <row r="380" spans="1:18" s="2" customFormat="1" ht="25.5" customHeight="1" x14ac:dyDescent="0.25">
      <c r="A380" s="578" t="s">
        <v>349</v>
      </c>
      <c r="B380" s="579"/>
      <c r="C380" s="579"/>
      <c r="D380" s="580"/>
      <c r="E380" s="438">
        <v>2121</v>
      </c>
      <c r="F380" s="560"/>
      <c r="G380" s="561"/>
      <c r="H380" s="438">
        <v>2131</v>
      </c>
      <c r="I380" s="856"/>
      <c r="J380" s="857"/>
      <c r="K380" s="438">
        <v>2171</v>
      </c>
      <c r="L380" s="856"/>
      <c r="M380" s="857"/>
    </row>
    <row r="381" spans="1:18" s="2" customFormat="1" ht="25.5" customHeight="1" x14ac:dyDescent="0.25">
      <c r="A381" s="578" t="s">
        <v>350</v>
      </c>
      <c r="B381" s="579"/>
      <c r="C381" s="579"/>
      <c r="D381" s="580"/>
      <c r="E381" s="438">
        <v>2026</v>
      </c>
      <c r="F381" s="560"/>
      <c r="G381" s="561"/>
      <c r="H381" s="438">
        <v>2036</v>
      </c>
      <c r="I381" s="856"/>
      <c r="J381" s="857"/>
      <c r="K381" s="438">
        <v>2076</v>
      </c>
      <c r="L381" s="856"/>
      <c r="M381" s="857"/>
    </row>
    <row r="382" spans="1:18" s="2" customFormat="1" ht="25.5" customHeight="1" x14ac:dyDescent="0.25">
      <c r="A382" s="578" t="s">
        <v>351</v>
      </c>
      <c r="B382" s="579"/>
      <c r="C382" s="579"/>
      <c r="D382" s="580"/>
      <c r="E382" s="438">
        <v>2023</v>
      </c>
      <c r="F382" s="560"/>
      <c r="G382" s="561"/>
      <c r="H382" s="438">
        <v>2033</v>
      </c>
      <c r="I382" s="856"/>
      <c r="J382" s="857"/>
      <c r="K382" s="438">
        <v>2073</v>
      </c>
      <c r="L382" s="856"/>
      <c r="M382" s="857"/>
    </row>
    <row r="383" spans="1:18" s="2" customFormat="1" ht="25.5" customHeight="1" x14ac:dyDescent="0.25">
      <c r="A383" s="578" t="s">
        <v>352</v>
      </c>
      <c r="B383" s="579"/>
      <c r="C383" s="579"/>
      <c r="D383" s="580"/>
      <c r="E383" s="438">
        <v>2027</v>
      </c>
      <c r="F383" s="560"/>
      <c r="G383" s="561"/>
      <c r="H383" s="438">
        <v>2037</v>
      </c>
      <c r="I383" s="856"/>
      <c r="J383" s="857"/>
      <c r="K383" s="438">
        <v>2077</v>
      </c>
      <c r="L383" s="856"/>
      <c r="M383" s="857"/>
    </row>
    <row r="384" spans="1:18" s="2" customFormat="1" ht="25.5" customHeight="1" x14ac:dyDescent="0.25">
      <c r="A384" s="578" t="s">
        <v>353</v>
      </c>
      <c r="B384" s="579"/>
      <c r="C384" s="579"/>
      <c r="D384" s="580"/>
      <c r="E384" s="438">
        <v>2024</v>
      </c>
      <c r="F384" s="560"/>
      <c r="G384" s="561"/>
      <c r="H384" s="438">
        <v>2034</v>
      </c>
      <c r="I384" s="856"/>
      <c r="J384" s="857"/>
      <c r="K384" s="438">
        <v>2074</v>
      </c>
      <c r="L384" s="856"/>
      <c r="M384" s="857"/>
    </row>
    <row r="385" spans="1:18" s="2" customFormat="1" ht="25.5" customHeight="1" x14ac:dyDescent="0.25">
      <c r="A385" s="578" t="s">
        <v>354</v>
      </c>
      <c r="B385" s="579"/>
      <c r="C385" s="579"/>
      <c r="D385" s="580"/>
      <c r="E385" s="438">
        <v>2028</v>
      </c>
      <c r="F385" s="560"/>
      <c r="G385" s="561"/>
      <c r="H385" s="438">
        <v>2038</v>
      </c>
      <c r="I385" s="856"/>
      <c r="J385" s="857"/>
      <c r="K385" s="438">
        <v>2078</v>
      </c>
      <c r="L385" s="856"/>
      <c r="M385" s="857"/>
    </row>
    <row r="386" spans="1:18" s="2" customFormat="1" ht="25.5" customHeight="1" x14ac:dyDescent="0.25">
      <c r="A386" s="578" t="s">
        <v>355</v>
      </c>
      <c r="B386" s="579"/>
      <c r="C386" s="579"/>
      <c r="D386" s="580"/>
      <c r="E386" s="438">
        <v>2122</v>
      </c>
      <c r="F386" s="560"/>
      <c r="G386" s="561"/>
      <c r="H386" s="438">
        <v>2132</v>
      </c>
      <c r="I386" s="856"/>
      <c r="J386" s="857"/>
      <c r="K386" s="438">
        <v>2172</v>
      </c>
      <c r="L386" s="856"/>
      <c r="M386" s="857"/>
    </row>
    <row r="387" spans="1:18" s="2" customFormat="1" ht="25.5" customHeight="1" x14ac:dyDescent="0.25">
      <c r="A387" s="578" t="s">
        <v>356</v>
      </c>
      <c r="B387" s="579"/>
      <c r="C387" s="579"/>
      <c r="D387" s="580"/>
      <c r="E387" s="438">
        <v>2123</v>
      </c>
      <c r="F387" s="560"/>
      <c r="G387" s="561"/>
      <c r="H387" s="438">
        <v>2133</v>
      </c>
      <c r="I387" s="856"/>
      <c r="J387" s="857"/>
      <c r="K387" s="438">
        <v>2173</v>
      </c>
      <c r="L387" s="856"/>
      <c r="M387" s="857"/>
    </row>
    <row r="388" spans="1:18" s="2" customFormat="1" ht="25.5" customHeight="1" x14ac:dyDescent="0.25">
      <c r="A388" s="858" t="s">
        <v>2233</v>
      </c>
      <c r="B388" s="579"/>
      <c r="C388" s="579"/>
      <c r="D388" s="580"/>
      <c r="E388" s="438">
        <v>2178</v>
      </c>
      <c r="F388" s="560"/>
      <c r="G388" s="561"/>
      <c r="H388" s="438">
        <v>2188</v>
      </c>
      <c r="I388" s="856"/>
      <c r="J388" s="857"/>
      <c r="K388" s="438">
        <v>2198</v>
      </c>
      <c r="L388" s="856"/>
      <c r="M388" s="857"/>
    </row>
    <row r="389" spans="1:18" s="2" customFormat="1" ht="25.5" customHeight="1" x14ac:dyDescent="0.25">
      <c r="A389" s="578" t="s">
        <v>357</v>
      </c>
      <c r="B389" s="579"/>
      <c r="C389" s="579"/>
      <c r="D389" s="580"/>
      <c r="E389" s="438">
        <v>2125</v>
      </c>
      <c r="F389" s="560"/>
      <c r="G389" s="561"/>
      <c r="H389" s="438">
        <v>2135</v>
      </c>
      <c r="I389" s="856"/>
      <c r="J389" s="857"/>
      <c r="K389" s="438">
        <v>2175</v>
      </c>
      <c r="L389" s="856"/>
      <c r="M389" s="857"/>
    </row>
    <row r="390" spans="1:18" s="2" customFormat="1" ht="25.5" customHeight="1" x14ac:dyDescent="0.25">
      <c r="A390" s="578" t="s">
        <v>2983</v>
      </c>
      <c r="B390" s="579"/>
      <c r="C390" s="579"/>
      <c r="D390" s="580"/>
      <c r="E390" s="438">
        <v>2104</v>
      </c>
      <c r="F390" s="560"/>
      <c r="G390" s="561"/>
      <c r="H390" s="438">
        <v>2114</v>
      </c>
      <c r="I390" s="856"/>
      <c r="J390" s="857"/>
      <c r="K390" s="438">
        <v>2194</v>
      </c>
      <c r="L390" s="856"/>
      <c r="M390" s="857"/>
    </row>
    <row r="391" spans="1:18" s="2" customFormat="1" ht="25.5" customHeight="1" x14ac:dyDescent="0.25">
      <c r="A391" s="578" t="s">
        <v>358</v>
      </c>
      <c r="B391" s="579"/>
      <c r="C391" s="579"/>
      <c r="D391" s="580"/>
      <c r="E391" s="54"/>
      <c r="F391" s="871"/>
      <c r="G391" s="871"/>
      <c r="H391" s="55"/>
      <c r="I391" s="871"/>
      <c r="J391" s="872"/>
      <c r="K391" s="438">
        <v>2176</v>
      </c>
      <c r="L391" s="856"/>
      <c r="M391" s="857"/>
    </row>
    <row r="392" spans="1:18" s="2" customFormat="1" ht="25.5" customHeight="1" x14ac:dyDescent="0.25">
      <c r="A392" s="859" t="s">
        <v>359</v>
      </c>
      <c r="B392" s="579"/>
      <c r="C392" s="579"/>
      <c r="D392" s="580"/>
      <c r="E392" s="438">
        <v>2128</v>
      </c>
      <c r="F392" s="553">
        <f>F393-SUM(F378:G391)</f>
        <v>0</v>
      </c>
      <c r="G392" s="554"/>
      <c r="H392" s="438">
        <v>2138</v>
      </c>
      <c r="I392" s="804">
        <f>I393-SUM(I378:J391)</f>
        <v>0</v>
      </c>
      <c r="J392" s="805"/>
      <c r="K392" s="438">
        <v>2177</v>
      </c>
      <c r="L392" s="804">
        <f>L393-SUM(L378:M391)</f>
        <v>0</v>
      </c>
      <c r="M392" s="805"/>
    </row>
    <row r="393" spans="1:18" s="2" customFormat="1" ht="25.5" customHeight="1" x14ac:dyDescent="0.25">
      <c r="A393" s="849" t="s">
        <v>360</v>
      </c>
      <c r="B393" s="850"/>
      <c r="C393" s="850"/>
      <c r="D393" s="851"/>
      <c r="E393" s="438">
        <v>2030</v>
      </c>
      <c r="F393" s="873">
        <f>Code_0601</f>
        <v>0</v>
      </c>
      <c r="G393" s="874"/>
      <c r="H393" s="438">
        <v>2040</v>
      </c>
      <c r="I393" s="847"/>
      <c r="J393" s="848"/>
      <c r="K393" s="438">
        <v>2080</v>
      </c>
      <c r="L393" s="847"/>
      <c r="M393" s="848"/>
    </row>
    <row r="394" spans="1:18" s="2" customFormat="1" ht="25.5" customHeight="1" x14ac:dyDescent="0.3">
      <c r="A394" s="15"/>
    </row>
    <row r="395" spans="1:18" s="2" customFormat="1" ht="25.5" customHeight="1" x14ac:dyDescent="0.25">
      <c r="A395" s="869" t="s">
        <v>1887</v>
      </c>
      <c r="B395" s="701"/>
      <c r="C395" s="701"/>
      <c r="D395" s="701"/>
      <c r="E395" s="701"/>
      <c r="F395" s="701"/>
      <c r="G395" s="701"/>
      <c r="H395" s="701"/>
      <c r="I395" s="701"/>
      <c r="J395" s="701"/>
      <c r="K395" s="701"/>
      <c r="L395" s="701"/>
      <c r="M395" s="701"/>
    </row>
    <row r="396" spans="1:18" s="2" customFormat="1" ht="25.5" customHeight="1" x14ac:dyDescent="0.25">
      <c r="A396" s="862" t="s">
        <v>1531</v>
      </c>
      <c r="B396" s="863"/>
      <c r="C396" s="863"/>
      <c r="D396" s="863"/>
      <c r="E396" s="3"/>
      <c r="F396" s="865" t="s">
        <v>361</v>
      </c>
      <c r="G396" s="866"/>
      <c r="H396" s="3"/>
      <c r="I396" s="865" t="s">
        <v>362</v>
      </c>
      <c r="J396" s="866"/>
      <c r="K396" s="52"/>
      <c r="L396" s="636" t="s">
        <v>3614</v>
      </c>
      <c r="M396" s="636"/>
      <c r="N396" s="550" t="str">
        <f>IF($D$5&gt;=200,"This section is REQUIRED for Pyschiatric and Specialty hospitals.","")</f>
        <v/>
      </c>
      <c r="O396" s="550"/>
      <c r="P396" s="550"/>
      <c r="Q396" s="550"/>
      <c r="R396" s="550"/>
    </row>
    <row r="397" spans="1:18" s="2" customFormat="1" ht="25.5" customHeight="1" x14ac:dyDescent="0.3">
      <c r="A397" s="864"/>
      <c r="B397" s="864"/>
      <c r="C397" s="864"/>
      <c r="D397" s="864"/>
      <c r="E397" s="53" t="s">
        <v>345</v>
      </c>
      <c r="F397" s="867"/>
      <c r="G397" s="867"/>
      <c r="H397" s="53" t="s">
        <v>345</v>
      </c>
      <c r="I397" s="867"/>
      <c r="J397" s="867"/>
      <c r="K397" s="53" t="s">
        <v>345</v>
      </c>
      <c r="L397" s="870" t="s">
        <v>363</v>
      </c>
      <c r="M397" s="696"/>
    </row>
    <row r="398" spans="1:18" s="2" customFormat="1" ht="25.5" customHeight="1" x14ac:dyDescent="0.25">
      <c r="A398" s="578" t="s">
        <v>347</v>
      </c>
      <c r="B398" s="579"/>
      <c r="C398" s="579"/>
      <c r="D398" s="580"/>
      <c r="E398" s="438">
        <v>2051</v>
      </c>
      <c r="F398" s="616"/>
      <c r="G398" s="617"/>
      <c r="H398" s="438">
        <v>2061</v>
      </c>
      <c r="I398" s="616"/>
      <c r="J398" s="617"/>
      <c r="K398" s="438">
        <v>7412</v>
      </c>
      <c r="L398" s="788">
        <f t="shared" ref="L398:L413" si="0">F398+I398</f>
        <v>0</v>
      </c>
      <c r="M398" s="789"/>
      <c r="N398" s="601"/>
      <c r="O398" s="602"/>
      <c r="P398" s="602"/>
      <c r="Q398" s="602"/>
      <c r="R398" s="602"/>
    </row>
    <row r="399" spans="1:18" s="2" customFormat="1" ht="25.5" customHeight="1" x14ac:dyDescent="0.25">
      <c r="A399" s="578" t="s">
        <v>348</v>
      </c>
      <c r="B399" s="579"/>
      <c r="C399" s="579"/>
      <c r="D399" s="580"/>
      <c r="E399" s="438">
        <v>2052</v>
      </c>
      <c r="F399" s="616"/>
      <c r="G399" s="617"/>
      <c r="H399" s="438">
        <v>2062</v>
      </c>
      <c r="I399" s="616"/>
      <c r="J399" s="617"/>
      <c r="K399" s="438">
        <v>7413</v>
      </c>
      <c r="L399" s="788">
        <f t="shared" si="0"/>
        <v>0</v>
      </c>
      <c r="M399" s="789"/>
    </row>
    <row r="400" spans="1:18" s="2" customFormat="1" ht="25.5" customHeight="1" x14ac:dyDescent="0.25">
      <c r="A400" s="578" t="s">
        <v>349</v>
      </c>
      <c r="B400" s="579"/>
      <c r="C400" s="579"/>
      <c r="D400" s="580"/>
      <c r="E400" s="438">
        <v>2151</v>
      </c>
      <c r="F400" s="616"/>
      <c r="G400" s="617"/>
      <c r="H400" s="438">
        <v>2161</v>
      </c>
      <c r="I400" s="616"/>
      <c r="J400" s="617"/>
      <c r="K400" s="438">
        <v>7414</v>
      </c>
      <c r="L400" s="788">
        <f t="shared" si="0"/>
        <v>0</v>
      </c>
      <c r="M400" s="789"/>
    </row>
    <row r="401" spans="1:18" s="2" customFormat="1" ht="25.5" customHeight="1" x14ac:dyDescent="0.25">
      <c r="A401" s="578" t="s">
        <v>350</v>
      </c>
      <c r="B401" s="579"/>
      <c r="C401" s="579"/>
      <c r="D401" s="580"/>
      <c r="E401" s="438">
        <v>2056</v>
      </c>
      <c r="F401" s="616"/>
      <c r="G401" s="617"/>
      <c r="H401" s="438">
        <v>2066</v>
      </c>
      <c r="I401" s="616"/>
      <c r="J401" s="617"/>
      <c r="K401" s="438">
        <v>7415</v>
      </c>
      <c r="L401" s="788">
        <f t="shared" si="0"/>
        <v>0</v>
      </c>
      <c r="M401" s="789"/>
    </row>
    <row r="402" spans="1:18" s="2" customFormat="1" ht="25.5" customHeight="1" x14ac:dyDescent="0.25">
      <c r="A402" s="578" t="s">
        <v>351</v>
      </c>
      <c r="B402" s="579"/>
      <c r="C402" s="579"/>
      <c r="D402" s="580"/>
      <c r="E402" s="438">
        <v>2053</v>
      </c>
      <c r="F402" s="616"/>
      <c r="G402" s="617"/>
      <c r="H402" s="438">
        <v>2063</v>
      </c>
      <c r="I402" s="616"/>
      <c r="J402" s="617"/>
      <c r="K402" s="438">
        <v>7416</v>
      </c>
      <c r="L402" s="788">
        <f t="shared" si="0"/>
        <v>0</v>
      </c>
      <c r="M402" s="789"/>
    </row>
    <row r="403" spans="1:18" s="2" customFormat="1" ht="25.5" customHeight="1" x14ac:dyDescent="0.25">
      <c r="A403" s="578" t="s">
        <v>352</v>
      </c>
      <c r="B403" s="579"/>
      <c r="C403" s="579"/>
      <c r="D403" s="580"/>
      <c r="E403" s="438">
        <v>2057</v>
      </c>
      <c r="F403" s="616"/>
      <c r="G403" s="617"/>
      <c r="H403" s="438">
        <v>2067</v>
      </c>
      <c r="I403" s="616"/>
      <c r="J403" s="617"/>
      <c r="K403" s="438">
        <v>7417</v>
      </c>
      <c r="L403" s="788">
        <f t="shared" si="0"/>
        <v>0</v>
      </c>
      <c r="M403" s="789"/>
    </row>
    <row r="404" spans="1:18" s="2" customFormat="1" ht="25.5" customHeight="1" x14ac:dyDescent="0.25">
      <c r="A404" s="578" t="s">
        <v>353</v>
      </c>
      <c r="B404" s="579"/>
      <c r="C404" s="579"/>
      <c r="D404" s="580"/>
      <c r="E404" s="438">
        <v>2054</v>
      </c>
      <c r="F404" s="616"/>
      <c r="G404" s="617"/>
      <c r="H404" s="438">
        <v>2064</v>
      </c>
      <c r="I404" s="616"/>
      <c r="J404" s="617"/>
      <c r="K404" s="438">
        <v>7418</v>
      </c>
      <c r="L404" s="788">
        <f t="shared" si="0"/>
        <v>0</v>
      </c>
      <c r="M404" s="789"/>
    </row>
    <row r="405" spans="1:18" s="2" customFormat="1" ht="25.5" customHeight="1" x14ac:dyDescent="0.25">
      <c r="A405" s="578" t="s">
        <v>354</v>
      </c>
      <c r="B405" s="579"/>
      <c r="C405" s="579"/>
      <c r="D405" s="580"/>
      <c r="E405" s="438">
        <v>2058</v>
      </c>
      <c r="F405" s="616"/>
      <c r="G405" s="617"/>
      <c r="H405" s="438">
        <v>2068</v>
      </c>
      <c r="I405" s="616"/>
      <c r="J405" s="617"/>
      <c r="K405" s="438">
        <v>7419</v>
      </c>
      <c r="L405" s="788">
        <f t="shared" si="0"/>
        <v>0</v>
      </c>
      <c r="M405" s="789"/>
    </row>
    <row r="406" spans="1:18" s="2" customFormat="1" ht="25.5" customHeight="1" x14ac:dyDescent="0.25">
      <c r="A406" s="578" t="s">
        <v>355</v>
      </c>
      <c r="B406" s="579"/>
      <c r="C406" s="579"/>
      <c r="D406" s="580"/>
      <c r="E406" s="438">
        <v>2152</v>
      </c>
      <c r="F406" s="616"/>
      <c r="G406" s="617"/>
      <c r="H406" s="438">
        <v>2162</v>
      </c>
      <c r="I406" s="616"/>
      <c r="J406" s="617"/>
      <c r="K406" s="438">
        <v>7420</v>
      </c>
      <c r="L406" s="788">
        <f t="shared" si="0"/>
        <v>0</v>
      </c>
      <c r="M406" s="789"/>
    </row>
    <row r="407" spans="1:18" s="2" customFormat="1" ht="25.5" customHeight="1" x14ac:dyDescent="0.25">
      <c r="A407" s="578" t="s">
        <v>356</v>
      </c>
      <c r="B407" s="579"/>
      <c r="C407" s="579"/>
      <c r="D407" s="580"/>
      <c r="E407" s="438">
        <v>2153</v>
      </c>
      <c r="F407" s="616"/>
      <c r="G407" s="617"/>
      <c r="H407" s="438">
        <v>2163</v>
      </c>
      <c r="I407" s="616"/>
      <c r="J407" s="617"/>
      <c r="K407" s="438">
        <v>7421</v>
      </c>
      <c r="L407" s="788">
        <f t="shared" si="0"/>
        <v>0</v>
      </c>
      <c r="M407" s="789"/>
    </row>
    <row r="408" spans="1:18" s="2" customFormat="1" ht="25.5" customHeight="1" x14ac:dyDescent="0.25">
      <c r="A408" s="858" t="s">
        <v>2233</v>
      </c>
      <c r="B408" s="579"/>
      <c r="C408" s="579"/>
      <c r="D408" s="580"/>
      <c r="E408" s="438">
        <v>2182</v>
      </c>
      <c r="F408" s="616"/>
      <c r="G408" s="617"/>
      <c r="H408" s="438">
        <v>2192</v>
      </c>
      <c r="I408" s="616"/>
      <c r="J408" s="617"/>
      <c r="K408" s="438">
        <v>7282</v>
      </c>
      <c r="L408" s="788">
        <f t="shared" si="0"/>
        <v>0</v>
      </c>
      <c r="M408" s="789"/>
    </row>
    <row r="409" spans="1:18" s="2" customFormat="1" ht="25.5" customHeight="1" x14ac:dyDescent="0.25">
      <c r="A409" s="578" t="s">
        <v>357</v>
      </c>
      <c r="B409" s="579"/>
      <c r="C409" s="579"/>
      <c r="D409" s="580"/>
      <c r="E409" s="438">
        <v>2155</v>
      </c>
      <c r="F409" s="616"/>
      <c r="G409" s="617"/>
      <c r="H409" s="438">
        <v>2165</v>
      </c>
      <c r="I409" s="616"/>
      <c r="J409" s="617"/>
      <c r="K409" s="438">
        <v>7423</v>
      </c>
      <c r="L409" s="788">
        <f t="shared" si="0"/>
        <v>0</v>
      </c>
      <c r="M409" s="789"/>
    </row>
    <row r="410" spans="1:18" s="2" customFormat="1" ht="25.5" customHeight="1" x14ac:dyDescent="0.25">
      <c r="A410" s="578" t="s">
        <v>2983</v>
      </c>
      <c r="B410" s="579"/>
      <c r="C410" s="579"/>
      <c r="D410" s="580"/>
      <c r="E410" s="438">
        <v>2158</v>
      </c>
      <c r="F410" s="616"/>
      <c r="G410" s="617"/>
      <c r="H410" s="438">
        <v>2168</v>
      </c>
      <c r="I410" s="616"/>
      <c r="J410" s="617"/>
      <c r="K410" s="438">
        <v>7148</v>
      </c>
      <c r="L410" s="788">
        <f t="shared" ref="L410" si="1">F410+I410</f>
        <v>0</v>
      </c>
      <c r="M410" s="789"/>
    </row>
    <row r="411" spans="1:18" s="2" customFormat="1" ht="25.5" customHeight="1" x14ac:dyDescent="0.25">
      <c r="A411" s="578" t="s">
        <v>358</v>
      </c>
      <c r="B411" s="579"/>
      <c r="C411" s="579"/>
      <c r="D411" s="580"/>
      <c r="E411" s="438">
        <v>2156</v>
      </c>
      <c r="F411" s="616"/>
      <c r="G411" s="617"/>
      <c r="H411" s="438">
        <v>2166</v>
      </c>
      <c r="I411" s="616"/>
      <c r="J411" s="617"/>
      <c r="K411" s="438">
        <v>7424</v>
      </c>
      <c r="L411" s="788">
        <f t="shared" si="0"/>
        <v>0</v>
      </c>
      <c r="M411" s="789"/>
    </row>
    <row r="412" spans="1:18" s="2" customFormat="1" ht="25.5" customHeight="1" x14ac:dyDescent="0.25">
      <c r="A412" s="859" t="s">
        <v>359</v>
      </c>
      <c r="B412" s="579"/>
      <c r="C412" s="579"/>
      <c r="D412" s="580"/>
      <c r="E412" s="438">
        <v>2157</v>
      </c>
      <c r="F412" s="788">
        <f>F413-SUM(F398:G411)</f>
        <v>0</v>
      </c>
      <c r="G412" s="789"/>
      <c r="H412" s="438">
        <v>2167</v>
      </c>
      <c r="I412" s="788">
        <f>I413-SUM(I398:J411)</f>
        <v>0</v>
      </c>
      <c r="J412" s="789"/>
      <c r="K412" s="438">
        <v>7425</v>
      </c>
      <c r="L412" s="788">
        <f t="shared" ref="L412" si="2">F412+I412</f>
        <v>0</v>
      </c>
      <c r="M412" s="789"/>
    </row>
    <row r="413" spans="1:18" s="2" customFormat="1" ht="25.5" customHeight="1" x14ac:dyDescent="0.25">
      <c r="A413" s="849" t="s">
        <v>989</v>
      </c>
      <c r="B413" s="850"/>
      <c r="C413" s="850"/>
      <c r="D413" s="851"/>
      <c r="E413" s="438">
        <v>2060</v>
      </c>
      <c r="F413" s="616"/>
      <c r="G413" s="617"/>
      <c r="H413" s="438">
        <v>2070</v>
      </c>
      <c r="I413" s="616"/>
      <c r="J413" s="617"/>
      <c r="K413" s="438">
        <v>7426</v>
      </c>
      <c r="L413" s="698">
        <f t="shared" si="0"/>
        <v>0</v>
      </c>
      <c r="M413" s="699"/>
    </row>
    <row r="414" spans="1:18" s="2" customFormat="1" ht="25.5" customHeight="1" x14ac:dyDescent="0.3">
      <c r="A414" s="15" t="e">
        <f>$A$33</f>
        <v>#N/A</v>
      </c>
      <c r="F414" s="56"/>
      <c r="G414" s="56"/>
    </row>
    <row r="415" spans="1:18" s="2" customFormat="1" ht="25.5" customHeight="1" x14ac:dyDescent="0.25">
      <c r="A415" s="700" t="s">
        <v>364</v>
      </c>
      <c r="B415" s="701"/>
      <c r="C415" s="701"/>
      <c r="D415" s="701"/>
      <c r="E415" s="701"/>
      <c r="F415" s="701"/>
      <c r="G415" s="701"/>
      <c r="H415" s="701"/>
      <c r="I415" s="701"/>
      <c r="J415" s="701"/>
      <c r="K415" s="701"/>
      <c r="L415" s="701"/>
      <c r="M415" s="701"/>
    </row>
    <row r="416" spans="1:18" s="2" customFormat="1" ht="25.5" customHeight="1" x14ac:dyDescent="0.25">
      <c r="A416" s="862" t="s">
        <v>1883</v>
      </c>
      <c r="B416" s="863"/>
      <c r="C416" s="863"/>
      <c r="D416" s="863"/>
      <c r="E416" s="3"/>
      <c r="F416" s="865" t="s">
        <v>365</v>
      </c>
      <c r="G416" s="866"/>
      <c r="H416" s="3"/>
      <c r="I416" s="865" t="s">
        <v>366</v>
      </c>
      <c r="J416" s="866"/>
      <c r="K416" s="52"/>
      <c r="L416" s="636" t="s">
        <v>3614</v>
      </c>
      <c r="M416" s="636"/>
      <c r="N416" s="550" t="str">
        <f>IF($D$5&gt;=200,"This section is REQUIRED for Pyschiatric and Specialty hospitals.","")</f>
        <v/>
      </c>
      <c r="O416" s="550"/>
      <c r="P416" s="550"/>
      <c r="Q416" s="550"/>
      <c r="R416" s="550"/>
    </row>
    <row r="417" spans="1:13" s="2" customFormat="1" ht="25.5" customHeight="1" x14ac:dyDescent="0.3">
      <c r="A417" s="864"/>
      <c r="B417" s="864"/>
      <c r="C417" s="864"/>
      <c r="D417" s="864"/>
      <c r="E417" s="53" t="s">
        <v>345</v>
      </c>
      <c r="F417" s="867"/>
      <c r="G417" s="867"/>
      <c r="H417" s="53" t="s">
        <v>345</v>
      </c>
      <c r="I417" s="867"/>
      <c r="J417" s="867"/>
      <c r="K417" s="53"/>
      <c r="L417" s="868"/>
      <c r="M417" s="636"/>
    </row>
    <row r="418" spans="1:13" s="2" customFormat="1" ht="25.5" customHeight="1" x14ac:dyDescent="0.25">
      <c r="A418" s="578" t="s">
        <v>347</v>
      </c>
      <c r="B418" s="579"/>
      <c r="C418" s="579"/>
      <c r="D418" s="580"/>
      <c r="E418" s="438">
        <v>7427</v>
      </c>
      <c r="F418" s="560"/>
      <c r="G418" s="561"/>
      <c r="H418" s="438">
        <v>2041</v>
      </c>
      <c r="I418" s="856"/>
      <c r="J418" s="857"/>
      <c r="K418" s="40"/>
      <c r="L418" s="41"/>
      <c r="M418" s="41"/>
    </row>
    <row r="419" spans="1:13" s="2" customFormat="1" ht="25.5" customHeight="1" x14ac:dyDescent="0.25">
      <c r="A419" s="578" t="s">
        <v>348</v>
      </c>
      <c r="B419" s="579"/>
      <c r="C419" s="579"/>
      <c r="D419" s="580"/>
      <c r="E419" s="438">
        <v>7428</v>
      </c>
      <c r="F419" s="560"/>
      <c r="G419" s="561"/>
      <c r="H419" s="438">
        <v>2042</v>
      </c>
      <c r="I419" s="856"/>
      <c r="J419" s="857"/>
      <c r="K419" s="41"/>
      <c r="L419" s="41"/>
      <c r="M419" s="41"/>
    </row>
    <row r="420" spans="1:13" s="2" customFormat="1" ht="25.5" customHeight="1" x14ac:dyDescent="0.25">
      <c r="A420" s="578" t="s">
        <v>349</v>
      </c>
      <c r="B420" s="579"/>
      <c r="C420" s="579"/>
      <c r="D420" s="580"/>
      <c r="E420" s="438">
        <v>7429</v>
      </c>
      <c r="F420" s="560"/>
      <c r="G420" s="561"/>
      <c r="H420" s="438">
        <v>2141</v>
      </c>
      <c r="I420" s="856"/>
      <c r="J420" s="857"/>
      <c r="K420" s="41"/>
      <c r="L420" s="41"/>
      <c r="M420" s="41"/>
    </row>
    <row r="421" spans="1:13" s="2" customFormat="1" ht="25.5" customHeight="1" x14ac:dyDescent="0.25">
      <c r="A421" s="578" t="s">
        <v>350</v>
      </c>
      <c r="B421" s="579"/>
      <c r="C421" s="579"/>
      <c r="D421" s="580"/>
      <c r="E421" s="438">
        <v>7430</v>
      </c>
      <c r="F421" s="560"/>
      <c r="G421" s="561"/>
      <c r="H421" s="438">
        <v>2046</v>
      </c>
      <c r="I421" s="856"/>
      <c r="J421" s="857"/>
      <c r="K421" s="41"/>
      <c r="L421" s="41"/>
      <c r="M421" s="41"/>
    </row>
    <row r="422" spans="1:13" s="2" customFormat="1" ht="25.5" customHeight="1" x14ac:dyDescent="0.25">
      <c r="A422" s="578" t="s">
        <v>351</v>
      </c>
      <c r="B422" s="579"/>
      <c r="C422" s="579"/>
      <c r="D422" s="580"/>
      <c r="E422" s="438">
        <v>7431</v>
      </c>
      <c r="F422" s="560"/>
      <c r="G422" s="561"/>
      <c r="H422" s="438">
        <v>2043</v>
      </c>
      <c r="I422" s="856"/>
      <c r="J422" s="857"/>
      <c r="K422" s="41"/>
      <c r="L422" s="41"/>
      <c r="M422" s="41"/>
    </row>
    <row r="423" spans="1:13" s="2" customFormat="1" ht="25.5" customHeight="1" x14ac:dyDescent="0.25">
      <c r="A423" s="578" t="s">
        <v>352</v>
      </c>
      <c r="B423" s="579"/>
      <c r="C423" s="579"/>
      <c r="D423" s="580"/>
      <c r="E423" s="438">
        <v>7432</v>
      </c>
      <c r="F423" s="560"/>
      <c r="G423" s="561"/>
      <c r="H423" s="438">
        <v>2047</v>
      </c>
      <c r="I423" s="856"/>
      <c r="J423" s="857"/>
      <c r="K423" s="41"/>
      <c r="L423" s="41"/>
      <c r="M423" s="41"/>
    </row>
    <row r="424" spans="1:13" s="2" customFormat="1" ht="25.5" customHeight="1" x14ac:dyDescent="0.25">
      <c r="A424" s="578" t="s">
        <v>353</v>
      </c>
      <c r="B424" s="579"/>
      <c r="C424" s="579"/>
      <c r="D424" s="580"/>
      <c r="E424" s="438">
        <v>7433</v>
      </c>
      <c r="F424" s="560"/>
      <c r="G424" s="561"/>
      <c r="H424" s="438">
        <v>2044</v>
      </c>
      <c r="I424" s="856"/>
      <c r="J424" s="857"/>
      <c r="K424" s="41"/>
      <c r="L424" s="41"/>
      <c r="M424" s="41"/>
    </row>
    <row r="425" spans="1:13" s="2" customFormat="1" ht="25.5" customHeight="1" x14ac:dyDescent="0.25">
      <c r="A425" s="578" t="s">
        <v>354</v>
      </c>
      <c r="B425" s="579"/>
      <c r="C425" s="579"/>
      <c r="D425" s="580"/>
      <c r="E425" s="438">
        <v>7434</v>
      </c>
      <c r="F425" s="560"/>
      <c r="G425" s="561"/>
      <c r="H425" s="438">
        <v>2048</v>
      </c>
      <c r="I425" s="856"/>
      <c r="J425" s="857"/>
      <c r="K425" s="41"/>
      <c r="L425" s="41"/>
      <c r="M425" s="41"/>
    </row>
    <row r="426" spans="1:13" s="2" customFormat="1" ht="25.5" customHeight="1" x14ac:dyDescent="0.25">
      <c r="A426" s="578" t="s">
        <v>355</v>
      </c>
      <c r="B426" s="579"/>
      <c r="C426" s="579"/>
      <c r="D426" s="580"/>
      <c r="E426" s="438">
        <v>7435</v>
      </c>
      <c r="F426" s="560"/>
      <c r="G426" s="561"/>
      <c r="H426" s="438">
        <v>2142</v>
      </c>
      <c r="I426" s="856"/>
      <c r="J426" s="857"/>
      <c r="K426" s="41"/>
      <c r="L426" s="41"/>
      <c r="M426" s="41"/>
    </row>
    <row r="427" spans="1:13" s="2" customFormat="1" ht="25.5" customHeight="1" x14ac:dyDescent="0.25">
      <c r="A427" s="578" t="s">
        <v>356</v>
      </c>
      <c r="B427" s="579"/>
      <c r="C427" s="579"/>
      <c r="D427" s="580"/>
      <c r="E427" s="438">
        <v>7436</v>
      </c>
      <c r="F427" s="560"/>
      <c r="G427" s="561"/>
      <c r="H427" s="438">
        <v>2143</v>
      </c>
      <c r="I427" s="856"/>
      <c r="J427" s="857"/>
      <c r="K427" s="41"/>
      <c r="L427" s="41"/>
      <c r="M427" s="41"/>
    </row>
    <row r="428" spans="1:13" s="2" customFormat="1" ht="25.5" customHeight="1" x14ac:dyDescent="0.25">
      <c r="A428" s="858" t="s">
        <v>2233</v>
      </c>
      <c r="B428" s="579"/>
      <c r="C428" s="579"/>
      <c r="D428" s="580"/>
      <c r="E428" s="438">
        <v>7285</v>
      </c>
      <c r="F428" s="560"/>
      <c r="G428" s="561"/>
      <c r="H428" s="438">
        <v>2185</v>
      </c>
      <c r="I428" s="856"/>
      <c r="J428" s="857"/>
      <c r="K428" s="41"/>
      <c r="L428" s="41"/>
      <c r="M428" s="41"/>
    </row>
    <row r="429" spans="1:13" s="2" customFormat="1" ht="25.5" customHeight="1" x14ac:dyDescent="0.25">
      <c r="A429" s="578" t="s">
        <v>357</v>
      </c>
      <c r="B429" s="579"/>
      <c r="C429" s="579"/>
      <c r="D429" s="580"/>
      <c r="E429" s="438">
        <v>7438</v>
      </c>
      <c r="F429" s="560"/>
      <c r="G429" s="561"/>
      <c r="H429" s="438">
        <v>2145</v>
      </c>
      <c r="I429" s="856"/>
      <c r="J429" s="857"/>
      <c r="K429" s="41"/>
      <c r="L429" s="41"/>
      <c r="M429" s="41"/>
    </row>
    <row r="430" spans="1:13" s="2" customFormat="1" ht="25.5" customHeight="1" x14ac:dyDescent="0.25">
      <c r="A430" s="578" t="s">
        <v>2983</v>
      </c>
      <c r="B430" s="579"/>
      <c r="C430" s="579"/>
      <c r="D430" s="580"/>
      <c r="E430" s="438">
        <v>7168</v>
      </c>
      <c r="F430" s="560"/>
      <c r="G430" s="561"/>
      <c r="H430" s="438">
        <v>2148</v>
      </c>
      <c r="I430" s="856"/>
      <c r="J430" s="857"/>
      <c r="K430" s="41"/>
      <c r="L430" s="41"/>
      <c r="M430" s="41"/>
    </row>
    <row r="431" spans="1:13" s="2" customFormat="1" ht="25.5" customHeight="1" x14ac:dyDescent="0.25">
      <c r="A431" s="578" t="s">
        <v>358</v>
      </c>
      <c r="B431" s="579"/>
      <c r="C431" s="579"/>
      <c r="D431" s="580"/>
      <c r="E431" s="438">
        <v>7439</v>
      </c>
      <c r="F431" s="560"/>
      <c r="G431" s="561"/>
      <c r="H431" s="438">
        <v>2146</v>
      </c>
      <c r="I431" s="856"/>
      <c r="J431" s="857"/>
      <c r="K431" s="41"/>
      <c r="L431" s="41"/>
      <c r="M431" s="41"/>
    </row>
    <row r="432" spans="1:13" s="2" customFormat="1" ht="25.5" customHeight="1" x14ac:dyDescent="0.25">
      <c r="A432" s="859" t="s">
        <v>359</v>
      </c>
      <c r="B432" s="579"/>
      <c r="C432" s="579"/>
      <c r="D432" s="580"/>
      <c r="E432" s="438">
        <v>7440</v>
      </c>
      <c r="F432" s="860">
        <f>F433-SUM(F418:G431)</f>
        <v>0</v>
      </c>
      <c r="G432" s="861"/>
      <c r="H432" s="438">
        <v>2147</v>
      </c>
      <c r="I432" s="804">
        <f>I433-SUM(I418:J431)</f>
        <v>0</v>
      </c>
      <c r="J432" s="805"/>
      <c r="K432" s="41"/>
      <c r="L432" s="41"/>
      <c r="M432" s="41"/>
    </row>
    <row r="433" spans="1:18" s="2" customFormat="1" ht="25.5" customHeight="1" x14ac:dyDescent="0.25">
      <c r="A433" s="849" t="s">
        <v>989</v>
      </c>
      <c r="B433" s="850"/>
      <c r="C433" s="850"/>
      <c r="D433" s="851"/>
      <c r="E433" s="438">
        <v>7441</v>
      </c>
      <c r="F433" s="537"/>
      <c r="G433" s="538"/>
      <c r="H433" s="438">
        <v>2050</v>
      </c>
      <c r="I433" s="847"/>
      <c r="J433" s="848"/>
      <c r="K433" s="41"/>
      <c r="L433" s="41"/>
      <c r="M433" s="41"/>
    </row>
    <row r="434" spans="1:18" s="2" customFormat="1" ht="25.5" customHeight="1" x14ac:dyDescent="0.25">
      <c r="A434" s="42"/>
    </row>
    <row r="435" spans="1:18" s="2" customFormat="1" ht="25.5" customHeight="1" x14ac:dyDescent="0.25">
      <c r="A435" s="581" t="s">
        <v>1884</v>
      </c>
      <c r="B435" s="527"/>
      <c r="C435" s="527"/>
      <c r="D435" s="527"/>
      <c r="E435" s="527"/>
      <c r="F435" s="527"/>
      <c r="G435" s="527"/>
      <c r="H435" s="527"/>
      <c r="I435" s="527"/>
      <c r="J435" s="527"/>
      <c r="K435" s="528"/>
      <c r="L435" s="636" t="s">
        <v>3614</v>
      </c>
      <c r="M435" s="636"/>
      <c r="N435" s="550" t="str">
        <f>IF($D$5&gt;=200,"This section is REQUIRED for Pyschiatric and Specialty hospitals.","")</f>
        <v/>
      </c>
      <c r="O435" s="550"/>
      <c r="P435" s="550"/>
      <c r="Q435" s="550"/>
      <c r="R435" s="550"/>
    </row>
    <row r="436" spans="1:18" s="2" customFormat="1" ht="25.5" customHeight="1" x14ac:dyDescent="0.25">
      <c r="A436" s="20">
        <v>4530</v>
      </c>
      <c r="B436" s="531" t="s">
        <v>367</v>
      </c>
      <c r="C436" s="532"/>
      <c r="D436" s="532"/>
      <c r="E436" s="532"/>
      <c r="F436" s="532"/>
      <c r="G436" s="532"/>
      <c r="H436" s="532"/>
      <c r="I436" s="532"/>
      <c r="J436" s="532"/>
      <c r="K436" s="533"/>
      <c r="L436" s="623"/>
      <c r="M436" s="624"/>
      <c r="N436" s="602" t="str">
        <f>IF($D$5&gt;=200,"Psychiatric or Specialty hospitals click here to skip to the next REQUIRED item.","")</f>
        <v/>
      </c>
      <c r="O436" s="602"/>
      <c r="P436" s="602"/>
      <c r="Q436" s="602"/>
      <c r="R436" s="602"/>
    </row>
    <row r="437" spans="1:18" s="2" customFormat="1" ht="25.5" customHeight="1" x14ac:dyDescent="0.25">
      <c r="A437" s="42"/>
    </row>
    <row r="438" spans="1:18" s="2" customFormat="1" ht="25.5" customHeight="1" x14ac:dyDescent="0.25">
      <c r="A438" s="700" t="s">
        <v>368</v>
      </c>
      <c r="B438" s="701"/>
      <c r="C438" s="701"/>
      <c r="D438" s="701"/>
      <c r="E438" s="701"/>
      <c r="F438" s="701"/>
      <c r="G438" s="701"/>
      <c r="H438" s="701"/>
      <c r="I438" s="701"/>
      <c r="J438" s="701"/>
      <c r="K438" s="701"/>
      <c r="L438" s="701"/>
      <c r="M438" s="701"/>
    </row>
    <row r="439" spans="1:18" s="2" customFormat="1" ht="25.5" customHeight="1" x14ac:dyDescent="0.25">
      <c r="A439" s="581" t="s">
        <v>1885</v>
      </c>
      <c r="B439" s="527"/>
      <c r="C439" s="527"/>
      <c r="D439" s="527"/>
      <c r="E439" s="527"/>
      <c r="F439" s="527"/>
      <c r="G439" s="527"/>
      <c r="H439" s="527"/>
      <c r="I439" s="527"/>
      <c r="J439" s="527"/>
      <c r="K439" s="528"/>
      <c r="L439" s="636" t="s">
        <v>3614</v>
      </c>
      <c r="M439" s="636"/>
    </row>
    <row r="440" spans="1:18" s="2" customFormat="1" ht="25.5" customHeight="1" x14ac:dyDescent="0.25">
      <c r="A440" s="20">
        <v>5101</v>
      </c>
      <c r="B440" s="531" t="s">
        <v>369</v>
      </c>
      <c r="C440" s="532"/>
      <c r="D440" s="532"/>
      <c r="E440" s="532"/>
      <c r="F440" s="532"/>
      <c r="G440" s="532"/>
      <c r="H440" s="532"/>
      <c r="I440" s="532"/>
      <c r="J440" s="532"/>
      <c r="K440" s="533"/>
      <c r="L440" s="852"/>
      <c r="M440" s="853"/>
      <c r="N440" s="572" t="s">
        <v>431</v>
      </c>
      <c r="O440" s="573"/>
      <c r="P440" s="573"/>
      <c r="Q440" s="573"/>
      <c r="R440" s="574"/>
    </row>
    <row r="441" spans="1:18" s="2" customFormat="1" ht="25.5" customHeight="1" x14ac:dyDescent="0.25">
      <c r="A441" s="20">
        <v>5102</v>
      </c>
      <c r="B441" s="531" t="s">
        <v>1038</v>
      </c>
      <c r="C441" s="532"/>
      <c r="D441" s="532"/>
      <c r="E441" s="532"/>
      <c r="F441" s="532"/>
      <c r="G441" s="532"/>
      <c r="H441" s="532"/>
      <c r="I441" s="532"/>
      <c r="J441" s="532"/>
      <c r="K441" s="533"/>
      <c r="L441" s="560"/>
      <c r="M441" s="561"/>
      <c r="N441" s="575"/>
      <c r="O441" s="576"/>
      <c r="P441" s="576"/>
      <c r="Q441" s="576"/>
      <c r="R441" s="577"/>
    </row>
    <row r="442" spans="1:18" s="2" customFormat="1" ht="25.5" customHeight="1" x14ac:dyDescent="0.25">
      <c r="A442" s="42"/>
    </row>
    <row r="443" spans="1:18" s="2" customFormat="1" ht="25.5" customHeight="1" x14ac:dyDescent="0.25">
      <c r="A443" s="700" t="s">
        <v>368</v>
      </c>
      <c r="B443" s="701"/>
      <c r="C443" s="701"/>
      <c r="D443" s="701"/>
      <c r="E443" s="701"/>
      <c r="F443" s="701"/>
      <c r="G443" s="701"/>
      <c r="H443" s="701"/>
      <c r="I443" s="701"/>
      <c r="J443" s="701"/>
      <c r="K443" s="701"/>
      <c r="L443" s="701"/>
      <c r="M443" s="701"/>
    </row>
    <row r="444" spans="1:18" s="2" customFormat="1" ht="25.5" customHeight="1" x14ac:dyDescent="0.25">
      <c r="A444" s="581" t="s">
        <v>1886</v>
      </c>
      <c r="B444" s="527"/>
      <c r="C444" s="527"/>
      <c r="D444" s="527"/>
      <c r="E444" s="527"/>
      <c r="F444" s="527"/>
      <c r="G444" s="527"/>
      <c r="H444" s="527"/>
      <c r="I444" s="527"/>
      <c r="J444" s="527"/>
      <c r="K444" s="528"/>
      <c r="L444" s="636" t="s">
        <v>3614</v>
      </c>
      <c r="M444" s="636"/>
    </row>
    <row r="445" spans="1:18" s="2" customFormat="1" ht="25.5" customHeight="1" x14ac:dyDescent="0.25">
      <c r="A445" s="20">
        <v>5200</v>
      </c>
      <c r="B445" s="531" t="s">
        <v>1039</v>
      </c>
      <c r="C445" s="532"/>
      <c r="D445" s="532"/>
      <c r="E445" s="532"/>
      <c r="F445" s="532"/>
      <c r="G445" s="532"/>
      <c r="H445" s="532"/>
      <c r="I445" s="532"/>
      <c r="J445" s="532"/>
      <c r="K445" s="533"/>
      <c r="L445" s="560"/>
      <c r="M445" s="561"/>
    </row>
    <row r="446" spans="1:18" s="2" customFormat="1" ht="25.5" customHeight="1" x14ac:dyDescent="0.3">
      <c r="A446" s="15" t="e">
        <f>$A$33</f>
        <v>#N/A</v>
      </c>
    </row>
    <row r="447" spans="1:18" s="2" customFormat="1" ht="25.5" customHeight="1" x14ac:dyDescent="0.25">
      <c r="A447" s="581" t="s">
        <v>1888</v>
      </c>
      <c r="B447" s="527"/>
      <c r="C447" s="527"/>
      <c r="D447" s="527"/>
      <c r="E447" s="527"/>
      <c r="F447" s="527"/>
      <c r="G447" s="527"/>
      <c r="H447" s="527"/>
      <c r="I447" s="527"/>
      <c r="J447" s="527"/>
      <c r="K447" s="528"/>
      <c r="L447" s="636" t="s">
        <v>3614</v>
      </c>
      <c r="M447" s="636"/>
      <c r="N447" s="550" t="str">
        <f>IF($D$5&gt;=200,"This section is REQUIRED for Pyschiatric and Specialty hospitals.","")</f>
        <v/>
      </c>
      <c r="O447" s="550"/>
      <c r="P447" s="550"/>
      <c r="Q447" s="550"/>
      <c r="R447" s="550"/>
    </row>
    <row r="448" spans="1:18" s="2" customFormat="1" ht="25.5" customHeight="1" x14ac:dyDescent="0.25">
      <c r="A448" s="527"/>
      <c r="B448" s="527"/>
      <c r="C448" s="527"/>
      <c r="D448" s="527"/>
      <c r="E448" s="527"/>
      <c r="F448" s="527"/>
      <c r="G448" s="527"/>
      <c r="H448" s="527"/>
      <c r="I448" s="527"/>
      <c r="J448" s="527"/>
      <c r="K448" s="528"/>
      <c r="L448" s="35" t="s">
        <v>103</v>
      </c>
      <c r="M448" s="35" t="s">
        <v>104</v>
      </c>
    </row>
    <row r="449" spans="1:18" s="2" customFormat="1" ht="25.5" customHeight="1" x14ac:dyDescent="0.25">
      <c r="A449" s="20">
        <v>7000</v>
      </c>
      <c r="B449" s="531" t="s">
        <v>1040</v>
      </c>
      <c r="C449" s="532"/>
      <c r="D449" s="532"/>
      <c r="E449" s="532"/>
      <c r="F449" s="532"/>
      <c r="G449" s="532"/>
      <c r="H449" s="532"/>
      <c r="I449" s="532"/>
      <c r="J449" s="532"/>
      <c r="K449" s="533"/>
      <c r="L449" s="36"/>
      <c r="M449" s="36"/>
      <c r="N449" s="596" t="str">
        <f>IF(COUNTBLANK(L449:M449)=2,"Please enter response",IF(COUNTBLANK(L449:M449)&lt;&gt;1,"Please VERIFY response",""))</f>
        <v>Please enter response</v>
      </c>
      <c r="O449" s="597"/>
      <c r="P449" s="597"/>
      <c r="Q449" s="597"/>
      <c r="R449" s="598"/>
    </row>
    <row r="450" spans="1:18" s="2" customFormat="1" ht="25.5" customHeight="1" x14ac:dyDescent="0.25">
      <c r="A450" s="20">
        <v>7047</v>
      </c>
      <c r="B450" s="531" t="s">
        <v>1041</v>
      </c>
      <c r="C450" s="532"/>
      <c r="D450" s="532"/>
      <c r="E450" s="532"/>
      <c r="F450" s="532"/>
      <c r="G450" s="532"/>
      <c r="H450" s="532"/>
      <c r="I450" s="532"/>
      <c r="J450" s="532"/>
      <c r="K450" s="533"/>
      <c r="L450" s="36"/>
      <c r="M450" s="36"/>
      <c r="N450" s="596" t="str">
        <f>IF(COUNTBLANK(L450:M450)=2,"Please enter response",IF(COUNTBLANK(L450:M450)&lt;&gt;1,"Please VERIFY response",""))</f>
        <v>Please enter response</v>
      </c>
      <c r="O450" s="597"/>
      <c r="P450" s="597"/>
      <c r="Q450" s="597"/>
      <c r="R450" s="598"/>
    </row>
    <row r="451" spans="1:18" s="2" customFormat="1" ht="25.5" customHeight="1" x14ac:dyDescent="0.25">
      <c r="A451" s="20">
        <v>7049</v>
      </c>
      <c r="B451" s="531" t="s">
        <v>1042</v>
      </c>
      <c r="C451" s="532"/>
      <c r="D451" s="532"/>
      <c r="E451" s="532"/>
      <c r="F451" s="532"/>
      <c r="G451" s="532"/>
      <c r="H451" s="532"/>
      <c r="I451" s="532"/>
      <c r="J451" s="532"/>
      <c r="K451" s="533"/>
      <c r="L451" s="854"/>
      <c r="M451" s="855"/>
      <c r="N451" s="596" t="str">
        <f>IF(AND(ISBLANK(M$766))*COUNTBLANK(L451:M451)=2,"This item cannot be left blank.  Please review instructions.","")</f>
        <v>This item cannot be left blank.  Please review instructions.</v>
      </c>
      <c r="O451" s="597"/>
      <c r="P451" s="597"/>
      <c r="Q451" s="597"/>
      <c r="R451" s="598"/>
    </row>
    <row r="452" spans="1:18" s="2" customFormat="1" ht="25.5" customHeight="1" x14ac:dyDescent="0.25">
      <c r="A452" s="48"/>
      <c r="B452" s="49"/>
      <c r="C452" s="49"/>
      <c r="D452" s="49"/>
      <c r="E452" s="49"/>
      <c r="F452" s="49"/>
      <c r="G452" s="49"/>
      <c r="H452" s="49"/>
      <c r="I452" s="49"/>
      <c r="J452" s="49"/>
      <c r="K452" s="49"/>
      <c r="L452" s="279"/>
      <c r="M452" s="279"/>
      <c r="N452" s="5"/>
      <c r="O452" s="5"/>
      <c r="P452" s="5"/>
      <c r="Q452" s="5"/>
      <c r="R452" s="84"/>
    </row>
    <row r="453" spans="1:18" s="2" customFormat="1" ht="25.5" customHeight="1" x14ac:dyDescent="0.25">
      <c r="A453" s="581" t="s">
        <v>1889</v>
      </c>
      <c r="B453" s="527"/>
      <c r="C453" s="527"/>
      <c r="D453" s="527"/>
      <c r="E453" s="527"/>
      <c r="F453" s="527"/>
      <c r="G453" s="527"/>
      <c r="H453" s="527"/>
      <c r="I453" s="527"/>
      <c r="J453" s="527"/>
      <c r="K453" s="528"/>
      <c r="L453" s="636" t="s">
        <v>3614</v>
      </c>
      <c r="M453" s="636"/>
      <c r="N453" s="550" t="str">
        <f>IF($D$5&gt;=200,"This section is REQUIRED for Pyschiatric and Specialty hospitals.","")</f>
        <v/>
      </c>
      <c r="O453" s="550"/>
      <c r="P453" s="550"/>
      <c r="Q453" s="550"/>
      <c r="R453" s="550"/>
    </row>
    <row r="454" spans="1:18" s="2" customFormat="1" ht="25.5" customHeight="1" x14ac:dyDescent="0.25">
      <c r="A454" s="20">
        <v>4503</v>
      </c>
      <c r="B454" s="531" t="s">
        <v>1054</v>
      </c>
      <c r="C454" s="532"/>
      <c r="D454" s="532"/>
      <c r="E454" s="532"/>
      <c r="F454" s="532"/>
      <c r="G454" s="532"/>
      <c r="H454" s="532"/>
      <c r="I454" s="532"/>
      <c r="J454" s="532"/>
      <c r="K454" s="533"/>
      <c r="L454" s="616"/>
      <c r="M454" s="617"/>
      <c r="N454" s="601" t="s">
        <v>1653</v>
      </c>
      <c r="O454" s="602"/>
      <c r="P454" s="602"/>
      <c r="Q454" s="602"/>
      <c r="R454" s="602"/>
    </row>
    <row r="455" spans="1:18" s="2" customFormat="1" ht="25.5" customHeight="1" x14ac:dyDescent="0.25">
      <c r="A455" s="20">
        <v>4505</v>
      </c>
      <c r="B455" s="531" t="s">
        <v>1055</v>
      </c>
      <c r="C455" s="532"/>
      <c r="D455" s="532"/>
      <c r="E455" s="532"/>
      <c r="F455" s="532"/>
      <c r="G455" s="532"/>
      <c r="H455" s="532"/>
      <c r="I455" s="532"/>
      <c r="J455" s="532"/>
      <c r="K455" s="533"/>
      <c r="L455" s="616"/>
      <c r="M455" s="617"/>
      <c r="N455" s="618" t="s">
        <v>1056</v>
      </c>
      <c r="O455" s="621"/>
      <c r="P455" s="621"/>
      <c r="Q455" s="621"/>
      <c r="R455" s="622"/>
    </row>
    <row r="456" spans="1:18" s="2" customFormat="1" ht="25.5" customHeight="1" x14ac:dyDescent="0.25">
      <c r="A456" s="20">
        <v>4502</v>
      </c>
      <c r="B456" s="531" t="s">
        <v>1242</v>
      </c>
      <c r="C456" s="532"/>
      <c r="D456" s="532"/>
      <c r="E456" s="532"/>
      <c r="F456" s="532"/>
      <c r="G456" s="532"/>
      <c r="H456" s="532"/>
      <c r="I456" s="532"/>
      <c r="J456" s="532"/>
      <c r="K456" s="533"/>
      <c r="L456" s="788">
        <f>L457-L454-L455</f>
        <v>0</v>
      </c>
      <c r="M456" s="789"/>
    </row>
    <row r="457" spans="1:18" s="2" customFormat="1" ht="25.5" customHeight="1" x14ac:dyDescent="0.25">
      <c r="A457" s="21">
        <v>4501</v>
      </c>
      <c r="B457" s="611" t="s">
        <v>1243</v>
      </c>
      <c r="C457" s="612"/>
      <c r="D457" s="612"/>
      <c r="E457" s="612"/>
      <c r="F457" s="612"/>
      <c r="G457" s="612"/>
      <c r="H457" s="612"/>
      <c r="I457" s="612"/>
      <c r="J457" s="612"/>
      <c r="K457" s="613"/>
      <c r="L457" s="806"/>
      <c r="M457" s="807"/>
    </row>
    <row r="458" spans="1:18" s="2" customFormat="1" ht="25.5" customHeight="1" x14ac:dyDescent="0.25">
      <c r="A458" s="42"/>
      <c r="L458" s="56"/>
      <c r="M458" s="56"/>
    </row>
    <row r="459" spans="1:18" s="2" customFormat="1" ht="25.5" customHeight="1" x14ac:dyDescent="0.25">
      <c r="A459" s="20">
        <v>7044</v>
      </c>
      <c r="B459" s="531" t="s">
        <v>1244</v>
      </c>
      <c r="C459" s="532"/>
      <c r="D459" s="532"/>
      <c r="E459" s="532"/>
      <c r="F459" s="532"/>
      <c r="G459" s="532"/>
      <c r="H459" s="532"/>
      <c r="I459" s="532"/>
      <c r="J459" s="532"/>
      <c r="K459" s="533"/>
      <c r="L459" s="616"/>
      <c r="M459" s="617"/>
      <c r="N459" s="597" t="str">
        <f>IF(L459&gt;L454,"Please review.  This must be less than or equal to ER Registrations reported as "&amp;TEXT(L454,"0,000"),"")</f>
        <v/>
      </c>
      <c r="O459" s="597"/>
      <c r="P459" s="597"/>
      <c r="Q459" s="597"/>
      <c r="R459" s="559"/>
    </row>
    <row r="460" spans="1:18" s="2" customFormat="1" ht="25.5" customHeight="1" x14ac:dyDescent="0.25">
      <c r="A460" s="42"/>
      <c r="N460" s="559"/>
      <c r="O460" s="559"/>
      <c r="P460" s="559"/>
      <c r="Q460" s="559"/>
      <c r="R460" s="559"/>
    </row>
    <row r="461" spans="1:18" s="2" customFormat="1" ht="25.5" customHeight="1" x14ac:dyDescent="0.25">
      <c r="A461" s="20">
        <v>7311</v>
      </c>
      <c r="B461" s="531" t="s">
        <v>1245</v>
      </c>
      <c r="C461" s="532"/>
      <c r="D461" s="532"/>
      <c r="E461" s="532"/>
      <c r="F461" s="532"/>
      <c r="G461" s="532"/>
      <c r="H461" s="532"/>
      <c r="I461" s="532"/>
      <c r="J461" s="532"/>
      <c r="K461" s="533"/>
      <c r="L461" s="616"/>
      <c r="M461" s="617"/>
      <c r="N461" s="618" t="s">
        <v>1246</v>
      </c>
      <c r="O461" s="619"/>
      <c r="P461" s="619"/>
      <c r="Q461" s="619"/>
      <c r="R461" s="620"/>
    </row>
    <row r="462" spans="1:18" ht="25.5" customHeight="1" x14ac:dyDescent="0.3">
      <c r="A462" s="15" t="e">
        <f>$A$33</f>
        <v>#N/A</v>
      </c>
    </row>
    <row r="463" spans="1:18" s="2" customFormat="1" ht="25.5" customHeight="1" x14ac:dyDescent="0.25">
      <c r="A463" s="581" t="s">
        <v>1890</v>
      </c>
      <c r="B463" s="527"/>
      <c r="C463" s="527"/>
      <c r="D463" s="527"/>
      <c r="E463" s="527"/>
      <c r="F463" s="527"/>
      <c r="G463" s="527"/>
      <c r="H463" s="527"/>
      <c r="I463" s="527"/>
      <c r="J463" s="527"/>
      <c r="K463" s="528"/>
      <c r="L463" s="636" t="s">
        <v>3614</v>
      </c>
      <c r="M463" s="636"/>
      <c r="N463" s="550" t="e">
        <f>IF('[2]2017 HAR'!$D$5&gt;=200,"This section is REQUIRED for Pyschiatric and Specialty hospitals.","")</f>
        <v>#REF!</v>
      </c>
      <c r="O463" s="550"/>
      <c r="P463" s="550"/>
      <c r="Q463" s="550"/>
      <c r="R463" s="550"/>
    </row>
    <row r="464" spans="1:18" s="2" customFormat="1" ht="25.5" customHeight="1" x14ac:dyDescent="0.25">
      <c r="A464" s="21">
        <v>4320</v>
      </c>
      <c r="B464" s="611" t="s">
        <v>881</v>
      </c>
      <c r="C464" s="612"/>
      <c r="D464" s="612"/>
      <c r="E464" s="612"/>
      <c r="F464" s="612"/>
      <c r="G464" s="612"/>
      <c r="H464" s="612"/>
      <c r="I464" s="612" t="str">
        <f>IF(AND(NOT(ISBLANK(#REF!)),Code_4320&lt;=0),"Please Enter the Total Acute Care Admissions.","")</f>
        <v>Please Enter the Total Acute Care Admissions.</v>
      </c>
      <c r="J464" s="612"/>
      <c r="K464" s="613"/>
      <c r="L464" s="623"/>
      <c r="M464" s="624"/>
      <c r="N464" s="602" t="str">
        <f>IF('2017 HAR'!$D$5&gt;=200,"Additional Admissions Information is Required. Please Click here to report this information.","")</f>
        <v/>
      </c>
      <c r="O464" s="602"/>
      <c r="P464" s="602"/>
      <c r="Q464" s="602"/>
      <c r="R464" s="602"/>
    </row>
    <row r="465" spans="1:18" s="2" customFormat="1" ht="25.5" customHeight="1" x14ac:dyDescent="0.25">
      <c r="A465" s="20">
        <v>4331</v>
      </c>
      <c r="B465" s="531" t="s">
        <v>1043</v>
      </c>
      <c r="C465" s="532"/>
      <c r="D465" s="532"/>
      <c r="E465" s="532"/>
      <c r="F465" s="532"/>
      <c r="G465" s="532"/>
      <c r="H465" s="532"/>
      <c r="I465" s="532"/>
      <c r="J465" s="532"/>
      <c r="K465" s="533"/>
      <c r="L465" s="616"/>
      <c r="M465" s="617"/>
    </row>
    <row r="466" spans="1:18" s="2" customFormat="1" ht="25.5" customHeight="1" x14ac:dyDescent="0.25">
      <c r="A466" s="20">
        <v>7177</v>
      </c>
      <c r="B466" s="531" t="s">
        <v>1044</v>
      </c>
      <c r="C466" s="532"/>
      <c r="D466" s="532"/>
      <c r="E466" s="532"/>
      <c r="F466" s="532"/>
      <c r="G466" s="532"/>
      <c r="H466" s="532"/>
      <c r="I466" s="532"/>
      <c r="J466" s="532"/>
      <c r="K466" s="533"/>
      <c r="L466" s="616"/>
      <c r="M466" s="617"/>
    </row>
    <row r="467" spans="1:18" s="2" customFormat="1" ht="25.5" customHeight="1" x14ac:dyDescent="0.25">
      <c r="A467" s="20">
        <v>7178</v>
      </c>
      <c r="B467" s="531" t="s">
        <v>1045</v>
      </c>
      <c r="C467" s="532"/>
      <c r="D467" s="532"/>
      <c r="E467" s="532"/>
      <c r="F467" s="532"/>
      <c r="G467" s="532"/>
      <c r="H467" s="532"/>
      <c r="I467" s="532"/>
      <c r="J467" s="532"/>
      <c r="K467" s="533"/>
      <c r="L467" s="616"/>
      <c r="M467" s="617"/>
    </row>
    <row r="468" spans="1:18" s="2" customFormat="1" ht="25.5" customHeight="1" x14ac:dyDescent="0.25">
      <c r="A468" s="20">
        <v>7179</v>
      </c>
      <c r="B468" s="531" t="s">
        <v>1046</v>
      </c>
      <c r="C468" s="532"/>
      <c r="D468" s="532"/>
      <c r="E468" s="532"/>
      <c r="F468" s="532"/>
      <c r="G468" s="532"/>
      <c r="H468" s="532"/>
      <c r="I468" s="532"/>
      <c r="J468" s="532"/>
      <c r="K468" s="533"/>
      <c r="L468" s="616"/>
      <c r="M468" s="617"/>
    </row>
    <row r="469" spans="1:18" s="2" customFormat="1" ht="25.5" customHeight="1" x14ac:dyDescent="0.25">
      <c r="A469" s="21">
        <v>7180</v>
      </c>
      <c r="B469" s="611" t="s">
        <v>1047</v>
      </c>
      <c r="C469" s="612"/>
      <c r="D469" s="612"/>
      <c r="E469" s="612"/>
      <c r="F469" s="612"/>
      <c r="G469" s="612"/>
      <c r="H469" s="612"/>
      <c r="I469" s="612"/>
      <c r="J469" s="612"/>
      <c r="K469" s="613"/>
      <c r="L469" s="698">
        <f>SUM(L465:M468)</f>
        <v>0</v>
      </c>
      <c r="M469" s="699"/>
    </row>
    <row r="470" spans="1:18" s="2" customFormat="1" ht="25.5" customHeight="1" x14ac:dyDescent="0.25">
      <c r="A470" s="21">
        <v>7176</v>
      </c>
      <c r="B470" s="611" t="s">
        <v>1149</v>
      </c>
      <c r="C470" s="612"/>
      <c r="D470" s="612"/>
      <c r="E470" s="612"/>
      <c r="F470" s="612"/>
      <c r="G470" s="612"/>
      <c r="H470" s="612"/>
      <c r="I470" s="612" t="str">
        <f>IF(AND(NOT(ISBLANK(#REF!)),Code_4320&lt;=0),"Please Enter the Total Acute Care Admissions.","")</f>
        <v>Please Enter the Total Acute Care Admissions.</v>
      </c>
      <c r="J470" s="612"/>
      <c r="K470" s="613"/>
      <c r="L470" s="698">
        <f>SUM(L464+L469)</f>
        <v>0</v>
      </c>
      <c r="M470" s="699">
        <f>SUM(H447:H469)</f>
        <v>0</v>
      </c>
    </row>
    <row r="471" spans="1:18" s="2" customFormat="1" ht="25.5" customHeight="1" x14ac:dyDescent="0.25">
      <c r="A471" s="42"/>
    </row>
    <row r="472" spans="1:18" s="2" customFormat="1" ht="25.5" customHeight="1" x14ac:dyDescent="0.25">
      <c r="A472" s="700" t="s">
        <v>780</v>
      </c>
      <c r="B472" s="701"/>
      <c r="C472" s="701"/>
      <c r="D472" s="701"/>
      <c r="E472" s="701"/>
      <c r="F472" s="701"/>
      <c r="G472" s="701"/>
      <c r="H472" s="701"/>
      <c r="I472" s="701"/>
      <c r="J472" s="701"/>
      <c r="K472" s="701"/>
      <c r="L472" s="701"/>
      <c r="M472" s="701"/>
    </row>
    <row r="473" spans="1:18" s="2" customFormat="1" ht="25.5" customHeight="1" x14ac:dyDescent="0.25">
      <c r="A473" s="581" t="s">
        <v>1891</v>
      </c>
      <c r="B473" s="527"/>
      <c r="C473" s="527"/>
      <c r="D473" s="527"/>
      <c r="E473" s="527"/>
      <c r="F473" s="527"/>
      <c r="G473" s="527"/>
      <c r="H473" s="527"/>
      <c r="I473" s="527"/>
      <c r="J473" s="527"/>
      <c r="K473" s="528"/>
      <c r="L473" s="757" t="s">
        <v>3614</v>
      </c>
      <c r="M473" s="636"/>
      <c r="N473" s="602" t="str">
        <f>IF(NOT(ISBLANK(M475)),"You are required to fill out the Service Line Data Tab since you have selected 'No'.  Please click here to supply the Service Line information.","")</f>
        <v/>
      </c>
      <c r="O473" s="602"/>
      <c r="P473" s="602"/>
      <c r="Q473" s="602"/>
      <c r="R473" s="602"/>
    </row>
    <row r="474" spans="1:18" s="2" customFormat="1" ht="25.5" customHeight="1" x14ac:dyDescent="0.25">
      <c r="A474" s="1089" t="s">
        <v>781</v>
      </c>
      <c r="B474" s="1090"/>
      <c r="C474" s="1090"/>
      <c r="D474" s="1090"/>
      <c r="E474" s="1090"/>
      <c r="F474" s="1090"/>
      <c r="G474" s="1090"/>
      <c r="H474" s="1090"/>
      <c r="I474" s="1090"/>
      <c r="J474" s="1090"/>
      <c r="K474" s="1091"/>
      <c r="L474" s="35" t="s">
        <v>103</v>
      </c>
      <c r="M474" s="80" t="s">
        <v>104</v>
      </c>
      <c r="N474" s="691"/>
      <c r="O474" s="691"/>
      <c r="P474" s="691"/>
      <c r="Q474" s="691"/>
      <c r="R474" s="691"/>
    </row>
    <row r="475" spans="1:18" s="2" customFormat="1" ht="25.5" customHeight="1" x14ac:dyDescent="0.25">
      <c r="A475" s="1092"/>
      <c r="B475" s="1093"/>
      <c r="C475" s="1093"/>
      <c r="D475" s="1093"/>
      <c r="E475" s="1093"/>
      <c r="F475" s="1093"/>
      <c r="G475" s="1093"/>
      <c r="H475" s="1093"/>
      <c r="I475" s="1093"/>
      <c r="J475" s="1093"/>
      <c r="K475" s="1094"/>
      <c r="L475" s="333"/>
      <c r="M475" s="36"/>
      <c r="N475" s="597" t="str">
        <f>IF(AND(NOT(ISBLANK(L475)),NOT(ISBLANK(M475))),"Please select only ONE choice!",IF(AND(ISBLANK(L475),ISBLANK(M475)),"Please mark an X in to indicate your choice",""))</f>
        <v>Please mark an X in to indicate your choice</v>
      </c>
      <c r="O475" s="597"/>
      <c r="P475" s="597"/>
      <c r="Q475" s="597"/>
      <c r="R475" s="597"/>
    </row>
    <row r="476" spans="1:18" s="2" customFormat="1" ht="25.5" customHeight="1" x14ac:dyDescent="0.25">
      <c r="A476" s="81"/>
      <c r="B476" s="81"/>
      <c r="C476" s="81"/>
      <c r="D476" s="81"/>
      <c r="E476" s="81"/>
      <c r="F476" s="81"/>
      <c r="G476" s="81"/>
      <c r="H476" s="81"/>
      <c r="I476" s="81"/>
      <c r="J476" s="81"/>
      <c r="K476" s="81"/>
      <c r="L476" s="68"/>
      <c r="M476" s="68"/>
      <c r="N476" s="5"/>
      <c r="O476" s="5"/>
      <c r="P476" s="5"/>
      <c r="Q476" s="5"/>
      <c r="R476" s="5"/>
    </row>
    <row r="477" spans="1:18" s="2" customFormat="1" ht="25.5" customHeight="1" x14ac:dyDescent="0.25">
      <c r="A477" s="581" t="s">
        <v>1892</v>
      </c>
      <c r="B477" s="527"/>
      <c r="C477" s="527"/>
      <c r="D477" s="527"/>
      <c r="E477" s="527"/>
      <c r="F477" s="527"/>
      <c r="G477" s="527"/>
      <c r="H477" s="527"/>
      <c r="I477" s="527"/>
      <c r="J477" s="527"/>
      <c r="K477" s="528"/>
      <c r="L477" s="757" t="s">
        <v>3614</v>
      </c>
      <c r="M477" s="636"/>
      <c r="N477" s="550" t="str">
        <f>IF($D$5&gt;=200,"This section is REQUIRED for Pyschiatric and Specialty hospitals.","")</f>
        <v/>
      </c>
      <c r="O477" s="550"/>
      <c r="P477" s="550"/>
      <c r="Q477" s="550"/>
      <c r="R477" s="550"/>
    </row>
    <row r="478" spans="1:18" s="2" customFormat="1" ht="25.5" customHeight="1" x14ac:dyDescent="0.25">
      <c r="A478" s="21">
        <v>4030</v>
      </c>
      <c r="B478" s="611" t="s">
        <v>882</v>
      </c>
      <c r="C478" s="612"/>
      <c r="D478" s="612"/>
      <c r="E478" s="612"/>
      <c r="F478" s="612"/>
      <c r="G478" s="612"/>
      <c r="H478" s="612"/>
      <c r="I478" s="612"/>
      <c r="J478" s="612"/>
      <c r="K478" s="613"/>
      <c r="L478" s="623"/>
      <c r="M478" s="624"/>
      <c r="N478" s="602" t="str">
        <f>IF('2017 HAR'!$D$5&gt;=200,"Additional Days Information is Required. Please Click here to report this information.","")</f>
        <v/>
      </c>
      <c r="O478" s="602"/>
      <c r="P478" s="602"/>
      <c r="Q478" s="602"/>
      <c r="R478" s="602"/>
    </row>
    <row r="479" spans="1:18" s="2" customFormat="1" ht="25.5" customHeight="1" x14ac:dyDescent="0.25">
      <c r="A479" s="20">
        <v>4041</v>
      </c>
      <c r="B479" s="531" t="s">
        <v>1048</v>
      </c>
      <c r="C479" s="532"/>
      <c r="D479" s="532"/>
      <c r="E479" s="532"/>
      <c r="F479" s="532"/>
      <c r="G479" s="532"/>
      <c r="H479" s="532"/>
      <c r="I479" s="532"/>
      <c r="J479" s="532"/>
      <c r="K479" s="533"/>
      <c r="L479" s="616"/>
      <c r="M479" s="617"/>
    </row>
    <row r="480" spans="1:18" s="2" customFormat="1" ht="25.5" customHeight="1" x14ac:dyDescent="0.25">
      <c r="A480" s="20">
        <v>7156</v>
      </c>
      <c r="B480" s="531" t="s">
        <v>1049</v>
      </c>
      <c r="C480" s="532"/>
      <c r="D480" s="532"/>
      <c r="E480" s="532"/>
      <c r="F480" s="532"/>
      <c r="G480" s="532"/>
      <c r="H480" s="532"/>
      <c r="I480" s="532"/>
      <c r="J480" s="532"/>
      <c r="K480" s="533"/>
      <c r="L480" s="616"/>
      <c r="M480" s="617"/>
    </row>
    <row r="481" spans="1:18" s="2" customFormat="1" ht="25.5" customHeight="1" x14ac:dyDescent="0.25">
      <c r="A481" s="20">
        <v>7157</v>
      </c>
      <c r="B481" s="531" t="s">
        <v>1050</v>
      </c>
      <c r="C481" s="532"/>
      <c r="D481" s="532"/>
      <c r="E481" s="532"/>
      <c r="F481" s="532"/>
      <c r="G481" s="532"/>
      <c r="H481" s="532"/>
      <c r="I481" s="532"/>
      <c r="J481" s="532"/>
      <c r="K481" s="533"/>
      <c r="L481" s="616"/>
      <c r="M481" s="617"/>
    </row>
    <row r="482" spans="1:18" s="2" customFormat="1" ht="25.5" customHeight="1" x14ac:dyDescent="0.25">
      <c r="A482" s="20">
        <v>7158</v>
      </c>
      <c r="B482" s="531" t="s">
        <v>1051</v>
      </c>
      <c r="C482" s="532"/>
      <c r="D482" s="532"/>
      <c r="E482" s="532"/>
      <c r="F482" s="532"/>
      <c r="G482" s="532"/>
      <c r="H482" s="532"/>
      <c r="I482" s="532"/>
      <c r="J482" s="532"/>
      <c r="K482" s="533"/>
      <c r="L482" s="616"/>
      <c r="M482" s="617"/>
    </row>
    <row r="483" spans="1:18" s="2" customFormat="1" ht="25.5" customHeight="1" x14ac:dyDescent="0.25">
      <c r="A483" s="21">
        <v>7155</v>
      </c>
      <c r="B483" s="611" t="s">
        <v>1052</v>
      </c>
      <c r="C483" s="612"/>
      <c r="D483" s="612"/>
      <c r="E483" s="612"/>
      <c r="F483" s="612"/>
      <c r="G483" s="612">
        <f>SUM(G479:H482)</f>
        <v>0</v>
      </c>
      <c r="H483" s="612"/>
      <c r="I483" s="612"/>
      <c r="J483" s="612"/>
      <c r="K483" s="613"/>
      <c r="L483" s="698">
        <f>SUM(L479:M482)</f>
        <v>0</v>
      </c>
      <c r="M483" s="699"/>
    </row>
    <row r="484" spans="1:18" s="2" customFormat="1" ht="25.5" customHeight="1" x14ac:dyDescent="0.25">
      <c r="A484" s="21">
        <v>7244</v>
      </c>
      <c r="B484" s="611" t="s">
        <v>1053</v>
      </c>
      <c r="C484" s="612"/>
      <c r="D484" s="612"/>
      <c r="E484" s="612"/>
      <c r="F484" s="612"/>
      <c r="G484" s="612">
        <f>SUM(G478+G483)</f>
        <v>0</v>
      </c>
      <c r="H484" s="612">
        <f>SUM(H468:H483)</f>
        <v>0</v>
      </c>
      <c r="I484" s="612" t="str">
        <f>IF(AND(NOT(ISBLANK(P471)),Code_4320&lt;=0),"Please Enter the Total Acute Care Admissions.","")</f>
        <v/>
      </c>
      <c r="J484" s="612"/>
      <c r="K484" s="613"/>
      <c r="L484" s="698">
        <f>SUM(L478+L483)</f>
        <v>0</v>
      </c>
      <c r="M484" s="699">
        <f>SUM(M468:M483)</f>
        <v>0</v>
      </c>
    </row>
    <row r="486" spans="1:18" s="2" customFormat="1" ht="25.5" customHeight="1" x14ac:dyDescent="0.3">
      <c r="A486" s="15" t="e">
        <f>$A$33</f>
        <v>#N/A</v>
      </c>
    </row>
    <row r="487" spans="1:18" s="2" customFormat="1" ht="25.5" customHeight="1" x14ac:dyDescent="0.25">
      <c r="A487" s="700" t="s">
        <v>883</v>
      </c>
      <c r="B487" s="701"/>
      <c r="C487" s="701"/>
      <c r="D487" s="701"/>
      <c r="E487" s="701"/>
      <c r="F487" s="701"/>
      <c r="G487" s="701"/>
      <c r="H487" s="701"/>
      <c r="I487" s="701"/>
      <c r="J487" s="701"/>
      <c r="K487" s="701"/>
      <c r="L487" s="701"/>
      <c r="M487" s="701"/>
    </row>
    <row r="488" spans="1:18" s="2" customFormat="1" ht="25.5" customHeight="1" x14ac:dyDescent="0.25">
      <c r="A488" s="581" t="s">
        <v>1893</v>
      </c>
      <c r="B488" s="527"/>
      <c r="C488" s="527"/>
      <c r="D488" s="527"/>
      <c r="E488" s="527"/>
      <c r="F488" s="527"/>
      <c r="G488" s="527"/>
      <c r="H488" s="527"/>
      <c r="I488" s="527"/>
      <c r="J488" s="527"/>
      <c r="K488" s="528"/>
      <c r="L488" s="636" t="s">
        <v>3614</v>
      </c>
      <c r="M488" s="636"/>
      <c r="N488" s="550" t="str">
        <f>IF($D$5&gt;=200,"This section is REQUIRED for Pyschiatric and Specialty hospitals.","")</f>
        <v/>
      </c>
      <c r="O488" s="550"/>
      <c r="P488" s="550"/>
      <c r="Q488" s="550"/>
      <c r="R488" s="550"/>
    </row>
    <row r="489" spans="1:18" s="15" customFormat="1" ht="25.5" customHeight="1" x14ac:dyDescent="0.3">
      <c r="A489" s="21">
        <v>4370</v>
      </c>
      <c r="B489" s="611" t="s">
        <v>2225</v>
      </c>
      <c r="C489" s="612"/>
      <c r="D489" s="612"/>
      <c r="E489" s="612"/>
      <c r="F489" s="612"/>
      <c r="G489" s="612"/>
      <c r="H489" s="612"/>
      <c r="I489" s="612"/>
      <c r="J489" s="612"/>
      <c r="K489" s="613"/>
      <c r="L489" s="614"/>
      <c r="M489" s="615"/>
    </row>
    <row r="490" spans="1:18" s="2" customFormat="1" ht="25.5" customHeight="1" x14ac:dyDescent="0.25">
      <c r="A490" s="20">
        <v>4341</v>
      </c>
      <c r="B490" s="531" t="s">
        <v>1247</v>
      </c>
      <c r="C490" s="532"/>
      <c r="D490" s="532"/>
      <c r="E490" s="532"/>
      <c r="F490" s="532"/>
      <c r="G490" s="532"/>
      <c r="H490" s="532"/>
      <c r="I490" s="533"/>
      <c r="J490" s="616"/>
      <c r="K490" s="617"/>
      <c r="L490" s="629" t="s">
        <v>2215</v>
      </c>
      <c r="M490" s="630"/>
      <c r="N490" s="809" t="str">
        <f>IF(AND(ISBLANK(J490),ISBLANK(J491)),"Enter Total Medicare Admissions in 4370 if detail is not available. 
(Cell is not locked.)","")</f>
        <v>Enter Total Medicare Admissions in 4370 if detail is not available. 
(Cell is not locked.)</v>
      </c>
      <c r="O490" s="810"/>
      <c r="P490" s="810"/>
      <c r="Q490" s="810"/>
      <c r="R490" s="810"/>
    </row>
    <row r="491" spans="1:18" s="2" customFormat="1" ht="25.5" customHeight="1" x14ac:dyDescent="0.25">
      <c r="A491" s="20">
        <v>7184</v>
      </c>
      <c r="B491" s="531" t="s">
        <v>1250</v>
      </c>
      <c r="C491" s="532"/>
      <c r="D491" s="532"/>
      <c r="E491" s="532"/>
      <c r="F491" s="532"/>
      <c r="G491" s="532"/>
      <c r="H491" s="532"/>
      <c r="I491" s="533"/>
      <c r="J491" s="616"/>
      <c r="K491" s="617"/>
      <c r="L491" s="631"/>
      <c r="M491" s="632"/>
      <c r="N491" s="809"/>
      <c r="O491" s="810"/>
      <c r="P491" s="810"/>
      <c r="Q491" s="810"/>
      <c r="R491" s="810"/>
    </row>
    <row r="492" spans="1:18" s="15" customFormat="1" ht="25.5" customHeight="1" x14ac:dyDescent="0.3">
      <c r="A492" s="21">
        <v>4373</v>
      </c>
      <c r="B492" s="611" t="s">
        <v>2226</v>
      </c>
      <c r="C492" s="612"/>
      <c r="D492" s="612"/>
      <c r="E492" s="612"/>
      <c r="F492" s="612"/>
      <c r="G492" s="612"/>
      <c r="H492" s="612"/>
      <c r="I492" s="612"/>
      <c r="J492" s="612"/>
      <c r="K492" s="613"/>
      <c r="L492" s="614"/>
      <c r="M492" s="615"/>
    </row>
    <row r="493" spans="1:18" s="2" customFormat="1" ht="25.5" customHeight="1" x14ac:dyDescent="0.25">
      <c r="A493" s="20">
        <v>7181</v>
      </c>
      <c r="B493" s="545" t="s">
        <v>1248</v>
      </c>
      <c r="C493" s="546"/>
      <c r="D493" s="546"/>
      <c r="E493" s="546"/>
      <c r="F493" s="546"/>
      <c r="G493" s="546"/>
      <c r="H493" s="546"/>
      <c r="I493" s="547"/>
      <c r="J493" s="616"/>
      <c r="K493" s="617"/>
      <c r="L493" s="808" t="s">
        <v>2217</v>
      </c>
      <c r="M493" s="630"/>
      <c r="N493" s="809" t="str">
        <f>IF(AND(ISBLANK(J493),ISBLANK(J494)),"Enter Total MA/PMAP Admissions in 4373 if detail is not available. 
(Cell is not locked.)","")</f>
        <v>Enter Total MA/PMAP Admissions in 4373 if detail is not available. 
(Cell is not locked.)</v>
      </c>
      <c r="O493" s="810"/>
      <c r="P493" s="810"/>
      <c r="Q493" s="810"/>
      <c r="R493" s="810"/>
    </row>
    <row r="494" spans="1:18" s="2" customFormat="1" ht="25.5" customHeight="1" x14ac:dyDescent="0.25">
      <c r="A494" s="20">
        <v>7186</v>
      </c>
      <c r="B494" s="545" t="s">
        <v>1251</v>
      </c>
      <c r="C494" s="546"/>
      <c r="D494" s="546"/>
      <c r="E494" s="546"/>
      <c r="F494" s="546"/>
      <c r="G494" s="546"/>
      <c r="H494" s="546"/>
      <c r="I494" s="547"/>
      <c r="J494" s="616"/>
      <c r="K494" s="617"/>
      <c r="L494" s="631"/>
      <c r="M494" s="632"/>
      <c r="N494" s="809"/>
      <c r="O494" s="810"/>
      <c r="P494" s="810"/>
      <c r="Q494" s="810"/>
      <c r="R494" s="810"/>
    </row>
    <row r="495" spans="1:18" s="15" customFormat="1" ht="25.5" customHeight="1" x14ac:dyDescent="0.3">
      <c r="A495" s="21">
        <v>4376</v>
      </c>
      <c r="B495" s="611" t="s">
        <v>2227</v>
      </c>
      <c r="C495" s="612"/>
      <c r="D495" s="612"/>
      <c r="E495" s="612"/>
      <c r="F495" s="612"/>
      <c r="G495" s="612"/>
      <c r="H495" s="612"/>
      <c r="I495" s="612"/>
      <c r="J495" s="612"/>
      <c r="K495" s="613"/>
      <c r="L495" s="614"/>
      <c r="M495" s="615"/>
    </row>
    <row r="496" spans="1:18" s="2" customFormat="1" ht="25.5" customHeight="1" x14ac:dyDescent="0.25">
      <c r="A496" s="20">
        <v>7183</v>
      </c>
      <c r="B496" s="545" t="s">
        <v>1249</v>
      </c>
      <c r="C496" s="546"/>
      <c r="D496" s="546"/>
      <c r="E496" s="546"/>
      <c r="F496" s="546"/>
      <c r="G496" s="546"/>
      <c r="H496" s="546"/>
      <c r="I496" s="547"/>
      <c r="J496" s="616"/>
      <c r="K496" s="617"/>
      <c r="L496" s="629" t="s">
        <v>2218</v>
      </c>
      <c r="M496" s="630"/>
      <c r="N496" s="809" t="str">
        <f>IF(AND(ISBLANK(J496),ISBLANK(J497)),"Enter Total MinnesotaCare Admissions in 4376 if detail is not available. 
(Cell is not locked.)","")</f>
        <v>Enter Total MinnesotaCare Admissions in 4376 if detail is not available. 
(Cell is not locked.)</v>
      </c>
      <c r="O496" s="810"/>
      <c r="P496" s="810"/>
      <c r="Q496" s="810"/>
      <c r="R496" s="810"/>
    </row>
    <row r="497" spans="1:18" s="2" customFormat="1" ht="25.5" customHeight="1" x14ac:dyDescent="0.25">
      <c r="A497" s="20">
        <v>7188</v>
      </c>
      <c r="B497" s="545" t="s">
        <v>1252</v>
      </c>
      <c r="C497" s="546"/>
      <c r="D497" s="546"/>
      <c r="E497" s="546"/>
      <c r="F497" s="546"/>
      <c r="G497" s="546"/>
      <c r="H497" s="546"/>
      <c r="I497" s="547"/>
      <c r="J497" s="616"/>
      <c r="K497" s="617"/>
      <c r="L497" s="631"/>
      <c r="M497" s="632"/>
      <c r="N497" s="809"/>
      <c r="O497" s="810"/>
      <c r="P497" s="810"/>
      <c r="Q497" s="810"/>
      <c r="R497" s="810"/>
    </row>
    <row r="498" spans="1:18" s="15" customFormat="1" ht="25.5" customHeight="1" x14ac:dyDescent="0.3">
      <c r="A498" s="21">
        <v>4379</v>
      </c>
      <c r="B498" s="611" t="s">
        <v>2228</v>
      </c>
      <c r="C498" s="612"/>
      <c r="D498" s="612"/>
      <c r="E498" s="612"/>
      <c r="F498" s="612"/>
      <c r="G498" s="612"/>
      <c r="H498" s="612"/>
      <c r="I498" s="612"/>
      <c r="J498" s="612"/>
      <c r="K498" s="613"/>
      <c r="L498" s="806"/>
      <c r="M498" s="807"/>
    </row>
    <row r="499" spans="1:18" s="2" customFormat="1" ht="25.5" customHeight="1" x14ac:dyDescent="0.25">
      <c r="A499" s="20">
        <v>7189</v>
      </c>
      <c r="B499" s="531" t="s">
        <v>1253</v>
      </c>
      <c r="C499" s="532"/>
      <c r="D499" s="532"/>
      <c r="E499" s="532"/>
      <c r="F499" s="532"/>
      <c r="G499" s="532"/>
      <c r="H499" s="532"/>
      <c r="I499" s="532"/>
      <c r="J499" s="532"/>
      <c r="K499" s="533"/>
      <c r="L499" s="616"/>
      <c r="M499" s="617"/>
    </row>
    <row r="500" spans="1:18" s="2" customFormat="1" ht="25.5" customHeight="1" x14ac:dyDescent="0.25">
      <c r="A500" s="20">
        <v>4344</v>
      </c>
      <c r="B500" s="811" t="s">
        <v>1254</v>
      </c>
      <c r="C500" s="535"/>
      <c r="D500" s="535"/>
      <c r="E500" s="535"/>
      <c r="F500" s="535"/>
      <c r="G500" s="535"/>
      <c r="H500" s="535"/>
      <c r="I500" s="535"/>
      <c r="J500" s="535"/>
      <c r="K500" s="536"/>
      <c r="L500" s="788">
        <f>Code_4340-Code_4370-Code_4373-Code_4376-Code_4379-Code_7189</f>
        <v>0</v>
      </c>
      <c r="M500" s="789"/>
    </row>
    <row r="501" spans="1:18" s="15" customFormat="1" ht="25.5" customHeight="1" x14ac:dyDescent="0.3">
      <c r="A501" s="21">
        <v>4340</v>
      </c>
      <c r="B501" s="611" t="s">
        <v>1255</v>
      </c>
      <c r="C501" s="612"/>
      <c r="D501" s="612"/>
      <c r="E501" s="612"/>
      <c r="F501" s="612"/>
      <c r="G501" s="612"/>
      <c r="H501" s="612"/>
      <c r="I501" s="612"/>
      <c r="J501" s="612"/>
      <c r="K501" s="613"/>
      <c r="L501" s="698">
        <f>Code_4320</f>
        <v>0</v>
      </c>
      <c r="M501" s="699"/>
    </row>
    <row r="502" spans="1:18" s="15" customFormat="1" ht="25.5" customHeight="1" x14ac:dyDescent="0.3">
      <c r="A502" s="21">
        <v>4342</v>
      </c>
      <c r="B502" s="608" t="s">
        <v>1929</v>
      </c>
      <c r="C502" s="609"/>
      <c r="D502" s="609"/>
      <c r="E502" s="609"/>
      <c r="F502" s="609"/>
      <c r="G502" s="609"/>
      <c r="H502" s="609"/>
      <c r="I502" s="609"/>
      <c r="J502" s="609"/>
      <c r="K502" s="610"/>
      <c r="L502" s="788">
        <f>SUM(Code_7181,Code_7183)</f>
        <v>0</v>
      </c>
      <c r="M502" s="789"/>
    </row>
    <row r="503" spans="1:18" s="15" customFormat="1" ht="25.5" customHeight="1" x14ac:dyDescent="0.3">
      <c r="A503" s="21">
        <v>7185</v>
      </c>
      <c r="B503" s="608" t="s">
        <v>1930</v>
      </c>
      <c r="C503" s="609"/>
      <c r="D503" s="609"/>
      <c r="E503" s="609"/>
      <c r="F503" s="609"/>
      <c r="G503" s="609"/>
      <c r="H503" s="609"/>
      <c r="I503" s="609"/>
      <c r="J503" s="609"/>
      <c r="K503" s="610"/>
      <c r="L503" s="788">
        <f>SUM(Code_7186,Code_7188)</f>
        <v>0</v>
      </c>
      <c r="M503" s="789"/>
    </row>
    <row r="504" spans="1:18" s="2" customFormat="1" ht="25.5" customHeight="1" x14ac:dyDescent="0.25">
      <c r="A504" s="581" t="s">
        <v>1894</v>
      </c>
      <c r="B504" s="527"/>
      <c r="C504" s="527"/>
      <c r="D504" s="527"/>
      <c r="E504" s="527"/>
      <c r="F504" s="527"/>
      <c r="G504" s="527"/>
      <c r="H504" s="527"/>
      <c r="I504" s="527"/>
      <c r="J504" s="527"/>
      <c r="K504" s="528"/>
      <c r="L504" s="636" t="s">
        <v>3614</v>
      </c>
      <c r="M504" s="636"/>
    </row>
    <row r="505" spans="1:18" s="2" customFormat="1" ht="25.5" customHeight="1" x14ac:dyDescent="0.25">
      <c r="A505" s="20">
        <v>4360</v>
      </c>
      <c r="B505" s="531" t="s">
        <v>1256</v>
      </c>
      <c r="C505" s="532"/>
      <c r="D505" s="532"/>
      <c r="E505" s="532"/>
      <c r="F505" s="532"/>
      <c r="G505" s="532"/>
      <c r="H505" s="532"/>
      <c r="I505" s="532"/>
      <c r="J505" s="532"/>
      <c r="K505" s="533"/>
      <c r="L505" s="788" t="e">
        <f>ROUND((Code_0860/Code_0851)*L501,0)</f>
        <v>#DIV/0!</v>
      </c>
      <c r="M505" s="789"/>
    </row>
    <row r="506" spans="1:18" s="2" customFormat="1" ht="25.5" customHeight="1" x14ac:dyDescent="0.25">
      <c r="A506" s="20">
        <v>4351</v>
      </c>
      <c r="B506" s="531" t="s">
        <v>1257</v>
      </c>
      <c r="C506" s="532"/>
      <c r="D506" s="532"/>
      <c r="E506" s="532"/>
      <c r="F506" s="532"/>
      <c r="G506" s="532"/>
      <c r="H506" s="532"/>
      <c r="I506" s="532"/>
      <c r="J506" s="532"/>
      <c r="K506" s="533"/>
      <c r="L506" s="802" t="e">
        <f>ROUND(Code_4030/Code_4320,2)</f>
        <v>#DIV/0!</v>
      </c>
      <c r="M506" s="803"/>
    </row>
    <row r="507" spans="1:18" s="2" customFormat="1" ht="25.5" customHeight="1" x14ac:dyDescent="0.3">
      <c r="A507" s="15" t="e">
        <f>$A$33</f>
        <v>#N/A</v>
      </c>
    </row>
    <row r="508" spans="1:18" s="2" customFormat="1" ht="25.5" customHeight="1" x14ac:dyDescent="0.25">
      <c r="A508" s="700" t="s">
        <v>884</v>
      </c>
      <c r="B508" s="701"/>
      <c r="C508" s="701"/>
      <c r="D508" s="701"/>
      <c r="E508" s="701"/>
      <c r="F508" s="701"/>
      <c r="G508" s="701"/>
      <c r="H508" s="701"/>
      <c r="I508" s="701"/>
      <c r="J508" s="701"/>
      <c r="K508" s="701"/>
      <c r="L508" s="701"/>
      <c r="M508" s="701"/>
    </row>
    <row r="509" spans="1:18" s="2" customFormat="1" ht="25.5" customHeight="1" x14ac:dyDescent="0.25">
      <c r="A509" s="581" t="s">
        <v>1895</v>
      </c>
      <c r="B509" s="527"/>
      <c r="C509" s="527"/>
      <c r="D509" s="527"/>
      <c r="E509" s="527"/>
      <c r="F509" s="527"/>
      <c r="G509" s="527"/>
      <c r="H509" s="527"/>
      <c r="I509" s="527"/>
      <c r="J509" s="527"/>
      <c r="K509" s="528"/>
      <c r="L509" s="636" t="s">
        <v>3614</v>
      </c>
      <c r="M509" s="636"/>
      <c r="N509" s="550" t="str">
        <f>IF($D$5&gt;=200,"This section is REQUIRED for Pyschiatric and Specialty hospitals.","")</f>
        <v/>
      </c>
      <c r="O509" s="550"/>
      <c r="P509" s="550"/>
      <c r="Q509" s="550"/>
      <c r="R509" s="550"/>
    </row>
    <row r="510" spans="1:18" s="15" customFormat="1" ht="25.5" customHeight="1" x14ac:dyDescent="0.3">
      <c r="A510" s="21">
        <v>4380</v>
      </c>
      <c r="B510" s="611" t="s">
        <v>2229</v>
      </c>
      <c r="C510" s="612"/>
      <c r="D510" s="612"/>
      <c r="E510" s="612"/>
      <c r="F510" s="612"/>
      <c r="G510" s="612"/>
      <c r="H510" s="612"/>
      <c r="I510" s="612"/>
      <c r="J510" s="612"/>
      <c r="K510" s="613"/>
      <c r="L510" s="806"/>
      <c r="M510" s="807"/>
    </row>
    <row r="511" spans="1:18" s="2" customFormat="1" ht="25.5" customHeight="1" x14ac:dyDescent="0.25">
      <c r="A511" s="20">
        <v>4025</v>
      </c>
      <c r="B511" s="531" t="s">
        <v>1258</v>
      </c>
      <c r="C511" s="532"/>
      <c r="D511" s="532"/>
      <c r="E511" s="532"/>
      <c r="F511" s="532"/>
      <c r="G511" s="532"/>
      <c r="H511" s="532"/>
      <c r="I511" s="533"/>
      <c r="J511" s="616"/>
      <c r="K511" s="617"/>
      <c r="L511" s="629" t="s">
        <v>2215</v>
      </c>
      <c r="M511" s="630"/>
      <c r="N511" s="809" t="str">
        <f>IF(AND(ISBLANK(J511),ISBLANK(J512)),"Enter Total Medicare Patient Days in 4380 if detail is not available. 
(Cell is not locked.)","")</f>
        <v>Enter Total Medicare Patient Days in 4380 if detail is not available. 
(Cell is not locked.)</v>
      </c>
      <c r="O511" s="810"/>
      <c r="P511" s="810"/>
      <c r="Q511" s="810"/>
      <c r="R511" s="810"/>
    </row>
    <row r="512" spans="1:18" s="2" customFormat="1" ht="25.5" customHeight="1" x14ac:dyDescent="0.25">
      <c r="A512" s="20">
        <v>7162</v>
      </c>
      <c r="B512" s="531" t="s">
        <v>1261</v>
      </c>
      <c r="C512" s="532"/>
      <c r="D512" s="532"/>
      <c r="E512" s="532"/>
      <c r="F512" s="532"/>
      <c r="G512" s="532"/>
      <c r="H512" s="532"/>
      <c r="I512" s="533"/>
      <c r="J512" s="616"/>
      <c r="K512" s="617"/>
      <c r="L512" s="631"/>
      <c r="M512" s="632"/>
      <c r="N512" s="809"/>
      <c r="O512" s="810"/>
      <c r="P512" s="810"/>
      <c r="Q512" s="810"/>
      <c r="R512" s="810"/>
    </row>
    <row r="513" spans="1:18" s="15" customFormat="1" ht="25.5" customHeight="1" x14ac:dyDescent="0.3">
      <c r="A513" s="21">
        <v>4383</v>
      </c>
      <c r="B513" s="611" t="s">
        <v>2231</v>
      </c>
      <c r="C513" s="612"/>
      <c r="D513" s="612"/>
      <c r="E513" s="612"/>
      <c r="F513" s="612"/>
      <c r="G513" s="612"/>
      <c r="H513" s="612"/>
      <c r="I513" s="612"/>
      <c r="J513" s="612"/>
      <c r="K513" s="613"/>
      <c r="L513" s="806"/>
      <c r="M513" s="807"/>
    </row>
    <row r="514" spans="1:18" s="2" customFormat="1" ht="25.5" customHeight="1" x14ac:dyDescent="0.25">
      <c r="A514" s="20">
        <v>7159</v>
      </c>
      <c r="B514" s="545" t="s">
        <v>1259</v>
      </c>
      <c r="C514" s="546"/>
      <c r="D514" s="546"/>
      <c r="E514" s="546"/>
      <c r="F514" s="546"/>
      <c r="G514" s="546"/>
      <c r="H514" s="546"/>
      <c r="I514" s="547"/>
      <c r="J514" s="616"/>
      <c r="K514" s="617"/>
      <c r="L514" s="808" t="s">
        <v>2217</v>
      </c>
      <c r="M514" s="630"/>
      <c r="N514" s="809" t="str">
        <f>IF(AND(ISBLANK(J514),ISBLANK(J515)),"Enter Total MA/PMAP Days in 4383 if detail is not available. 
(Cell is not locked.)","")</f>
        <v>Enter Total MA/PMAP Days in 4383 if detail is not available. 
(Cell is not locked.)</v>
      </c>
      <c r="O514" s="810"/>
      <c r="P514" s="810"/>
      <c r="Q514" s="810"/>
      <c r="R514" s="810"/>
    </row>
    <row r="515" spans="1:18" s="2" customFormat="1" ht="25.5" customHeight="1" x14ac:dyDescent="0.25">
      <c r="A515" s="20">
        <v>7164</v>
      </c>
      <c r="B515" s="545" t="s">
        <v>1262</v>
      </c>
      <c r="C515" s="546"/>
      <c r="D515" s="546"/>
      <c r="E515" s="546"/>
      <c r="F515" s="546"/>
      <c r="G515" s="546"/>
      <c r="H515" s="546"/>
      <c r="I515" s="547"/>
      <c r="J515" s="616"/>
      <c r="K515" s="617"/>
      <c r="L515" s="631"/>
      <c r="M515" s="632"/>
      <c r="N515" s="809"/>
      <c r="O515" s="810"/>
      <c r="P515" s="810"/>
      <c r="Q515" s="810"/>
      <c r="R515" s="810"/>
    </row>
    <row r="516" spans="1:18" s="15" customFormat="1" ht="25.5" customHeight="1" x14ac:dyDescent="0.3">
      <c r="A516" s="21">
        <v>4386</v>
      </c>
      <c r="B516" s="611" t="s">
        <v>2232</v>
      </c>
      <c r="C516" s="612"/>
      <c r="D516" s="612"/>
      <c r="E516" s="612"/>
      <c r="F516" s="612"/>
      <c r="G516" s="612"/>
      <c r="H516" s="612"/>
      <c r="I516" s="612"/>
      <c r="J516" s="612"/>
      <c r="K516" s="613"/>
      <c r="L516" s="806"/>
      <c r="M516" s="807"/>
    </row>
    <row r="517" spans="1:18" s="2" customFormat="1" ht="25.5" customHeight="1" x14ac:dyDescent="0.25">
      <c r="A517" s="20">
        <v>7161</v>
      </c>
      <c r="B517" s="545" t="s">
        <v>1260</v>
      </c>
      <c r="C517" s="546"/>
      <c r="D517" s="546"/>
      <c r="E517" s="546"/>
      <c r="F517" s="546"/>
      <c r="G517" s="546"/>
      <c r="H517" s="546"/>
      <c r="I517" s="547"/>
      <c r="J517" s="616"/>
      <c r="K517" s="617"/>
      <c r="L517" s="629" t="s">
        <v>2218</v>
      </c>
      <c r="M517" s="630"/>
      <c r="N517" s="809" t="str">
        <f>IF(AND(ISBLANK(J517),ISBLANK(J518)),"Enter Total MinnesotaCare Days in 4386 if detail is not available. 
(Cell is not locked.)","")</f>
        <v>Enter Total MinnesotaCare Days in 4386 if detail is not available. 
(Cell is not locked.)</v>
      </c>
      <c r="O517" s="810"/>
      <c r="P517" s="810"/>
      <c r="Q517" s="810"/>
      <c r="R517" s="810"/>
    </row>
    <row r="518" spans="1:18" s="2" customFormat="1" ht="25.5" customHeight="1" x14ac:dyDescent="0.25">
      <c r="A518" s="20">
        <v>7166</v>
      </c>
      <c r="B518" s="545" t="s">
        <v>1263</v>
      </c>
      <c r="C518" s="546"/>
      <c r="D518" s="546"/>
      <c r="E518" s="546"/>
      <c r="F518" s="546"/>
      <c r="G518" s="546"/>
      <c r="H518" s="546"/>
      <c r="I518" s="547"/>
      <c r="J518" s="616"/>
      <c r="K518" s="617"/>
      <c r="L518" s="631"/>
      <c r="M518" s="632"/>
      <c r="N518" s="809"/>
      <c r="O518" s="810"/>
      <c r="P518" s="810"/>
      <c r="Q518" s="810"/>
      <c r="R518" s="810"/>
    </row>
    <row r="519" spans="1:18" s="2" customFormat="1" ht="25.5" customHeight="1" x14ac:dyDescent="0.25">
      <c r="A519" s="21">
        <v>4389</v>
      </c>
      <c r="B519" s="611" t="s">
        <v>2230</v>
      </c>
      <c r="C519" s="612"/>
      <c r="D519" s="612"/>
      <c r="E519" s="612"/>
      <c r="F519" s="612"/>
      <c r="G519" s="612"/>
      <c r="H519" s="612"/>
      <c r="I519" s="612"/>
      <c r="J519" s="612"/>
      <c r="K519" s="613"/>
      <c r="L519" s="806"/>
      <c r="M519" s="807"/>
    </row>
    <row r="520" spans="1:18" s="2" customFormat="1" ht="25.5" customHeight="1" x14ac:dyDescent="0.25">
      <c r="A520" s="20">
        <v>7167</v>
      </c>
      <c r="B520" s="531" t="s">
        <v>1264</v>
      </c>
      <c r="C520" s="532"/>
      <c r="D520" s="532"/>
      <c r="E520" s="532"/>
      <c r="F520" s="532"/>
      <c r="G520" s="532"/>
      <c r="H520" s="532"/>
      <c r="I520" s="532"/>
      <c r="J520" s="532"/>
      <c r="K520" s="533"/>
      <c r="L520" s="616"/>
      <c r="M520" s="617"/>
    </row>
    <row r="521" spans="1:18" s="2" customFormat="1" ht="25.5" customHeight="1" x14ac:dyDescent="0.25">
      <c r="A521" s="20">
        <v>4026</v>
      </c>
      <c r="B521" s="811" t="s">
        <v>1265</v>
      </c>
      <c r="C521" s="535"/>
      <c r="D521" s="535"/>
      <c r="E521" s="535"/>
      <c r="F521" s="535"/>
      <c r="G521" s="535"/>
      <c r="H521" s="535"/>
      <c r="I521" s="535"/>
      <c r="J521" s="535"/>
      <c r="K521" s="536"/>
      <c r="L521" s="788">
        <f>Code_4020-Code_4380-Code_4383-Code_4386-Code_4389-Code_7167</f>
        <v>0</v>
      </c>
      <c r="M521" s="789"/>
    </row>
    <row r="522" spans="1:18" s="15" customFormat="1" ht="25.5" customHeight="1" x14ac:dyDescent="0.3">
      <c r="A522" s="21">
        <v>4020</v>
      </c>
      <c r="B522" s="611" t="s">
        <v>1266</v>
      </c>
      <c r="C522" s="612"/>
      <c r="D522" s="612"/>
      <c r="E522" s="612"/>
      <c r="F522" s="612"/>
      <c r="G522" s="612"/>
      <c r="H522" s="612"/>
      <c r="I522" s="612"/>
      <c r="J522" s="612"/>
      <c r="K522" s="613"/>
      <c r="L522" s="698">
        <f>Code_4030</f>
        <v>0</v>
      </c>
      <c r="M522" s="699"/>
    </row>
    <row r="523" spans="1:18" s="15" customFormat="1" ht="25.5" customHeight="1" x14ac:dyDescent="0.3">
      <c r="A523" s="21">
        <v>4022</v>
      </c>
      <c r="B523" s="608" t="s">
        <v>1931</v>
      </c>
      <c r="C523" s="609"/>
      <c r="D523" s="609"/>
      <c r="E523" s="609"/>
      <c r="F523" s="609"/>
      <c r="G523" s="609"/>
      <c r="H523" s="609"/>
      <c r="I523" s="609"/>
      <c r="J523" s="609"/>
      <c r="K523" s="610"/>
      <c r="L523" s="788">
        <f>SUM(Code_7159,Code_7161)</f>
        <v>0</v>
      </c>
      <c r="M523" s="789"/>
    </row>
    <row r="524" spans="1:18" s="15" customFormat="1" ht="25.5" customHeight="1" x14ac:dyDescent="0.3">
      <c r="A524" s="21">
        <v>7163</v>
      </c>
      <c r="B524" s="608" t="s">
        <v>1932</v>
      </c>
      <c r="C524" s="609"/>
      <c r="D524" s="609"/>
      <c r="E524" s="609"/>
      <c r="F524" s="609"/>
      <c r="G524" s="609"/>
      <c r="H524" s="609"/>
      <c r="I524" s="609"/>
      <c r="J524" s="609"/>
      <c r="K524" s="610"/>
      <c r="L524" s="788">
        <f>SUM(Code_7164,Code_7166)</f>
        <v>0</v>
      </c>
      <c r="M524" s="789"/>
    </row>
    <row r="525" spans="1:18" s="2" customFormat="1" ht="25.5" customHeight="1" x14ac:dyDescent="0.25">
      <c r="A525" s="581" t="s">
        <v>1896</v>
      </c>
      <c r="B525" s="527"/>
      <c r="C525" s="527"/>
      <c r="D525" s="527"/>
      <c r="E525" s="527"/>
      <c r="F525" s="527"/>
      <c r="G525" s="527"/>
      <c r="H525" s="527"/>
      <c r="I525" s="527"/>
      <c r="J525" s="527"/>
      <c r="K525" s="528"/>
      <c r="L525" s="636" t="s">
        <v>3614</v>
      </c>
      <c r="M525" s="636"/>
    </row>
    <row r="526" spans="1:18" s="2" customFormat="1" ht="25.5" customHeight="1" x14ac:dyDescent="0.25">
      <c r="A526" s="20">
        <v>4060</v>
      </c>
      <c r="B526" s="531" t="s">
        <v>1267</v>
      </c>
      <c r="C526" s="532"/>
      <c r="D526" s="532"/>
      <c r="E526" s="532"/>
      <c r="F526" s="532"/>
      <c r="G526" s="532"/>
      <c r="H526" s="532"/>
      <c r="I526" s="532"/>
      <c r="J526" s="532"/>
      <c r="K526" s="533"/>
      <c r="L526" s="804" t="e">
        <f>ROUND((Code_0860/Code_0851)*Code_4030,0)</f>
        <v>#DIV/0!</v>
      </c>
      <c r="M526" s="805"/>
    </row>
    <row r="527" spans="1:18" s="2" customFormat="1" ht="25.5" customHeight="1" x14ac:dyDescent="0.25">
      <c r="A527" s="581" t="s">
        <v>1897</v>
      </c>
      <c r="B527" s="527"/>
      <c r="C527" s="527"/>
      <c r="D527" s="527"/>
      <c r="E527" s="527"/>
      <c r="F527" s="527"/>
      <c r="G527" s="527"/>
      <c r="H527" s="527"/>
      <c r="I527" s="527"/>
      <c r="J527" s="527"/>
      <c r="K527" s="528"/>
      <c r="L527" s="636" t="s">
        <v>3614</v>
      </c>
      <c r="M527" s="636"/>
      <c r="N527" s="550" t="str">
        <f>IF($D$5&gt;=200,"This section is REQUIRED for Pyschiatric and Specialty hospitals.","")</f>
        <v/>
      </c>
      <c r="O527" s="550"/>
      <c r="P527" s="550"/>
      <c r="Q527" s="550"/>
      <c r="R527" s="550"/>
    </row>
    <row r="528" spans="1:18" s="2" customFormat="1" ht="25.5" customHeight="1" x14ac:dyDescent="0.25">
      <c r="A528" s="20">
        <v>7058</v>
      </c>
      <c r="B528" s="531" t="s">
        <v>1268</v>
      </c>
      <c r="C528" s="532"/>
      <c r="D528" s="532"/>
      <c r="E528" s="532"/>
      <c r="F528" s="532"/>
      <c r="G528" s="532"/>
      <c r="H528" s="532"/>
      <c r="I528" s="532"/>
      <c r="J528" s="532"/>
      <c r="K528" s="533"/>
      <c r="L528" s="616"/>
      <c r="M528" s="617"/>
      <c r="N528" s="596" t="str">
        <f>IF(ISBLANK(L528),"Required Item. Please review instructions.","")</f>
        <v>Required Item. Please review instructions.</v>
      </c>
      <c r="O528" s="597"/>
      <c r="P528" s="597"/>
      <c r="Q528" s="597"/>
      <c r="R528" s="598"/>
    </row>
    <row r="529" spans="1:18" s="2" customFormat="1" ht="25.5" customHeight="1" x14ac:dyDescent="0.25">
      <c r="A529" s="20">
        <v>7059</v>
      </c>
      <c r="B529" s="531" t="s">
        <v>1269</v>
      </c>
      <c r="C529" s="532"/>
      <c r="D529" s="532"/>
      <c r="E529" s="532"/>
      <c r="F529" s="532"/>
      <c r="G529" s="532"/>
      <c r="H529" s="532"/>
      <c r="I529" s="532"/>
      <c r="J529" s="532"/>
      <c r="K529" s="533"/>
      <c r="L529" s="616"/>
      <c r="M529" s="617"/>
      <c r="N529" s="596" t="str">
        <f>IF(ISBLANK(L529),"Required Item. Please review instructions.","")</f>
        <v>Required Item. Please review instructions.</v>
      </c>
      <c r="O529" s="597"/>
      <c r="P529" s="597"/>
      <c r="Q529" s="597"/>
      <c r="R529" s="598"/>
    </row>
    <row r="530" spans="1:18" s="2" customFormat="1" ht="25.5" customHeight="1" x14ac:dyDescent="0.3">
      <c r="A530" s="15" t="e">
        <f>$A$33</f>
        <v>#N/A</v>
      </c>
    </row>
    <row r="531" spans="1:18" s="2" customFormat="1" ht="25.5" customHeight="1" x14ac:dyDescent="0.25">
      <c r="A531" s="800" t="s">
        <v>9</v>
      </c>
      <c r="B531" s="801"/>
      <c r="C531" s="801"/>
      <c r="D531" s="801"/>
      <c r="E531" s="801"/>
      <c r="F531" s="801"/>
      <c r="G531" s="801"/>
      <c r="H531" s="801"/>
      <c r="I531" s="801"/>
      <c r="J531" s="801"/>
      <c r="K531" s="801"/>
      <c r="L531" s="801"/>
      <c r="M531" s="801"/>
    </row>
    <row r="532" spans="1:18" s="2" customFormat="1" ht="25.5" customHeight="1" x14ac:dyDescent="0.25">
      <c r="A532" s="581" t="s">
        <v>1898</v>
      </c>
      <c r="B532" s="527"/>
      <c r="C532" s="527"/>
      <c r="D532" s="527"/>
      <c r="E532" s="527"/>
      <c r="F532" s="527"/>
      <c r="G532" s="527"/>
      <c r="H532" s="527"/>
      <c r="I532" s="527"/>
      <c r="J532" s="527"/>
      <c r="K532" s="528"/>
      <c r="L532" s="636" t="s">
        <v>3614</v>
      </c>
      <c r="M532" s="636"/>
      <c r="N532" s="550" t="str">
        <f>IF($D$5&gt;=200,"This section is REQUIRED for Pyschiatric and Specialty hospitals.","")</f>
        <v/>
      </c>
      <c r="O532" s="550"/>
      <c r="P532" s="550"/>
      <c r="Q532" s="550"/>
      <c r="R532" s="550"/>
    </row>
    <row r="533" spans="1:18" s="2" customFormat="1" ht="25.5" customHeight="1" x14ac:dyDescent="0.25">
      <c r="A533" s="20">
        <v>4550</v>
      </c>
      <c r="B533" s="531" t="s">
        <v>10</v>
      </c>
      <c r="C533" s="532"/>
      <c r="D533" s="532"/>
      <c r="E533" s="532"/>
      <c r="F533" s="532"/>
      <c r="G533" s="532"/>
      <c r="H533" s="532"/>
      <c r="I533" s="532"/>
      <c r="J533" s="532"/>
      <c r="K533" s="533"/>
      <c r="L533" s="788">
        <f>G596</f>
        <v>0</v>
      </c>
      <c r="M533" s="789"/>
    </row>
    <row r="534" spans="1:18" s="2" customFormat="1" ht="25.5" customHeight="1" x14ac:dyDescent="0.25">
      <c r="A534" s="20">
        <v>4520</v>
      </c>
      <c r="B534" s="531" t="s">
        <v>11</v>
      </c>
      <c r="C534" s="532"/>
      <c r="D534" s="532"/>
      <c r="E534" s="532"/>
      <c r="F534" s="532"/>
      <c r="G534" s="532"/>
      <c r="H534" s="532"/>
      <c r="I534" s="532"/>
      <c r="J534" s="532"/>
      <c r="K534" s="533"/>
      <c r="L534" s="802">
        <f>ROUND(L538/365,2)</f>
        <v>0</v>
      </c>
      <c r="M534" s="803"/>
    </row>
    <row r="535" spans="1:18" s="2" customFormat="1" ht="25.5" customHeight="1" x14ac:dyDescent="0.25">
      <c r="A535" s="581" t="s">
        <v>1899</v>
      </c>
      <c r="B535" s="527"/>
      <c r="C535" s="527"/>
      <c r="D535" s="527"/>
      <c r="E535" s="527"/>
      <c r="F535" s="527"/>
      <c r="G535" s="527"/>
      <c r="H535" s="527"/>
      <c r="I535" s="527"/>
      <c r="J535" s="527"/>
      <c r="K535" s="528"/>
      <c r="L535" s="636" t="s">
        <v>3614</v>
      </c>
      <c r="M535" s="636"/>
      <c r="N535" s="550" t="str">
        <f>IF($D$5&gt;=200,"This section is REQUIRED for Pyschiatric and Specialty hospitals.","")</f>
        <v/>
      </c>
      <c r="O535" s="550"/>
      <c r="P535" s="550"/>
      <c r="Q535" s="550"/>
      <c r="R535" s="550"/>
    </row>
    <row r="536" spans="1:18" s="2" customFormat="1" ht="25.5" customHeight="1" x14ac:dyDescent="0.25">
      <c r="A536" s="20">
        <v>4033</v>
      </c>
      <c r="B536" s="531" t="s">
        <v>12</v>
      </c>
      <c r="C536" s="532"/>
      <c r="D536" s="532"/>
      <c r="E536" s="532"/>
      <c r="F536" s="532"/>
      <c r="G536" s="532"/>
      <c r="H536" s="532"/>
      <c r="I536" s="532"/>
      <c r="J536" s="532"/>
      <c r="K536" s="533"/>
      <c r="L536" s="616"/>
      <c r="M536" s="617"/>
    </row>
    <row r="537" spans="1:18" s="2" customFormat="1" ht="25.5" customHeight="1" x14ac:dyDescent="0.25">
      <c r="A537" s="20">
        <v>4035</v>
      </c>
      <c r="B537" s="531" t="s">
        <v>13</v>
      </c>
      <c r="C537" s="532"/>
      <c r="D537" s="532"/>
      <c r="E537" s="532"/>
      <c r="F537" s="532"/>
      <c r="G537" s="532"/>
      <c r="H537" s="532"/>
      <c r="I537" s="532"/>
      <c r="J537" s="532"/>
      <c r="K537" s="533"/>
      <c r="L537" s="788">
        <f>L538-L536</f>
        <v>0</v>
      </c>
      <c r="M537" s="789"/>
    </row>
    <row r="538" spans="1:18" s="2" customFormat="1" ht="25.5" customHeight="1" x14ac:dyDescent="0.25">
      <c r="A538" s="21">
        <v>4034</v>
      </c>
      <c r="B538" s="611" t="s">
        <v>14</v>
      </c>
      <c r="C538" s="612"/>
      <c r="D538" s="612"/>
      <c r="E538" s="612"/>
      <c r="F538" s="612"/>
      <c r="G538" s="612"/>
      <c r="H538" s="612"/>
      <c r="I538" s="612"/>
      <c r="J538" s="612"/>
      <c r="K538" s="613"/>
      <c r="L538" s="698">
        <f>Code_7156</f>
        <v>0</v>
      </c>
      <c r="M538" s="699"/>
    </row>
    <row r="539" spans="1:18" s="2" customFormat="1" ht="25.5" customHeight="1" x14ac:dyDescent="0.25">
      <c r="A539" s="581" t="s">
        <v>1900</v>
      </c>
      <c r="B539" s="527"/>
      <c r="C539" s="527"/>
      <c r="D539" s="527"/>
      <c r="E539" s="527"/>
      <c r="F539" s="527"/>
      <c r="G539" s="527"/>
      <c r="H539" s="527"/>
      <c r="I539" s="527"/>
      <c r="J539" s="527"/>
      <c r="K539" s="528"/>
      <c r="L539" s="636" t="s">
        <v>3614</v>
      </c>
      <c r="M539" s="636"/>
      <c r="N539" s="550" t="str">
        <f>IF($D$5&gt;=200,"This section is REQUIRED for Pyschiatric and Specialty hospitals.","")</f>
        <v/>
      </c>
      <c r="O539" s="550"/>
      <c r="P539" s="550"/>
      <c r="Q539" s="550"/>
      <c r="R539" s="550"/>
    </row>
    <row r="540" spans="1:18" s="2" customFormat="1" ht="25.5" customHeight="1" x14ac:dyDescent="0.25">
      <c r="A540" s="20">
        <v>4322</v>
      </c>
      <c r="B540" s="531" t="s">
        <v>15</v>
      </c>
      <c r="C540" s="532"/>
      <c r="D540" s="532"/>
      <c r="E540" s="532"/>
      <c r="F540" s="532"/>
      <c r="G540" s="532"/>
      <c r="H540" s="532"/>
      <c r="I540" s="532"/>
      <c r="J540" s="532"/>
      <c r="K540" s="533"/>
      <c r="L540" s="616"/>
      <c r="M540" s="617"/>
    </row>
    <row r="541" spans="1:18" s="2" customFormat="1" ht="25.5" customHeight="1" x14ac:dyDescent="0.25">
      <c r="A541" s="20">
        <v>4323</v>
      </c>
      <c r="B541" s="531" t="s">
        <v>16</v>
      </c>
      <c r="C541" s="532"/>
      <c r="D541" s="532"/>
      <c r="E541" s="532"/>
      <c r="F541" s="532"/>
      <c r="G541" s="532"/>
      <c r="H541" s="532"/>
      <c r="I541" s="532"/>
      <c r="J541" s="532"/>
      <c r="K541" s="533"/>
      <c r="L541" s="616"/>
      <c r="M541" s="617"/>
    </row>
    <row r="542" spans="1:18" s="2" customFormat="1" ht="25.5" customHeight="1" x14ac:dyDescent="0.25">
      <c r="A542" s="20">
        <v>4326</v>
      </c>
      <c r="B542" s="531" t="s">
        <v>17</v>
      </c>
      <c r="C542" s="532"/>
      <c r="D542" s="532"/>
      <c r="E542" s="532"/>
      <c r="F542" s="532"/>
      <c r="G542" s="532"/>
      <c r="H542" s="532"/>
      <c r="I542" s="532"/>
      <c r="J542" s="532"/>
      <c r="K542" s="533"/>
      <c r="L542" s="788">
        <f>L543-L540-L541</f>
        <v>0</v>
      </c>
      <c r="M542" s="789"/>
    </row>
    <row r="543" spans="1:18" s="2" customFormat="1" ht="25.5" customHeight="1" x14ac:dyDescent="0.25">
      <c r="A543" s="21">
        <v>4324</v>
      </c>
      <c r="B543" s="611" t="s">
        <v>18</v>
      </c>
      <c r="C543" s="612"/>
      <c r="D543" s="612"/>
      <c r="E543" s="612"/>
      <c r="F543" s="612"/>
      <c r="G543" s="612"/>
      <c r="H543" s="612"/>
      <c r="I543" s="612"/>
      <c r="J543" s="612"/>
      <c r="K543" s="613"/>
      <c r="L543" s="698">
        <f>Code_7177</f>
        <v>0</v>
      </c>
      <c r="M543" s="699"/>
    </row>
    <row r="544" spans="1:18" s="2" customFormat="1" ht="25.5" customHeight="1" x14ac:dyDescent="0.25">
      <c r="A544" s="581" t="s">
        <v>1901</v>
      </c>
      <c r="B544" s="527"/>
      <c r="C544" s="527"/>
      <c r="D544" s="527"/>
      <c r="E544" s="527"/>
      <c r="F544" s="527"/>
      <c r="G544" s="527"/>
      <c r="H544" s="527"/>
      <c r="I544" s="527"/>
      <c r="J544" s="527"/>
      <c r="K544" s="528"/>
      <c r="L544" s="636" t="s">
        <v>3614</v>
      </c>
      <c r="M544" s="636"/>
      <c r="N544" s="550" t="str">
        <f>IF($D$5&gt;=200,"This section is REQUIRED for Pyschiatric and Specialty hospitals.","")</f>
        <v/>
      </c>
      <c r="O544" s="550"/>
      <c r="P544" s="550"/>
      <c r="Q544" s="550"/>
      <c r="R544" s="550"/>
    </row>
    <row r="545" spans="1:18" s="2" customFormat="1" ht="25.5" customHeight="1" x14ac:dyDescent="0.25">
      <c r="A545" s="20">
        <v>4329</v>
      </c>
      <c r="B545" s="531" t="s">
        <v>19</v>
      </c>
      <c r="C545" s="532"/>
      <c r="D545" s="532"/>
      <c r="E545" s="532"/>
      <c r="F545" s="532"/>
      <c r="G545" s="532"/>
      <c r="H545" s="532"/>
      <c r="I545" s="532"/>
      <c r="J545" s="532"/>
      <c r="K545" s="533"/>
      <c r="L545" s="616"/>
      <c r="M545" s="617"/>
    </row>
    <row r="546" spans="1:18" s="2" customFormat="1" ht="25.5" customHeight="1" x14ac:dyDescent="0.25">
      <c r="A546" s="20">
        <v>4333</v>
      </c>
      <c r="B546" s="531" t="s">
        <v>20</v>
      </c>
      <c r="C546" s="532"/>
      <c r="D546" s="532"/>
      <c r="E546" s="532"/>
      <c r="F546" s="532"/>
      <c r="G546" s="532"/>
      <c r="H546" s="532"/>
      <c r="I546" s="532"/>
      <c r="J546" s="532"/>
      <c r="K546" s="533"/>
      <c r="L546" s="616"/>
      <c r="M546" s="617"/>
    </row>
    <row r="547" spans="1:18" s="2" customFormat="1" ht="25.5" customHeight="1" x14ac:dyDescent="0.25">
      <c r="A547" s="20">
        <v>4335</v>
      </c>
      <c r="B547" s="531" t="s">
        <v>21</v>
      </c>
      <c r="C547" s="532"/>
      <c r="D547" s="532"/>
      <c r="E547" s="532"/>
      <c r="F547" s="532"/>
      <c r="G547" s="532"/>
      <c r="H547" s="532"/>
      <c r="I547" s="532"/>
      <c r="J547" s="532"/>
      <c r="K547" s="533"/>
      <c r="L547" s="616"/>
      <c r="M547" s="617"/>
    </row>
    <row r="548" spans="1:18" s="2" customFormat="1" ht="25.5" customHeight="1" x14ac:dyDescent="0.25">
      <c r="A548" s="20">
        <v>4336</v>
      </c>
      <c r="B548" s="531" t="s">
        <v>22</v>
      </c>
      <c r="C548" s="532"/>
      <c r="D548" s="532"/>
      <c r="E548" s="532"/>
      <c r="F548" s="532"/>
      <c r="G548" s="532"/>
      <c r="H548" s="532"/>
      <c r="I548" s="532"/>
      <c r="J548" s="532"/>
      <c r="K548" s="533"/>
      <c r="L548" s="616"/>
      <c r="M548" s="617"/>
    </row>
    <row r="549" spans="1:18" s="2" customFormat="1" ht="25.5" customHeight="1" x14ac:dyDescent="0.25">
      <c r="A549" s="20">
        <v>4337</v>
      </c>
      <c r="B549" s="531" t="s">
        <v>23</v>
      </c>
      <c r="C549" s="532"/>
      <c r="D549" s="532"/>
      <c r="E549" s="532"/>
      <c r="F549" s="532"/>
      <c r="G549" s="532"/>
      <c r="H549" s="532"/>
      <c r="I549" s="532"/>
      <c r="J549" s="532"/>
      <c r="K549" s="533"/>
      <c r="L549" s="788">
        <f>L550-SUM(L545:M548)</f>
        <v>0</v>
      </c>
      <c r="M549" s="789"/>
    </row>
    <row r="550" spans="1:18" s="2" customFormat="1" ht="25.5" customHeight="1" x14ac:dyDescent="0.25">
      <c r="A550" s="21">
        <v>4339</v>
      </c>
      <c r="B550" s="611" t="s">
        <v>24</v>
      </c>
      <c r="C550" s="612"/>
      <c r="D550" s="612"/>
      <c r="E550" s="612"/>
      <c r="F550" s="612"/>
      <c r="G550" s="612"/>
      <c r="H550" s="612"/>
      <c r="I550" s="612"/>
      <c r="J550" s="612"/>
      <c r="K550" s="613"/>
      <c r="L550" s="616"/>
      <c r="M550" s="617"/>
    </row>
    <row r="551" spans="1:18" s="2" customFormat="1" ht="25.5" customHeight="1" x14ac:dyDescent="0.3">
      <c r="A551" s="15" t="e">
        <f>$A$33</f>
        <v>#N/A</v>
      </c>
    </row>
    <row r="552" spans="1:18" s="2" customFormat="1" ht="25.5" customHeight="1" x14ac:dyDescent="0.25">
      <c r="A552" s="798" t="s">
        <v>1902</v>
      </c>
      <c r="B552" s="799"/>
      <c r="C552" s="799"/>
      <c r="D552" s="799"/>
      <c r="E552" s="799"/>
      <c r="F552" s="799"/>
      <c r="G552" s="799"/>
      <c r="H552" s="799"/>
      <c r="I552" s="799"/>
      <c r="J552" s="799"/>
      <c r="K552" s="576"/>
      <c r="L552" s="636" t="s">
        <v>3614</v>
      </c>
      <c r="M552" s="636"/>
      <c r="N552" s="550" t="str">
        <f>IF($D$5&gt;=200,"This section is REQUIRED for Pyschiatric and Specialty hospitals.","")</f>
        <v/>
      </c>
      <c r="O552" s="550"/>
      <c r="P552" s="550"/>
      <c r="Q552" s="550"/>
      <c r="R552" s="550"/>
    </row>
    <row r="553" spans="1:18" s="2" customFormat="1" ht="25.5" customHeight="1" x14ac:dyDescent="0.25">
      <c r="A553" s="20">
        <v>4037</v>
      </c>
      <c r="B553" s="531" t="s">
        <v>25</v>
      </c>
      <c r="C553" s="532"/>
      <c r="D553" s="532"/>
      <c r="E553" s="532"/>
      <c r="F553" s="532"/>
      <c r="G553" s="532"/>
      <c r="H553" s="532"/>
      <c r="I553" s="532"/>
      <c r="J553" s="532"/>
      <c r="K553" s="533"/>
      <c r="L553" s="788">
        <f>Code_7157</f>
        <v>0</v>
      </c>
      <c r="M553" s="789"/>
    </row>
    <row r="554" spans="1:18" s="2" customFormat="1" ht="25.5" customHeight="1" x14ac:dyDescent="0.25">
      <c r="A554" s="581" t="s">
        <v>1903</v>
      </c>
      <c r="B554" s="527"/>
      <c r="C554" s="527"/>
      <c r="D554" s="527"/>
      <c r="E554" s="527"/>
      <c r="F554" s="527"/>
      <c r="G554" s="527"/>
      <c r="H554" s="527"/>
      <c r="I554" s="527"/>
      <c r="J554" s="527"/>
      <c r="K554" s="528"/>
      <c r="L554" s="636" t="s">
        <v>3614</v>
      </c>
      <c r="M554" s="636"/>
      <c r="N554" s="550" t="str">
        <f>IF($D$5&gt;=200,"This section is REQUIRED for Pyschiatric and Specialty hospitals.","")</f>
        <v/>
      </c>
      <c r="O554" s="550"/>
      <c r="P554" s="550"/>
      <c r="Q554" s="550"/>
      <c r="R554" s="550"/>
    </row>
    <row r="555" spans="1:18" s="2" customFormat="1" ht="25.5" customHeight="1" x14ac:dyDescent="0.25">
      <c r="A555" s="20">
        <v>4540</v>
      </c>
      <c r="B555" s="531" t="s">
        <v>26</v>
      </c>
      <c r="C555" s="532"/>
      <c r="D555" s="532"/>
      <c r="E555" s="532"/>
      <c r="F555" s="532"/>
      <c r="G555" s="532"/>
      <c r="H555" s="532"/>
      <c r="I555" s="532"/>
      <c r="J555" s="532"/>
      <c r="K555" s="533"/>
      <c r="L555" s="788">
        <f>ROUND(Code_4037/365,0)</f>
        <v>0</v>
      </c>
      <c r="M555" s="789"/>
    </row>
    <row r="556" spans="1:18" s="2" customFormat="1" ht="25.5" customHeight="1" x14ac:dyDescent="0.25">
      <c r="A556" s="581" t="s">
        <v>1904</v>
      </c>
      <c r="B556" s="527"/>
      <c r="C556" s="527"/>
      <c r="D556" s="527"/>
      <c r="E556" s="527"/>
      <c r="F556" s="527"/>
      <c r="G556" s="527"/>
      <c r="H556" s="527"/>
      <c r="I556" s="527"/>
      <c r="J556" s="527"/>
      <c r="K556" s="528"/>
      <c r="L556" s="636" t="s">
        <v>3614</v>
      </c>
      <c r="M556" s="636"/>
      <c r="N556" s="550" t="str">
        <f>IF($D$5&gt;=200,"This section is REQUIRED for Pyschiatric and Specialty hospitals.","")</f>
        <v/>
      </c>
      <c r="O556" s="550"/>
      <c r="P556" s="550"/>
      <c r="Q556" s="550"/>
      <c r="R556" s="550"/>
    </row>
    <row r="557" spans="1:18" s="2" customFormat="1" ht="25.5" customHeight="1" x14ac:dyDescent="0.25">
      <c r="A557" s="20">
        <v>4352</v>
      </c>
      <c r="B557" s="531" t="s">
        <v>15</v>
      </c>
      <c r="C557" s="532"/>
      <c r="D557" s="532"/>
      <c r="E557" s="532"/>
      <c r="F557" s="532"/>
      <c r="G557" s="532"/>
      <c r="H557" s="532"/>
      <c r="I557" s="532"/>
      <c r="J557" s="532"/>
      <c r="K557" s="533"/>
      <c r="L557" s="616"/>
      <c r="M557" s="617"/>
    </row>
    <row r="558" spans="1:18" s="2" customFormat="1" ht="25.5" customHeight="1" x14ac:dyDescent="0.25">
      <c r="A558" s="20">
        <v>4353</v>
      </c>
      <c r="B558" s="531" t="s">
        <v>16</v>
      </c>
      <c r="C558" s="532"/>
      <c r="D558" s="532"/>
      <c r="E558" s="532"/>
      <c r="F558" s="532"/>
      <c r="G558" s="532"/>
      <c r="H558" s="532"/>
      <c r="I558" s="532"/>
      <c r="J558" s="532"/>
      <c r="K558" s="533"/>
      <c r="L558" s="796"/>
      <c r="M558" s="797"/>
    </row>
    <row r="559" spans="1:18" s="2" customFormat="1" ht="25.5" customHeight="1" x14ac:dyDescent="0.25">
      <c r="A559" s="20">
        <v>4355</v>
      </c>
      <c r="B559" s="531" t="s">
        <v>27</v>
      </c>
      <c r="C559" s="532"/>
      <c r="D559" s="532"/>
      <c r="E559" s="532"/>
      <c r="F559" s="532"/>
      <c r="G559" s="532"/>
      <c r="H559" s="532"/>
      <c r="I559" s="532"/>
      <c r="J559" s="532"/>
      <c r="K559" s="533"/>
      <c r="L559" s="616"/>
      <c r="M559" s="617"/>
    </row>
    <row r="560" spans="1:18" s="2" customFormat="1" ht="25.5" customHeight="1" x14ac:dyDescent="0.25">
      <c r="A560" s="20">
        <v>4356</v>
      </c>
      <c r="B560" s="531" t="s">
        <v>28</v>
      </c>
      <c r="C560" s="532"/>
      <c r="D560" s="532"/>
      <c r="E560" s="532"/>
      <c r="F560" s="532"/>
      <c r="G560" s="532"/>
      <c r="H560" s="532"/>
      <c r="I560" s="532"/>
      <c r="J560" s="532"/>
      <c r="K560" s="533"/>
      <c r="L560" s="616"/>
      <c r="M560" s="617"/>
    </row>
    <row r="561" spans="1:19" s="2" customFormat="1" ht="25.5" customHeight="1" x14ac:dyDescent="0.25">
      <c r="A561" s="20">
        <v>4357</v>
      </c>
      <c r="B561" s="531" t="s">
        <v>29</v>
      </c>
      <c r="C561" s="532"/>
      <c r="D561" s="532"/>
      <c r="E561" s="532"/>
      <c r="F561" s="532"/>
      <c r="G561" s="532"/>
      <c r="H561" s="532"/>
      <c r="I561" s="532"/>
      <c r="J561" s="532"/>
      <c r="K561" s="533"/>
      <c r="L561" s="788">
        <f>L562-SUM(L557:M560)</f>
        <v>0</v>
      </c>
      <c r="M561" s="789"/>
    </row>
    <row r="562" spans="1:19" s="2" customFormat="1" ht="25.5" customHeight="1" x14ac:dyDescent="0.25">
      <c r="A562" s="21">
        <v>4327</v>
      </c>
      <c r="B562" s="611" t="s">
        <v>30</v>
      </c>
      <c r="C562" s="612"/>
      <c r="D562" s="612"/>
      <c r="E562" s="612"/>
      <c r="F562" s="612"/>
      <c r="G562" s="612"/>
      <c r="H562" s="612"/>
      <c r="I562" s="612"/>
      <c r="J562" s="612"/>
      <c r="K562" s="613"/>
      <c r="L562" s="698">
        <f>Code_7178</f>
        <v>0</v>
      </c>
      <c r="M562" s="699"/>
    </row>
    <row r="563" spans="1:19" s="2" customFormat="1" ht="25.5" customHeight="1" x14ac:dyDescent="0.25">
      <c r="A563" s="581" t="s">
        <v>1905</v>
      </c>
      <c r="B563" s="527"/>
      <c r="C563" s="527"/>
      <c r="D563" s="527"/>
      <c r="E563" s="527"/>
      <c r="F563" s="527"/>
      <c r="G563" s="527"/>
      <c r="H563" s="527"/>
      <c r="I563" s="527"/>
      <c r="J563" s="527"/>
      <c r="K563" s="528"/>
      <c r="L563" s="636" t="s">
        <v>3614</v>
      </c>
      <c r="M563" s="636"/>
      <c r="N563" s="550" t="str">
        <f>IF($D$5&gt;=200,"This section is REQUIRED for Pyschiatric and Specialty hospitals.","")</f>
        <v/>
      </c>
      <c r="O563" s="550"/>
      <c r="P563" s="550"/>
      <c r="Q563" s="550"/>
      <c r="R563" s="550"/>
    </row>
    <row r="564" spans="1:19" s="2" customFormat="1" ht="25.5" customHeight="1" x14ac:dyDescent="0.25">
      <c r="A564" s="20">
        <v>4363</v>
      </c>
      <c r="B564" s="531" t="s">
        <v>19</v>
      </c>
      <c r="C564" s="532"/>
      <c r="D564" s="532"/>
      <c r="E564" s="532"/>
      <c r="F564" s="532"/>
      <c r="G564" s="532"/>
      <c r="H564" s="532"/>
      <c r="I564" s="532"/>
      <c r="J564" s="532"/>
      <c r="K564" s="533"/>
      <c r="L564" s="616"/>
      <c r="M564" s="617"/>
    </row>
    <row r="565" spans="1:19" s="2" customFormat="1" ht="25.5" customHeight="1" x14ac:dyDescent="0.25">
      <c r="A565" s="20">
        <v>4364</v>
      </c>
      <c r="B565" s="531" t="s">
        <v>31</v>
      </c>
      <c r="C565" s="532"/>
      <c r="D565" s="532"/>
      <c r="E565" s="532"/>
      <c r="F565" s="532"/>
      <c r="G565" s="532"/>
      <c r="H565" s="532"/>
      <c r="I565" s="532"/>
      <c r="J565" s="532"/>
      <c r="K565" s="533"/>
      <c r="L565" s="616"/>
      <c r="M565" s="617"/>
    </row>
    <row r="566" spans="1:19" s="2" customFormat="1" ht="25.5" customHeight="1" x14ac:dyDescent="0.25">
      <c r="A566" s="20">
        <v>4365</v>
      </c>
      <c r="B566" s="531" t="s">
        <v>21</v>
      </c>
      <c r="C566" s="532"/>
      <c r="D566" s="532"/>
      <c r="E566" s="532"/>
      <c r="F566" s="532"/>
      <c r="G566" s="532"/>
      <c r="H566" s="532"/>
      <c r="I566" s="532"/>
      <c r="J566" s="532"/>
      <c r="K566" s="533"/>
      <c r="L566" s="616"/>
      <c r="M566" s="617"/>
    </row>
    <row r="567" spans="1:19" s="2" customFormat="1" ht="25.5" customHeight="1" x14ac:dyDescent="0.25">
      <c r="A567" s="20">
        <v>4366</v>
      </c>
      <c r="B567" s="531" t="s">
        <v>22</v>
      </c>
      <c r="C567" s="532"/>
      <c r="D567" s="532"/>
      <c r="E567" s="532"/>
      <c r="F567" s="532"/>
      <c r="G567" s="532"/>
      <c r="H567" s="532"/>
      <c r="I567" s="532"/>
      <c r="J567" s="532"/>
      <c r="K567" s="533"/>
      <c r="L567" s="616"/>
      <c r="M567" s="617"/>
    </row>
    <row r="568" spans="1:19" s="2" customFormat="1" ht="25.5" customHeight="1" x14ac:dyDescent="0.25">
      <c r="A568" s="20">
        <v>4367</v>
      </c>
      <c r="B568" s="531" t="s">
        <v>23</v>
      </c>
      <c r="C568" s="532"/>
      <c r="D568" s="532"/>
      <c r="E568" s="532"/>
      <c r="F568" s="532"/>
      <c r="G568" s="532"/>
      <c r="H568" s="532"/>
      <c r="I568" s="532"/>
      <c r="J568" s="532"/>
      <c r="K568" s="533"/>
      <c r="L568" s="788">
        <f>L569-SUM(L564:M567)</f>
        <v>0</v>
      </c>
      <c r="M568" s="789"/>
    </row>
    <row r="569" spans="1:19" s="2" customFormat="1" ht="25.5" customHeight="1" x14ac:dyDescent="0.25">
      <c r="A569" s="21">
        <v>4369</v>
      </c>
      <c r="B569" s="611" t="s">
        <v>32</v>
      </c>
      <c r="C569" s="612"/>
      <c r="D569" s="612"/>
      <c r="E569" s="612"/>
      <c r="F569" s="612"/>
      <c r="G569" s="612"/>
      <c r="H569" s="612"/>
      <c r="I569" s="612"/>
      <c r="J569" s="612"/>
      <c r="K569" s="613"/>
      <c r="L569" s="616"/>
      <c r="M569" s="617"/>
    </row>
    <row r="570" spans="1:19" s="2" customFormat="1" ht="25.5" customHeight="1" x14ac:dyDescent="0.3">
      <c r="A570" s="15" t="e">
        <f>$A$33</f>
        <v>#N/A</v>
      </c>
    </row>
    <row r="571" spans="1:19" s="2" customFormat="1" ht="25.5" customHeight="1" x14ac:dyDescent="0.25">
      <c r="A571" s="581" t="s">
        <v>1906</v>
      </c>
      <c r="B571" s="527"/>
      <c r="C571" s="527"/>
      <c r="D571" s="527"/>
      <c r="E571" s="527"/>
      <c r="F571" s="527"/>
      <c r="G571" s="527"/>
      <c r="H571" s="527"/>
      <c r="I571" s="527"/>
      <c r="J571" s="527"/>
      <c r="K571" s="528"/>
      <c r="L571" s="636" t="s">
        <v>3614</v>
      </c>
      <c r="M571" s="636"/>
      <c r="N571" s="697" t="str">
        <f>IF($D$5&gt;=200,"This section is REQUIRED for Psychiatric and Specialty hospitals.","")</f>
        <v/>
      </c>
      <c r="O571" s="697"/>
      <c r="P571" s="697"/>
      <c r="Q571" s="697"/>
      <c r="R571" s="697"/>
    </row>
    <row r="572" spans="1:19" s="2" customFormat="1" ht="25.5" customHeight="1" x14ac:dyDescent="0.25">
      <c r="A572" s="45">
        <v>4504</v>
      </c>
      <c r="B572" s="578" t="s">
        <v>3615</v>
      </c>
      <c r="C572" s="791"/>
      <c r="D572" s="791"/>
      <c r="E572" s="791"/>
      <c r="F572" s="791"/>
      <c r="G572" s="791"/>
      <c r="H572" s="791"/>
      <c r="I572" s="791"/>
      <c r="J572" s="791"/>
      <c r="K572" s="792"/>
      <c r="L572" s="616"/>
      <c r="M572" s="617"/>
      <c r="N572" s="596" t="str">
        <f>IF(ISBLANK(L572),"This item can not be left blank. Please review instructions.","")</f>
        <v>This item can not be left blank. Please review instructions.</v>
      </c>
      <c r="O572" s="597"/>
      <c r="P572" s="597"/>
      <c r="Q572" s="597"/>
      <c r="R572" s="598"/>
      <c r="S572" s="2" t="str">
        <f>IF(ISERROR(VLOOKUP(D5,Audit_Tab_Data!$A$3:$AM$148,39,FALSE)),"",VLOOKUP(D5,Audit_Tab_Data!$A$3:$AM$148,39,FALSE))</f>
        <v/>
      </c>
    </row>
    <row r="573" spans="1:19" s="2" customFormat="1" ht="25.5" customHeight="1" x14ac:dyDescent="0.25">
      <c r="A573" s="45">
        <v>4531</v>
      </c>
      <c r="B573" s="545" t="s">
        <v>3616</v>
      </c>
      <c r="C573" s="546"/>
      <c r="D573" s="546"/>
      <c r="E573" s="546"/>
      <c r="F573" s="546"/>
      <c r="G573" s="546"/>
      <c r="H573" s="546"/>
      <c r="I573" s="546"/>
      <c r="J573" s="546"/>
      <c r="K573" s="547"/>
      <c r="L573" s="616"/>
      <c r="M573" s="617"/>
      <c r="N573" s="793" t="str">
        <f>IF(ISBLANK(L573),"If no Bassinets, enter 0.  Do not leave blank. ","")</f>
        <v xml:space="preserve">If no Bassinets, enter 0.  Do not leave blank. </v>
      </c>
      <c r="O573" s="794"/>
      <c r="P573" s="794"/>
      <c r="Q573" s="795"/>
      <c r="R573" s="598"/>
    </row>
    <row r="574" spans="1:19" s="2" customFormat="1" ht="25.5" customHeight="1" x14ac:dyDescent="0.25">
      <c r="A574" s="790" t="s">
        <v>33</v>
      </c>
      <c r="B574" s="598"/>
      <c r="C574" s="598"/>
      <c r="D574" s="598"/>
      <c r="E574" s="598"/>
      <c r="F574" s="598"/>
      <c r="G574" s="598"/>
      <c r="H574" s="598"/>
      <c r="I574" s="598"/>
      <c r="J574" s="598"/>
      <c r="K574" s="598"/>
      <c r="L574" s="598"/>
      <c r="M574" s="598"/>
    </row>
    <row r="575" spans="1:19" s="2" customFormat="1" ht="25.5" customHeight="1" x14ac:dyDescent="0.25">
      <c r="A575" s="576"/>
      <c r="B575" s="576"/>
      <c r="C575" s="576"/>
      <c r="D575" s="576"/>
      <c r="E575" s="576"/>
      <c r="F575" s="576"/>
      <c r="G575" s="576"/>
      <c r="H575" s="576"/>
      <c r="I575" s="576"/>
      <c r="J575" s="576"/>
      <c r="K575" s="576"/>
      <c r="L575" s="576"/>
      <c r="M575" s="576"/>
    </row>
    <row r="576" spans="1:19" s="2" customFormat="1" ht="25.5" customHeight="1" x14ac:dyDescent="0.25">
      <c r="A576" s="581" t="s">
        <v>1907</v>
      </c>
      <c r="B576" s="527"/>
      <c r="C576" s="527"/>
      <c r="D576" s="527"/>
      <c r="E576" s="527"/>
      <c r="F576" s="527"/>
      <c r="G576" s="527"/>
      <c r="H576" s="527"/>
      <c r="I576" s="527"/>
      <c r="J576" s="527"/>
      <c r="K576" s="528"/>
      <c r="L576" s="636" t="s">
        <v>3614</v>
      </c>
      <c r="M576" s="636"/>
      <c r="N576" s="697" t="str">
        <f>IF($D$5&gt;=200,"This section is REQUIRED for Psychiatric and Specialty hospitals.","")</f>
        <v/>
      </c>
      <c r="O576" s="697"/>
      <c r="P576" s="697"/>
      <c r="Q576" s="697"/>
      <c r="R576" s="697"/>
    </row>
    <row r="577" spans="1:22" s="2" customFormat="1" ht="25.5" customHeight="1" x14ac:dyDescent="0.3">
      <c r="A577" s="762" t="s">
        <v>34</v>
      </c>
      <c r="B577" s="763"/>
      <c r="C577" s="763"/>
      <c r="D577" s="763"/>
      <c r="E577" s="764"/>
      <c r="F577" s="765" t="s">
        <v>35</v>
      </c>
      <c r="G577" s="766"/>
      <c r="H577" s="766"/>
      <c r="I577" s="767"/>
      <c r="J577" s="765" t="s">
        <v>36</v>
      </c>
      <c r="K577" s="766"/>
      <c r="L577" s="766"/>
      <c r="M577" s="767"/>
    </row>
    <row r="578" spans="1:22" s="2" customFormat="1" ht="25.5" customHeight="1" x14ac:dyDescent="0.3">
      <c r="A578" s="768" t="s">
        <v>37</v>
      </c>
      <c r="B578" s="769"/>
      <c r="C578" s="769"/>
      <c r="D578" s="769"/>
      <c r="E578" s="770"/>
      <c r="F578" s="771" t="s">
        <v>38</v>
      </c>
      <c r="G578" s="772"/>
      <c r="H578" s="772"/>
      <c r="I578" s="773"/>
      <c r="J578" s="774">
        <v>42919</v>
      </c>
      <c r="K578" s="775"/>
      <c r="L578" s="775"/>
      <c r="M578" s="776"/>
    </row>
    <row r="579" spans="1:22" s="2" customFormat="1" ht="25.5" customHeight="1" x14ac:dyDescent="0.3">
      <c r="A579" s="768" t="s">
        <v>39</v>
      </c>
      <c r="B579" s="769"/>
      <c r="C579" s="769"/>
      <c r="D579" s="769"/>
      <c r="E579" s="770"/>
      <c r="F579" s="771" t="s">
        <v>40</v>
      </c>
      <c r="G579" s="772"/>
      <c r="H579" s="772"/>
      <c r="I579" s="773"/>
      <c r="J579" s="774">
        <v>43049</v>
      </c>
      <c r="K579" s="775"/>
      <c r="L579" s="775"/>
      <c r="M579" s="776"/>
    </row>
    <row r="580" spans="1:22" s="2" customFormat="1" ht="25.5" customHeight="1" x14ac:dyDescent="0.25">
      <c r="A580" s="778"/>
      <c r="B580" s="779"/>
      <c r="C580" s="779"/>
      <c r="D580" s="779"/>
      <c r="E580" s="780"/>
      <c r="F580" s="781"/>
      <c r="G580" s="782"/>
      <c r="H580" s="782"/>
      <c r="I580" s="783"/>
      <c r="J580" s="784"/>
      <c r="K580" s="785"/>
      <c r="L580" s="785"/>
      <c r="M580" s="786"/>
    </row>
    <row r="581" spans="1:22" s="2" customFormat="1" ht="25.5" customHeight="1" x14ac:dyDescent="0.25">
      <c r="A581" s="778"/>
      <c r="B581" s="779"/>
      <c r="C581" s="779"/>
      <c r="D581" s="779"/>
      <c r="E581" s="780"/>
      <c r="F581" s="781"/>
      <c r="G581" s="782"/>
      <c r="H581" s="782"/>
      <c r="I581" s="783"/>
      <c r="J581" s="784"/>
      <c r="K581" s="785"/>
      <c r="L581" s="785"/>
      <c r="M581" s="786"/>
    </row>
    <row r="582" spans="1:22" s="2" customFormat="1" ht="25.5" customHeight="1" x14ac:dyDescent="0.25">
      <c r="A582" s="62"/>
      <c r="B582" s="62"/>
      <c r="C582" s="62"/>
      <c r="D582" s="62"/>
      <c r="E582" s="62"/>
      <c r="F582" s="63"/>
      <c r="G582" s="63"/>
      <c r="H582" s="63"/>
      <c r="I582" s="63"/>
      <c r="J582" s="64"/>
      <c r="K582" s="64"/>
      <c r="L582" s="64"/>
      <c r="M582" s="64"/>
    </row>
    <row r="583" spans="1:22" s="2" customFormat="1" ht="25.5" customHeight="1" x14ac:dyDescent="0.25">
      <c r="A583" s="787" t="s">
        <v>41</v>
      </c>
      <c r="B583" s="787"/>
      <c r="C583" s="787"/>
      <c r="D583" s="787"/>
      <c r="E583" s="787"/>
      <c r="F583" s="787"/>
      <c r="G583" s="787"/>
      <c r="H583" s="787"/>
      <c r="I583" s="787"/>
      <c r="J583" s="787"/>
      <c r="K583" s="787"/>
      <c r="L583" s="787"/>
      <c r="M583" s="787"/>
      <c r="N583" s="787"/>
      <c r="O583" s="787"/>
      <c r="P583" s="787"/>
      <c r="Q583" s="787"/>
    </row>
    <row r="584" spans="1:22" s="2" customFormat="1" ht="25.5" customHeight="1" x14ac:dyDescent="0.25">
      <c r="A584" s="777" t="s">
        <v>1908</v>
      </c>
      <c r="B584" s="777"/>
      <c r="C584" s="777"/>
      <c r="D584" s="777"/>
      <c r="E584" s="777"/>
      <c r="F584" s="777"/>
      <c r="G584" s="777"/>
      <c r="H584" s="777"/>
      <c r="I584" s="777"/>
      <c r="J584" s="777"/>
      <c r="K584" s="777"/>
      <c r="L584" s="777"/>
      <c r="M584" s="777"/>
      <c r="N584" s="777"/>
      <c r="O584" s="777"/>
      <c r="P584" s="636" t="s">
        <v>3614</v>
      </c>
      <c r="Q584" s="636"/>
      <c r="R584" s="697" t="str">
        <f>IF($D$5&gt;=200,"This section is REQUIRED for Psychiatric and Specialty hospitals.","")</f>
        <v/>
      </c>
      <c r="S584" s="697"/>
      <c r="T584" s="697"/>
      <c r="U584" s="697"/>
      <c r="V584" s="697"/>
    </row>
    <row r="585" spans="1:22" s="2" customFormat="1" ht="25.5" customHeight="1" x14ac:dyDescent="0.25">
      <c r="A585" s="34"/>
      <c r="B585" s="757" t="s">
        <v>42</v>
      </c>
      <c r="C585" s="757"/>
      <c r="D585" s="757"/>
      <c r="E585" s="757"/>
      <c r="F585" s="758" t="s">
        <v>43</v>
      </c>
      <c r="G585" s="758"/>
      <c r="H585" s="758"/>
      <c r="I585" s="756" t="s">
        <v>44</v>
      </c>
      <c r="J585" s="756"/>
      <c r="K585" s="678"/>
      <c r="L585" s="759" t="s">
        <v>45</v>
      </c>
      <c r="M585" s="760"/>
      <c r="N585" s="761"/>
      <c r="O585" s="756" t="s">
        <v>46</v>
      </c>
      <c r="P585" s="756"/>
      <c r="Q585" s="678"/>
    </row>
    <row r="586" spans="1:22" s="2" customFormat="1" ht="25.5" customHeight="1" x14ac:dyDescent="0.25">
      <c r="A586" s="24"/>
      <c r="B586" s="694" t="s">
        <v>47</v>
      </c>
      <c r="C586" s="694"/>
      <c r="D586" s="694"/>
      <c r="E586" s="695"/>
      <c r="F586" s="439">
        <v>7463</v>
      </c>
      <c r="G586" s="745">
        <f>SUM(J586+M586+P586)</f>
        <v>0</v>
      </c>
      <c r="H586" s="746"/>
      <c r="I586" s="439">
        <v>7476</v>
      </c>
      <c r="J586" s="692"/>
      <c r="K586" s="754"/>
      <c r="L586" s="439">
        <v>7479</v>
      </c>
      <c r="M586" s="692"/>
      <c r="N586" s="744"/>
      <c r="O586" s="439">
        <v>7490</v>
      </c>
      <c r="P586" s="692"/>
      <c r="Q586" s="754"/>
    </row>
    <row r="587" spans="1:22" s="2" customFormat="1" ht="25.5" customHeight="1" x14ac:dyDescent="0.25">
      <c r="A587" s="24"/>
      <c r="B587" s="694" t="s">
        <v>48</v>
      </c>
      <c r="C587" s="694"/>
      <c r="D587" s="694"/>
      <c r="E587" s="695"/>
      <c r="F587" s="439">
        <v>7461</v>
      </c>
      <c r="G587" s="745">
        <f>SUM(J587+M587+P587)</f>
        <v>0</v>
      </c>
      <c r="H587" s="746"/>
      <c r="I587" s="439">
        <v>7475</v>
      </c>
      <c r="J587" s="692"/>
      <c r="K587" s="754"/>
      <c r="L587" s="439">
        <v>7480</v>
      </c>
      <c r="M587" s="692"/>
      <c r="N587" s="744"/>
      <c r="O587" s="439">
        <v>7488</v>
      </c>
      <c r="P587" s="692"/>
      <c r="Q587" s="754"/>
    </row>
    <row r="588" spans="1:22" s="2" customFormat="1" ht="25.5" customHeight="1" x14ac:dyDescent="0.25">
      <c r="A588" s="24"/>
      <c r="B588" s="694" t="s">
        <v>49</v>
      </c>
      <c r="C588" s="694"/>
      <c r="D588" s="694"/>
      <c r="E588" s="695"/>
      <c r="F588" s="439">
        <v>7462</v>
      </c>
      <c r="G588" s="745">
        <f>SUM(J588+M588+P588)</f>
        <v>0</v>
      </c>
      <c r="H588" s="746"/>
      <c r="I588" s="29"/>
      <c r="J588" s="26"/>
      <c r="K588" s="26"/>
      <c r="L588" s="439">
        <v>7481</v>
      </c>
      <c r="M588" s="692"/>
      <c r="N588" s="744"/>
      <c r="O588" s="439">
        <v>7489</v>
      </c>
      <c r="P588" s="692"/>
      <c r="Q588" s="754"/>
    </row>
    <row r="589" spans="1:22" s="2" customFormat="1" ht="25.5" customHeight="1" x14ac:dyDescent="0.25">
      <c r="A589" s="24"/>
      <c r="B589" s="694" t="s">
        <v>50</v>
      </c>
      <c r="C589" s="694"/>
      <c r="D589" s="694"/>
      <c r="E589" s="695"/>
      <c r="F589" s="439">
        <v>7464</v>
      </c>
      <c r="G589" s="745">
        <f>SUM(J589+M589+P589)</f>
        <v>0</v>
      </c>
      <c r="H589" s="746"/>
      <c r="I589" s="29"/>
      <c r="J589" s="26"/>
      <c r="K589" s="26"/>
      <c r="L589" s="439">
        <v>7482</v>
      </c>
      <c r="M589" s="692"/>
      <c r="N589" s="744"/>
      <c r="O589" s="439">
        <v>7491</v>
      </c>
      <c r="P589" s="692"/>
      <c r="Q589" s="754"/>
    </row>
    <row r="590" spans="1:22" s="2" customFormat="1" ht="25.5" customHeight="1" x14ac:dyDescent="0.25">
      <c r="A590" s="24"/>
      <c r="B590" s="694" t="s">
        <v>51</v>
      </c>
      <c r="C590" s="694"/>
      <c r="D590" s="694"/>
      <c r="E590" s="695"/>
      <c r="F590" s="439">
        <v>7465</v>
      </c>
      <c r="G590" s="745">
        <f>SUM(J590+M590+P590)</f>
        <v>0</v>
      </c>
      <c r="H590" s="746"/>
      <c r="I590" s="29"/>
      <c r="J590" s="26"/>
      <c r="K590" s="26"/>
      <c r="L590" s="439">
        <v>7483</v>
      </c>
      <c r="M590" s="692"/>
      <c r="N590" s="744"/>
      <c r="O590" s="439">
        <v>7492</v>
      </c>
      <c r="P590" s="692"/>
      <c r="Q590" s="754"/>
    </row>
    <row r="591" spans="1:22" s="2" customFormat="1" ht="25.5" customHeight="1" x14ac:dyDescent="0.25">
      <c r="A591" s="24"/>
      <c r="B591" s="694" t="s">
        <v>52</v>
      </c>
      <c r="C591" s="694"/>
      <c r="D591" s="694"/>
      <c r="E591" s="695"/>
      <c r="F591" s="439">
        <v>7466</v>
      </c>
      <c r="G591" s="745"/>
      <c r="H591" s="746"/>
      <c r="I591" s="29"/>
      <c r="J591" s="26"/>
      <c r="K591" s="26"/>
      <c r="L591" s="26"/>
      <c r="M591" s="755">
        <f>G591</f>
        <v>0</v>
      </c>
      <c r="N591" s="755"/>
      <c r="O591" s="26"/>
      <c r="P591" s="26"/>
      <c r="Q591" s="37"/>
    </row>
    <row r="592" spans="1:22" s="2" customFormat="1" ht="25.5" customHeight="1" x14ac:dyDescent="0.25">
      <c r="A592" s="24"/>
      <c r="B592" s="694" t="s">
        <v>53</v>
      </c>
      <c r="C592" s="694"/>
      <c r="D592" s="694"/>
      <c r="E592" s="695"/>
      <c r="F592" s="439">
        <v>7467</v>
      </c>
      <c r="G592" s="745">
        <f>SUM(J592+M592+P592)</f>
        <v>0</v>
      </c>
      <c r="H592" s="746"/>
      <c r="I592" s="29"/>
      <c r="J592" s="26"/>
      <c r="K592" s="26"/>
      <c r="L592" s="439">
        <v>7484</v>
      </c>
      <c r="M592" s="692"/>
      <c r="N592" s="744"/>
      <c r="O592" s="439">
        <v>7493</v>
      </c>
      <c r="P592" s="692"/>
      <c r="Q592" s="754"/>
    </row>
    <row r="593" spans="1:18" s="2" customFormat="1" ht="25.5" customHeight="1" x14ac:dyDescent="0.25">
      <c r="A593" s="24"/>
      <c r="B593" s="694" t="s">
        <v>54</v>
      </c>
      <c r="C593" s="694"/>
      <c r="D593" s="694"/>
      <c r="E593" s="695"/>
      <c r="F593" s="439">
        <v>7468</v>
      </c>
      <c r="G593" s="745"/>
      <c r="H593" s="746"/>
      <c r="I593" s="29"/>
      <c r="J593" s="26"/>
      <c r="K593" s="26"/>
      <c r="L593" s="439">
        <v>7485</v>
      </c>
      <c r="M593" s="692"/>
      <c r="N593" s="744"/>
      <c r="O593" s="439">
        <v>7494</v>
      </c>
      <c r="P593" s="692"/>
      <c r="Q593" s="754"/>
    </row>
    <row r="594" spans="1:18" s="2" customFormat="1" ht="25.5" customHeight="1" x14ac:dyDescent="0.25">
      <c r="A594" s="24"/>
      <c r="B594" s="694" t="s">
        <v>55</v>
      </c>
      <c r="C594" s="694"/>
      <c r="D594" s="694"/>
      <c r="E594" s="695"/>
      <c r="F594" s="439">
        <v>7469</v>
      </c>
      <c r="G594" s="745">
        <f>SUM(J594+M594+P594)</f>
        <v>0</v>
      </c>
      <c r="H594" s="746"/>
      <c r="I594" s="439">
        <v>7477</v>
      </c>
      <c r="J594" s="742"/>
      <c r="K594" s="743"/>
      <c r="L594" s="439">
        <v>7486</v>
      </c>
      <c r="M594" s="692"/>
      <c r="N594" s="744"/>
      <c r="O594" s="439">
        <v>7495</v>
      </c>
      <c r="P594" s="742"/>
      <c r="Q594" s="743"/>
    </row>
    <row r="595" spans="1:18" s="2" customFormat="1" ht="25.5" customHeight="1" x14ac:dyDescent="0.25">
      <c r="A595" s="23"/>
      <c r="B595" s="723" t="s">
        <v>56</v>
      </c>
      <c r="C595" s="723"/>
      <c r="D595" s="747"/>
      <c r="E595" s="748"/>
      <c r="F595" s="439">
        <v>7470</v>
      </c>
      <c r="G595" s="725">
        <f>SUM(G586:H594)</f>
        <v>0</v>
      </c>
      <c r="H595" s="749"/>
      <c r="I595" s="65"/>
      <c r="J595" s="60"/>
      <c r="K595" s="60"/>
      <c r="L595" s="60"/>
      <c r="M595" s="60"/>
      <c r="N595" s="60"/>
      <c r="O595" s="60"/>
      <c r="P595" s="60"/>
      <c r="Q595" s="61"/>
    </row>
    <row r="596" spans="1:18" s="2" customFormat="1" ht="25.5" customHeight="1" x14ac:dyDescent="0.25">
      <c r="A596" s="24"/>
      <c r="B596" s="694" t="s">
        <v>57</v>
      </c>
      <c r="C596" s="694"/>
      <c r="D596" s="694"/>
      <c r="E596" s="695"/>
      <c r="F596" s="439">
        <v>7471</v>
      </c>
      <c r="G596" s="692"/>
      <c r="H596" s="693"/>
      <c r="I596" s="29"/>
      <c r="J596" s="26"/>
      <c r="K596" s="26"/>
      <c r="L596" s="26"/>
      <c r="M596" s="739">
        <f>G596</f>
        <v>0</v>
      </c>
      <c r="N596" s="739"/>
      <c r="O596" s="26"/>
      <c r="P596" s="740"/>
      <c r="Q596" s="741"/>
    </row>
    <row r="597" spans="1:18" s="2" customFormat="1" ht="25.5" customHeight="1" x14ac:dyDescent="0.25">
      <c r="A597" s="24"/>
      <c r="B597" s="694" t="s">
        <v>58</v>
      </c>
      <c r="C597" s="694"/>
      <c r="D597" s="694"/>
      <c r="E597" s="695"/>
      <c r="F597" s="439">
        <v>7472</v>
      </c>
      <c r="G597" s="692"/>
      <c r="H597" s="693"/>
      <c r="I597" s="29"/>
      <c r="J597" s="26"/>
      <c r="K597" s="26"/>
      <c r="L597" s="26"/>
      <c r="M597" s="739">
        <f>G597</f>
        <v>0</v>
      </c>
      <c r="N597" s="739"/>
      <c r="O597" s="26"/>
      <c r="P597" s="740"/>
      <c r="Q597" s="741"/>
    </row>
    <row r="598" spans="1:18" s="2" customFormat="1" ht="25.5" customHeight="1" x14ac:dyDescent="0.25">
      <c r="A598" s="24"/>
      <c r="B598" s="694" t="s">
        <v>59</v>
      </c>
      <c r="C598" s="694"/>
      <c r="D598" s="694"/>
      <c r="E598" s="695"/>
      <c r="F598" s="439">
        <v>7473</v>
      </c>
      <c r="G598" s="692"/>
      <c r="H598" s="693"/>
      <c r="I598" s="29"/>
      <c r="J598" s="26"/>
      <c r="K598" s="26"/>
      <c r="L598" s="26"/>
      <c r="M598" s="739">
        <f>G598</f>
        <v>0</v>
      </c>
      <c r="N598" s="739"/>
      <c r="O598" s="26"/>
      <c r="P598" s="740"/>
      <c r="Q598" s="741"/>
    </row>
    <row r="599" spans="1:18" s="2" customFormat="1" ht="25.5" customHeight="1" x14ac:dyDescent="0.25">
      <c r="A599" s="24"/>
      <c r="B599" s="723" t="s">
        <v>60</v>
      </c>
      <c r="C599" s="723"/>
      <c r="D599" s="723"/>
      <c r="E599" s="724"/>
      <c r="F599" s="439">
        <v>7474</v>
      </c>
      <c r="G599" s="725">
        <f>SUM(G596:H598)</f>
        <v>0</v>
      </c>
      <c r="H599" s="726"/>
      <c r="I599" s="30"/>
      <c r="J599" s="27"/>
      <c r="K599" s="27"/>
      <c r="L599" s="27"/>
      <c r="M599" s="59"/>
      <c r="N599" s="59"/>
      <c r="O599" s="27"/>
      <c r="P599" s="750"/>
      <c r="Q599" s="751"/>
    </row>
    <row r="600" spans="1:18" s="2" customFormat="1" ht="25.5" customHeight="1" x14ac:dyDescent="0.25">
      <c r="A600" s="24"/>
      <c r="B600" s="752" t="s">
        <v>61</v>
      </c>
      <c r="C600" s="752"/>
      <c r="D600" s="752"/>
      <c r="E600" s="753"/>
      <c r="F600" s="439">
        <v>7082</v>
      </c>
      <c r="G600" s="698">
        <f>SUM(G595+G599)</f>
        <v>0</v>
      </c>
      <c r="H600" s="699">
        <f>SUM(H587:H599)</f>
        <v>0</v>
      </c>
      <c r="I600" s="439">
        <v>7478</v>
      </c>
      <c r="J600" s="698">
        <f>SUM(J586:K595)+SUM(J596:K599)</f>
        <v>0</v>
      </c>
      <c r="K600" s="699">
        <f>SUM(K587:K599)</f>
        <v>0</v>
      </c>
      <c r="L600" s="439">
        <v>7487</v>
      </c>
      <c r="M600" s="698">
        <f>SUM(M586:N595)+SUM(M596:N599)</f>
        <v>0</v>
      </c>
      <c r="N600" s="699">
        <f>SUM(N587:N599)</f>
        <v>0</v>
      </c>
      <c r="O600" s="439">
        <v>7496</v>
      </c>
      <c r="P600" s="698">
        <f>SUM(P586:Q595)+SUM(P596:Q599)</f>
        <v>0</v>
      </c>
      <c r="Q600" s="699">
        <f>SUM(Q587:Q599)</f>
        <v>0</v>
      </c>
    </row>
    <row r="601" spans="1:18" s="2" customFormat="1" ht="25.5" customHeight="1" x14ac:dyDescent="0.25"/>
    <row r="602" spans="1:18" s="2" customFormat="1" ht="25.5" customHeight="1" x14ac:dyDescent="0.25">
      <c r="A602" s="700" t="s">
        <v>62</v>
      </c>
      <c r="B602" s="701"/>
      <c r="C602" s="701"/>
      <c r="D602" s="701"/>
      <c r="E602" s="701"/>
      <c r="F602" s="701"/>
      <c r="G602" s="701"/>
      <c r="H602" s="701"/>
      <c r="I602" s="701"/>
      <c r="J602" s="701"/>
      <c r="K602" s="701"/>
      <c r="L602" s="701"/>
      <c r="M602" s="701"/>
    </row>
    <row r="603" spans="1:18" s="2" customFormat="1" ht="25.5" customHeight="1" x14ac:dyDescent="0.25">
      <c r="A603" s="581" t="s">
        <v>1909</v>
      </c>
      <c r="B603" s="527"/>
      <c r="C603" s="527"/>
      <c r="D603" s="527"/>
      <c r="E603" s="527"/>
      <c r="F603" s="527"/>
      <c r="G603" s="527"/>
      <c r="H603" s="527"/>
      <c r="I603" s="527"/>
      <c r="J603" s="527"/>
      <c r="K603" s="528"/>
      <c r="L603" s="696" t="s">
        <v>3614</v>
      </c>
      <c r="M603" s="696"/>
      <c r="N603" s="697" t="str">
        <f>IF($D$5&gt;=200,"This section is REQUIRED for Psychiatric and Specialty hospitals.","")</f>
        <v/>
      </c>
      <c r="O603" s="697"/>
      <c r="P603" s="697"/>
      <c r="Q603" s="697"/>
      <c r="R603" s="697"/>
    </row>
    <row r="604" spans="1:18" s="2" customFormat="1" ht="25.5" customHeight="1" x14ac:dyDescent="0.25">
      <c r="A604" s="24"/>
      <c r="B604" s="694" t="s">
        <v>63</v>
      </c>
      <c r="C604" s="694"/>
      <c r="D604" s="694"/>
      <c r="E604" s="695"/>
      <c r="F604" s="66">
        <v>7497</v>
      </c>
      <c r="G604" s="692"/>
      <c r="H604" s="693"/>
      <c r="I604" s="65"/>
      <c r="J604" s="60"/>
      <c r="K604" s="60"/>
      <c r="L604" s="60"/>
      <c r="M604" s="61"/>
    </row>
    <row r="605" spans="1:18" s="2" customFormat="1" ht="25.5" customHeight="1" x14ac:dyDescent="0.25">
      <c r="A605" s="24"/>
      <c r="B605" s="694" t="s">
        <v>64</v>
      </c>
      <c r="C605" s="694"/>
      <c r="D605" s="694"/>
      <c r="E605" s="695"/>
      <c r="F605" s="66">
        <v>7498</v>
      </c>
      <c r="G605" s="692"/>
      <c r="H605" s="693"/>
      <c r="I605" s="583" t="str">
        <f>IF(G604&gt;0,"Routine Nursery  Bassinets can't be blank because Neonatal Bassinets are filled in . Please review!","")</f>
        <v/>
      </c>
      <c r="J605" s="584"/>
      <c r="K605" s="584"/>
      <c r="L605" s="584"/>
      <c r="M605" s="585"/>
    </row>
    <row r="606" spans="1:18" s="2" customFormat="1" ht="25.5" customHeight="1" x14ac:dyDescent="0.25">
      <c r="A606" s="24"/>
      <c r="B606" s="723" t="s">
        <v>65</v>
      </c>
      <c r="C606" s="723"/>
      <c r="D606" s="723"/>
      <c r="E606" s="724"/>
      <c r="F606" s="67">
        <v>7499</v>
      </c>
      <c r="G606" s="725">
        <f>SUM(G604:H605)</f>
        <v>0</v>
      </c>
      <c r="H606" s="726"/>
      <c r="I606" s="583" t="str">
        <f>IF(G606&gt;L573,"Available Bassinets are greater than Licensed Bassinets. Please review!","")</f>
        <v/>
      </c>
      <c r="J606" s="584"/>
      <c r="K606" s="584"/>
      <c r="L606" s="584"/>
      <c r="M606" s="585"/>
    </row>
    <row r="607" spans="1:18" s="2" customFormat="1" ht="25.5" customHeight="1" x14ac:dyDescent="0.3">
      <c r="A607" s="15" t="e">
        <f>$A$33</f>
        <v>#N/A</v>
      </c>
    </row>
    <row r="608" spans="1:18" ht="25.5" customHeight="1" x14ac:dyDescent="0.25">
      <c r="A608" s="700" t="s">
        <v>1150</v>
      </c>
      <c r="B608" s="700"/>
      <c r="C608" s="700"/>
      <c r="D608" s="700"/>
      <c r="E608" s="700"/>
      <c r="F608" s="700"/>
      <c r="G608" s="700"/>
      <c r="H608" s="700"/>
      <c r="I608" s="700"/>
      <c r="J608" s="700"/>
      <c r="K608" s="700"/>
      <c r="L608" s="700"/>
      <c r="M608" s="700"/>
      <c r="N608" s="700"/>
      <c r="O608" s="700"/>
      <c r="P608" s="700"/>
      <c r="Q608" s="700"/>
    </row>
    <row r="609" spans="1:22" ht="25.5" customHeight="1" x14ac:dyDescent="0.25">
      <c r="A609" s="581" t="s">
        <v>1910</v>
      </c>
      <c r="B609" s="527"/>
      <c r="C609" s="527"/>
      <c r="D609" s="527"/>
      <c r="E609" s="527"/>
      <c r="F609" s="527"/>
      <c r="G609" s="527"/>
      <c r="H609" s="277"/>
      <c r="I609" s="277"/>
      <c r="J609" s="277"/>
      <c r="K609" s="277"/>
      <c r="L609" s="277"/>
      <c r="M609" s="3"/>
      <c r="N609" s="3"/>
      <c r="O609" s="3"/>
      <c r="P609" s="636" t="s">
        <v>3614</v>
      </c>
      <c r="Q609" s="636"/>
      <c r="R609" s="582" t="str">
        <f>IF($D$5&gt;=200,"This section is REQUIRED for Psychiatric and Specialty hospitals.","")</f>
        <v/>
      </c>
      <c r="S609" s="582"/>
      <c r="T609" s="582"/>
      <c r="U609" s="582"/>
      <c r="V609" s="582"/>
    </row>
    <row r="610" spans="1:22" ht="25.5" customHeight="1" x14ac:dyDescent="0.25">
      <c r="A610" s="527" t="s">
        <v>66</v>
      </c>
      <c r="B610" s="527"/>
      <c r="C610" s="527"/>
      <c r="D610" s="527"/>
      <c r="E610" s="527"/>
      <c r="F610" s="527"/>
      <c r="G610" s="527"/>
      <c r="H610" s="527"/>
      <c r="I610" s="527"/>
      <c r="J610" s="527"/>
      <c r="K610" s="527"/>
      <c r="L610" s="527"/>
      <c r="M610" s="527"/>
      <c r="N610" s="527"/>
      <c r="O610" s="527"/>
      <c r="P610" s="527"/>
      <c r="Q610" s="527"/>
    </row>
    <row r="611" spans="1:22" ht="25.5" customHeight="1" x14ac:dyDescent="0.25">
      <c r="A611" s="234"/>
      <c r="B611" s="249"/>
      <c r="C611" s="249"/>
      <c r="D611" s="249"/>
      <c r="E611" s="249"/>
      <c r="F611" s="704" t="s">
        <v>1151</v>
      </c>
      <c r="G611" s="1082"/>
      <c r="H611" s="1082"/>
      <c r="I611" s="704" t="s">
        <v>1152</v>
      </c>
      <c r="J611" s="704"/>
      <c r="K611" s="704"/>
      <c r="L611" s="1079" t="s">
        <v>1153</v>
      </c>
      <c r="M611" s="1080"/>
      <c r="N611" s="1081"/>
      <c r="O611" s="817"/>
      <c r="P611" s="817"/>
      <c r="Q611" s="817"/>
    </row>
    <row r="612" spans="1:22" ht="25.5" customHeight="1" x14ac:dyDescent="0.25">
      <c r="A612" s="844" t="s">
        <v>67</v>
      </c>
      <c r="B612" s="845"/>
      <c r="C612" s="845"/>
      <c r="D612" s="845"/>
      <c r="E612" s="846"/>
      <c r="F612" s="450">
        <v>6010</v>
      </c>
      <c r="G612" s="712"/>
      <c r="H612" s="713"/>
      <c r="I612" s="818"/>
      <c r="J612" s="819"/>
      <c r="K612" s="819"/>
      <c r="L612" s="819"/>
      <c r="M612" s="819"/>
      <c r="N612" s="819"/>
      <c r="O612" s="819"/>
      <c r="P612" s="819"/>
      <c r="Q612" s="820"/>
    </row>
    <row r="613" spans="1:22" ht="25.5" customHeight="1" x14ac:dyDescent="0.25">
      <c r="A613" s="709" t="s">
        <v>68</v>
      </c>
      <c r="B613" s="710"/>
      <c r="C613" s="710"/>
      <c r="D613" s="710"/>
      <c r="E613" s="711"/>
      <c r="F613" s="451">
        <v>6020</v>
      </c>
      <c r="G613" s="712"/>
      <c r="H613" s="713"/>
      <c r="I613" s="706"/>
      <c r="J613" s="707"/>
      <c r="K613" s="707"/>
      <c r="L613" s="707"/>
      <c r="M613" s="707"/>
      <c r="N613" s="707"/>
      <c r="O613" s="707"/>
      <c r="P613" s="707"/>
      <c r="Q613" s="708"/>
    </row>
    <row r="614" spans="1:22" ht="25.5" customHeight="1" x14ac:dyDescent="0.25">
      <c r="A614" s="729" t="s">
        <v>69</v>
      </c>
      <c r="B614" s="730"/>
      <c r="C614" s="730"/>
      <c r="D614" s="730"/>
      <c r="E614" s="731"/>
      <c r="F614" s="451">
        <v>6030</v>
      </c>
      <c r="G614" s="712"/>
      <c r="H614" s="713"/>
      <c r="I614" s="706"/>
      <c r="J614" s="707"/>
      <c r="K614" s="707"/>
      <c r="L614" s="707"/>
      <c r="M614" s="707"/>
      <c r="N614" s="707"/>
      <c r="O614" s="707"/>
      <c r="P614" s="707"/>
      <c r="Q614" s="708"/>
    </row>
    <row r="615" spans="1:22" ht="25.5" customHeight="1" x14ac:dyDescent="0.25">
      <c r="A615" s="252"/>
      <c r="B615" s="705" t="s">
        <v>1154</v>
      </c>
      <c r="C615" s="705"/>
      <c r="D615" s="705"/>
      <c r="E615" s="812"/>
      <c r="F615" s="707"/>
      <c r="G615" s="707"/>
      <c r="H615" s="707"/>
      <c r="I615" s="707"/>
      <c r="J615" s="707"/>
      <c r="K615" s="708"/>
      <c r="L615" s="452">
        <v>6034</v>
      </c>
      <c r="M615" s="702"/>
      <c r="N615" s="703"/>
      <c r="O615" s="706"/>
      <c r="P615" s="707"/>
      <c r="Q615" s="708"/>
    </row>
    <row r="616" spans="1:22" ht="25.5" customHeight="1" x14ac:dyDescent="0.25">
      <c r="A616" s="611" t="s">
        <v>70</v>
      </c>
      <c r="B616" s="612"/>
      <c r="C616" s="612"/>
      <c r="D616" s="612"/>
      <c r="E616" s="613"/>
      <c r="F616" s="451">
        <v>6040</v>
      </c>
      <c r="G616" s="712"/>
      <c r="H616" s="713"/>
      <c r="I616" s="706"/>
      <c r="J616" s="707"/>
      <c r="K616" s="707"/>
      <c r="L616" s="707"/>
      <c r="M616" s="707"/>
      <c r="N616" s="707"/>
      <c r="O616" s="707"/>
      <c r="P616" s="707"/>
      <c r="Q616" s="708"/>
    </row>
    <row r="617" spans="1:22" ht="25.5" customHeight="1" x14ac:dyDescent="0.25">
      <c r="A617" s="709" t="s">
        <v>71</v>
      </c>
      <c r="B617" s="710"/>
      <c r="C617" s="710"/>
      <c r="D617" s="710"/>
      <c r="E617" s="711"/>
      <c r="F617" s="451">
        <v>6070</v>
      </c>
      <c r="G617" s="712"/>
      <c r="H617" s="713"/>
      <c r="I617" s="706"/>
      <c r="J617" s="707"/>
      <c r="K617" s="707"/>
      <c r="L617" s="707"/>
      <c r="M617" s="707"/>
      <c r="N617" s="707"/>
      <c r="O617" s="707"/>
      <c r="P617" s="707"/>
      <c r="Q617" s="708"/>
    </row>
    <row r="618" spans="1:22" ht="25.5" customHeight="1" x14ac:dyDescent="0.25">
      <c r="A618" s="709" t="s">
        <v>72</v>
      </c>
      <c r="B618" s="710"/>
      <c r="C618" s="710"/>
      <c r="D618" s="710"/>
      <c r="E618" s="711"/>
      <c r="F618" s="451">
        <v>6080</v>
      </c>
      <c r="G618" s="712"/>
      <c r="H618" s="713"/>
      <c r="I618" s="706"/>
      <c r="J618" s="707"/>
      <c r="K618" s="707"/>
      <c r="L618" s="707"/>
      <c r="M618" s="707"/>
      <c r="N618" s="707"/>
      <c r="O618" s="707"/>
      <c r="P618" s="707"/>
      <c r="Q618" s="708"/>
    </row>
    <row r="619" spans="1:22" ht="25.5" customHeight="1" x14ac:dyDescent="0.25">
      <c r="A619" s="611" t="s">
        <v>73</v>
      </c>
      <c r="B619" s="612"/>
      <c r="C619" s="612"/>
      <c r="D619" s="612"/>
      <c r="E619" s="613"/>
      <c r="F619" s="451">
        <v>6090</v>
      </c>
      <c r="G619" s="712"/>
      <c r="H619" s="713"/>
      <c r="I619" s="706"/>
      <c r="J619" s="707"/>
      <c r="K619" s="707"/>
      <c r="L619" s="707"/>
      <c r="M619" s="707"/>
      <c r="N619" s="707"/>
      <c r="O619" s="707"/>
      <c r="P619" s="707"/>
      <c r="Q619" s="708"/>
    </row>
    <row r="620" spans="1:22" ht="25.5" customHeight="1" x14ac:dyDescent="0.25">
      <c r="A620" s="252"/>
      <c r="B620" s="705" t="s">
        <v>74</v>
      </c>
      <c r="C620" s="705"/>
      <c r="D620" s="705"/>
      <c r="E620" s="812"/>
      <c r="F620" s="818"/>
      <c r="G620" s="819"/>
      <c r="H620" s="820"/>
      <c r="I620" s="453">
        <v>7193</v>
      </c>
      <c r="J620" s="702"/>
      <c r="K620" s="703"/>
      <c r="L620" s="736"/>
      <c r="M620" s="737"/>
      <c r="N620" s="737"/>
      <c r="O620" s="737"/>
      <c r="P620" s="737"/>
      <c r="Q620" s="738"/>
    </row>
    <row r="621" spans="1:22" ht="25.5" customHeight="1" x14ac:dyDescent="0.25">
      <c r="A621" s="252"/>
      <c r="B621" s="253" t="s">
        <v>75</v>
      </c>
      <c r="C621" s="250"/>
      <c r="D621" s="250"/>
      <c r="E621" s="251"/>
      <c r="F621" s="706"/>
      <c r="G621" s="707"/>
      <c r="H621" s="708"/>
      <c r="I621" s="453">
        <v>7194</v>
      </c>
      <c r="J621" s="702"/>
      <c r="K621" s="703"/>
      <c r="L621" s="736"/>
      <c r="M621" s="737"/>
      <c r="N621" s="737"/>
      <c r="O621" s="737"/>
      <c r="P621" s="737"/>
      <c r="Q621" s="738"/>
    </row>
    <row r="622" spans="1:22" ht="25.5" customHeight="1" x14ac:dyDescent="0.25">
      <c r="A622" s="254"/>
      <c r="B622" s="710" t="s">
        <v>76</v>
      </c>
      <c r="C622" s="710"/>
      <c r="D622" s="710"/>
      <c r="E622" s="711"/>
      <c r="F622" s="706"/>
      <c r="G622" s="707"/>
      <c r="H622" s="708"/>
      <c r="I622" s="454">
        <v>7192</v>
      </c>
      <c r="J622" s="698">
        <f>(J620+J621)</f>
        <v>0</v>
      </c>
      <c r="K622" s="699"/>
      <c r="L622" s="736"/>
      <c r="M622" s="737"/>
      <c r="N622" s="737"/>
      <c r="O622" s="737"/>
      <c r="P622" s="737"/>
      <c r="Q622" s="738"/>
    </row>
    <row r="623" spans="1:22" ht="25.5" customHeight="1" x14ac:dyDescent="0.25">
      <c r="A623" s="255"/>
      <c r="B623" s="705" t="s">
        <v>77</v>
      </c>
      <c r="C623" s="705"/>
      <c r="D623" s="705"/>
      <c r="E623" s="812"/>
      <c r="F623" s="706"/>
      <c r="G623" s="707"/>
      <c r="H623" s="707"/>
      <c r="I623" s="707"/>
      <c r="J623" s="707"/>
      <c r="K623" s="708"/>
      <c r="L623" s="453">
        <v>6092</v>
      </c>
      <c r="M623" s="702"/>
      <c r="N623" s="703"/>
      <c r="O623" s="706"/>
      <c r="P623" s="707"/>
      <c r="Q623" s="708"/>
    </row>
    <row r="624" spans="1:22" ht="25.5" customHeight="1" x14ac:dyDescent="0.25">
      <c r="A624" s="252"/>
      <c r="B624" s="705" t="s">
        <v>588</v>
      </c>
      <c r="C624" s="705"/>
      <c r="D624" s="705"/>
      <c r="E624" s="812"/>
      <c r="F624" s="706"/>
      <c r="G624" s="707"/>
      <c r="H624" s="707"/>
      <c r="I624" s="707"/>
      <c r="J624" s="707"/>
      <c r="K624" s="708"/>
      <c r="L624" s="453">
        <v>6093</v>
      </c>
      <c r="M624" s="702"/>
      <c r="N624" s="703"/>
      <c r="O624" s="706"/>
      <c r="P624" s="707"/>
      <c r="Q624" s="708"/>
    </row>
    <row r="625" spans="1:19" ht="25.5" customHeight="1" x14ac:dyDescent="0.25">
      <c r="A625" s="252"/>
      <c r="B625" s="710" t="s">
        <v>589</v>
      </c>
      <c r="C625" s="710"/>
      <c r="D625" s="710"/>
      <c r="E625" s="711"/>
      <c r="F625" s="706"/>
      <c r="G625" s="707"/>
      <c r="H625" s="707"/>
      <c r="I625" s="707"/>
      <c r="J625" s="707"/>
      <c r="K625" s="708"/>
      <c r="L625" s="454">
        <v>6094</v>
      </c>
      <c r="M625" s="698">
        <f>(M623+M624)</f>
        <v>0</v>
      </c>
      <c r="N625" s="699"/>
      <c r="O625" s="706"/>
      <c r="P625" s="707"/>
      <c r="Q625" s="708"/>
    </row>
    <row r="626" spans="1:19" ht="25.5" customHeight="1" x14ac:dyDescent="0.25">
      <c r="A626" s="709" t="s">
        <v>590</v>
      </c>
      <c r="B626" s="710"/>
      <c r="C626" s="710"/>
      <c r="D626" s="710"/>
      <c r="E626" s="711"/>
      <c r="F626" s="451">
        <v>6100</v>
      </c>
      <c r="G626" s="712"/>
      <c r="H626" s="713"/>
      <c r="I626" s="814"/>
      <c r="J626" s="815"/>
      <c r="K626" s="815"/>
      <c r="L626" s="815"/>
      <c r="M626" s="815"/>
      <c r="N626" s="815"/>
      <c r="O626" s="815"/>
      <c r="P626" s="815"/>
      <c r="Q626" s="816"/>
    </row>
    <row r="627" spans="1:19" ht="25.5" customHeight="1" x14ac:dyDescent="0.25">
      <c r="A627" s="729" t="s">
        <v>591</v>
      </c>
      <c r="B627" s="730"/>
      <c r="C627" s="730"/>
      <c r="D627" s="730"/>
      <c r="E627" s="731"/>
      <c r="F627" s="451">
        <v>6101</v>
      </c>
      <c r="G627" s="712"/>
      <c r="H627" s="713"/>
      <c r="I627" s="814"/>
      <c r="J627" s="815"/>
      <c r="K627" s="815"/>
      <c r="L627" s="815"/>
      <c r="M627" s="815"/>
      <c r="N627" s="815"/>
      <c r="O627" s="815"/>
      <c r="P627" s="815"/>
      <c r="Q627" s="816"/>
    </row>
    <row r="628" spans="1:19" ht="25.5" customHeight="1" x14ac:dyDescent="0.25">
      <c r="A628" s="252"/>
      <c r="B628" s="813" t="s">
        <v>592</v>
      </c>
      <c r="C628" s="813"/>
      <c r="D628" s="813"/>
      <c r="E628" s="813"/>
      <c r="F628" s="706"/>
      <c r="G628" s="707"/>
      <c r="H628" s="707"/>
      <c r="I628" s="707"/>
      <c r="J628" s="707"/>
      <c r="K628" s="708"/>
      <c r="L628" s="453">
        <v>4508</v>
      </c>
      <c r="M628" s="702"/>
      <c r="N628" s="703"/>
      <c r="O628" s="733"/>
      <c r="P628" s="734"/>
      <c r="Q628" s="735"/>
    </row>
    <row r="629" spans="1:19" ht="25.5" customHeight="1" x14ac:dyDescent="0.25">
      <c r="A629" s="709" t="s">
        <v>593</v>
      </c>
      <c r="B629" s="710"/>
      <c r="C629" s="710"/>
      <c r="D629" s="710"/>
      <c r="E629" s="711"/>
      <c r="F629" s="451">
        <v>6360</v>
      </c>
      <c r="G629" s="712"/>
      <c r="H629" s="713"/>
      <c r="I629" s="714"/>
      <c r="J629" s="715"/>
      <c r="K629" s="715"/>
      <c r="L629" s="715"/>
      <c r="M629" s="715"/>
      <c r="N629" s="715"/>
      <c r="O629" s="715"/>
      <c r="P629" s="715"/>
      <c r="Q629" s="716"/>
    </row>
    <row r="630" spans="1:19" ht="25.5" customHeight="1" x14ac:dyDescent="0.25">
      <c r="A630" s="709" t="s">
        <v>833</v>
      </c>
      <c r="B630" s="710"/>
      <c r="C630" s="710"/>
      <c r="D630" s="710"/>
      <c r="E630" s="711"/>
      <c r="F630" s="451">
        <v>6130</v>
      </c>
      <c r="G630" s="712"/>
      <c r="H630" s="713"/>
      <c r="I630" s="714"/>
      <c r="J630" s="715"/>
      <c r="K630" s="715"/>
      <c r="L630" s="715"/>
      <c r="M630" s="715"/>
      <c r="N630" s="715"/>
      <c r="O630" s="715"/>
      <c r="P630" s="715"/>
      <c r="Q630" s="716"/>
    </row>
    <row r="631" spans="1:19" ht="25.5" customHeight="1" x14ac:dyDescent="0.25">
      <c r="A631" s="729" t="s">
        <v>834</v>
      </c>
      <c r="B631" s="730"/>
      <c r="C631" s="730"/>
      <c r="D631" s="730"/>
      <c r="E631" s="731"/>
      <c r="F631" s="451">
        <v>6131</v>
      </c>
      <c r="G631" s="712"/>
      <c r="H631" s="713"/>
      <c r="I631" s="714"/>
      <c r="J631" s="715"/>
      <c r="K631" s="715"/>
      <c r="L631" s="715"/>
      <c r="M631" s="715"/>
      <c r="N631" s="715"/>
      <c r="O631" s="715"/>
      <c r="P631" s="715"/>
      <c r="Q631" s="716"/>
    </row>
    <row r="632" spans="1:19" ht="25.5" customHeight="1" x14ac:dyDescent="0.25">
      <c r="A632" s="252"/>
      <c r="B632" s="705" t="s">
        <v>592</v>
      </c>
      <c r="C632" s="705"/>
      <c r="D632" s="705"/>
      <c r="E632" s="705"/>
      <c r="F632" s="706"/>
      <c r="G632" s="707"/>
      <c r="H632" s="707"/>
      <c r="I632" s="707"/>
      <c r="J632" s="707"/>
      <c r="K632" s="708"/>
      <c r="L632" s="453">
        <v>4506</v>
      </c>
      <c r="M632" s="702"/>
      <c r="N632" s="703"/>
      <c r="O632" s="733"/>
      <c r="P632" s="734"/>
      <c r="Q632" s="735"/>
    </row>
    <row r="633" spans="1:19" ht="25.5" customHeight="1" x14ac:dyDescent="0.25">
      <c r="A633" s="709" t="s">
        <v>835</v>
      </c>
      <c r="B633" s="710"/>
      <c r="C633" s="710"/>
      <c r="D633" s="710"/>
      <c r="E633" s="711"/>
      <c r="F633" s="451">
        <v>6210</v>
      </c>
      <c r="G633" s="721"/>
      <c r="H633" s="732"/>
      <c r="I633" s="714"/>
      <c r="J633" s="715"/>
      <c r="K633" s="715"/>
      <c r="L633" s="715"/>
      <c r="M633" s="715"/>
      <c r="N633" s="715"/>
      <c r="O633" s="715"/>
      <c r="P633" s="715"/>
      <c r="Q633" s="716"/>
    </row>
    <row r="634" spans="1:19" ht="25.5" customHeight="1" x14ac:dyDescent="0.25">
      <c r="A634" s="729" t="s">
        <v>836</v>
      </c>
      <c r="B634" s="730"/>
      <c r="C634" s="730"/>
      <c r="D634" s="730"/>
      <c r="E634" s="731"/>
      <c r="F634" s="451">
        <v>7205</v>
      </c>
      <c r="G634" s="721"/>
      <c r="H634" s="732"/>
      <c r="I634" s="714"/>
      <c r="J634" s="715"/>
      <c r="K634" s="715"/>
      <c r="L634" s="715"/>
      <c r="M634" s="715"/>
      <c r="N634" s="715"/>
      <c r="O634" s="715"/>
      <c r="P634" s="715"/>
      <c r="Q634" s="716"/>
      <c r="R634" s="272"/>
      <c r="S634" s="285"/>
    </row>
    <row r="635" spans="1:19" ht="25.5" customHeight="1" x14ac:dyDescent="0.25">
      <c r="A635" s="252"/>
      <c r="B635" s="705" t="s">
        <v>592</v>
      </c>
      <c r="C635" s="705"/>
      <c r="D635" s="705"/>
      <c r="E635" s="705"/>
      <c r="F635" s="706"/>
      <c r="G635" s="707"/>
      <c r="H635" s="707"/>
      <c r="I635" s="707"/>
      <c r="J635" s="707"/>
      <c r="K635" s="708"/>
      <c r="L635" s="453">
        <v>7411</v>
      </c>
      <c r="M635" s="702"/>
      <c r="N635" s="703"/>
      <c r="O635" s="733"/>
      <c r="P635" s="734"/>
      <c r="Q635" s="735"/>
      <c r="R635" s="272"/>
      <c r="S635" s="285"/>
    </row>
    <row r="636" spans="1:19" ht="25.5" customHeight="1" x14ac:dyDescent="0.25">
      <c r="A636" s="718" t="s">
        <v>837</v>
      </c>
      <c r="B636" s="719"/>
      <c r="C636" s="719"/>
      <c r="D636" s="719"/>
      <c r="E636" s="720"/>
      <c r="F636" s="451">
        <v>6330</v>
      </c>
      <c r="G636" s="721"/>
      <c r="H636" s="722"/>
      <c r="I636" s="714"/>
      <c r="J636" s="715"/>
      <c r="K636" s="715"/>
      <c r="L636" s="715"/>
      <c r="M636" s="715"/>
      <c r="N636" s="715"/>
      <c r="O636" s="715"/>
      <c r="P636" s="715"/>
      <c r="Q636" s="716"/>
      <c r="R636" s="272"/>
      <c r="S636" s="285"/>
    </row>
    <row r="637" spans="1:19" ht="25.5" customHeight="1" x14ac:dyDescent="0.25">
      <c r="A637" s="252"/>
      <c r="B637" s="705" t="s">
        <v>838</v>
      </c>
      <c r="C637" s="705"/>
      <c r="D637" s="705"/>
      <c r="E637" s="705"/>
      <c r="F637" s="832"/>
      <c r="G637" s="833"/>
      <c r="H637" s="833"/>
      <c r="I637" s="833"/>
      <c r="J637" s="833"/>
      <c r="K637" s="834"/>
      <c r="L637" s="453">
        <v>6334</v>
      </c>
      <c r="M637" s="702"/>
      <c r="N637" s="703"/>
      <c r="O637" s="828"/>
      <c r="P637" s="829"/>
      <c r="Q637" s="830"/>
      <c r="R637" s="272"/>
      <c r="S637" s="285"/>
    </row>
    <row r="638" spans="1:19" ht="25.5" customHeight="1" x14ac:dyDescent="0.25">
      <c r="A638" s="256" t="e">
        <f>$A$33</f>
        <v>#N/A</v>
      </c>
      <c r="B638" s="257"/>
      <c r="C638" s="257"/>
      <c r="D638" s="257"/>
      <c r="E638" s="257"/>
      <c r="F638" s="257"/>
      <c r="G638" s="257"/>
      <c r="H638" s="257"/>
      <c r="I638" s="257"/>
      <c r="J638" s="257"/>
      <c r="K638" s="257"/>
      <c r="L638" s="257"/>
      <c r="M638" s="257"/>
      <c r="N638" s="257"/>
      <c r="O638" s="257"/>
      <c r="P638" s="257"/>
      <c r="Q638" s="257"/>
      <c r="R638" s="257"/>
    </row>
    <row r="639" spans="1:19" ht="25.5" customHeight="1" x14ac:dyDescent="0.25">
      <c r="A639" s="700" t="s">
        <v>1155</v>
      </c>
      <c r="B639" s="700"/>
      <c r="C639" s="700"/>
      <c r="D639" s="700"/>
      <c r="E639" s="700"/>
      <c r="F639" s="700"/>
      <c r="G639" s="700"/>
      <c r="H639" s="700"/>
      <c r="I639" s="700"/>
      <c r="J639" s="700"/>
      <c r="K639" s="700"/>
      <c r="L639" s="700"/>
      <c r="M639" s="700"/>
      <c r="N639" s="700"/>
      <c r="O639" s="700"/>
      <c r="P639" s="700"/>
      <c r="Q639" s="700"/>
    </row>
    <row r="640" spans="1:19" ht="25.5" customHeight="1" x14ac:dyDescent="0.25">
      <c r="A640" s="527" t="s">
        <v>1156</v>
      </c>
      <c r="B640" s="527"/>
      <c r="C640" s="527"/>
      <c r="D640" s="527"/>
      <c r="E640" s="527"/>
      <c r="F640" s="831"/>
      <c r="G640" s="831"/>
      <c r="H640" s="831"/>
      <c r="I640" s="831"/>
      <c r="J640" s="831"/>
      <c r="K640" s="831"/>
      <c r="L640" s="727"/>
      <c r="M640" s="727"/>
      <c r="N640" s="727"/>
      <c r="O640" s="728"/>
      <c r="P640" s="728"/>
      <c r="Q640" s="728"/>
    </row>
    <row r="641" spans="1:21" ht="25.5" customHeight="1" x14ac:dyDescent="0.25">
      <c r="A641" s="258"/>
      <c r="B641" s="259"/>
      <c r="C641" s="259"/>
      <c r="D641" s="259"/>
      <c r="E641" s="259"/>
      <c r="F641" s="704" t="s">
        <v>1151</v>
      </c>
      <c r="G641" s="704"/>
      <c r="H641" s="704"/>
      <c r="I641" s="704" t="s">
        <v>1152</v>
      </c>
      <c r="J641" s="704"/>
      <c r="K641" s="704"/>
      <c r="L641" s="1079" t="s">
        <v>1153</v>
      </c>
      <c r="M641" s="1080"/>
      <c r="N641" s="1081"/>
      <c r="O641" s="717" t="s">
        <v>1157</v>
      </c>
      <c r="P641" s="717"/>
      <c r="Q641" s="717"/>
    </row>
    <row r="642" spans="1:21" ht="25.5" customHeight="1" x14ac:dyDescent="0.25">
      <c r="A642" s="835" t="s">
        <v>839</v>
      </c>
      <c r="B642" s="836"/>
      <c r="C642" s="836"/>
      <c r="D642" s="836"/>
      <c r="E642" s="836"/>
      <c r="F642" s="836"/>
      <c r="G642" s="836"/>
      <c r="H642" s="836"/>
      <c r="I642" s="836"/>
      <c r="J642" s="836"/>
      <c r="K642" s="836"/>
      <c r="L642" s="836"/>
      <c r="M642" s="836"/>
      <c r="N642" s="836"/>
      <c r="O642" s="836"/>
      <c r="P642" s="836"/>
      <c r="Q642" s="837"/>
    </row>
    <row r="643" spans="1:21" ht="25.5" customHeight="1" x14ac:dyDescent="0.25">
      <c r="A643" s="260"/>
      <c r="B643" s="824" t="s">
        <v>1158</v>
      </c>
      <c r="C643" s="824"/>
      <c r="D643" s="824"/>
      <c r="E643" s="825"/>
      <c r="F643" s="455">
        <v>8073</v>
      </c>
      <c r="G643" s="721"/>
      <c r="H643" s="722"/>
      <c r="I643" s="457">
        <v>7190</v>
      </c>
      <c r="J643" s="826"/>
      <c r="K643" s="827"/>
      <c r="L643" s="838"/>
      <c r="M643" s="839"/>
      <c r="N643" s="840"/>
      <c r="O643" s="821"/>
      <c r="P643" s="822"/>
      <c r="Q643" s="823"/>
    </row>
    <row r="644" spans="1:21" ht="25.5" customHeight="1" x14ac:dyDescent="0.25">
      <c r="A644" s="255"/>
      <c r="B644" s="824" t="s">
        <v>1159</v>
      </c>
      <c r="C644" s="824"/>
      <c r="D644" s="824"/>
      <c r="E644" s="825"/>
      <c r="F644" s="456">
        <v>8074</v>
      </c>
      <c r="G644" s="721"/>
      <c r="H644" s="722"/>
      <c r="I644" s="458">
        <v>7191</v>
      </c>
      <c r="J644" s="826"/>
      <c r="K644" s="827"/>
      <c r="L644" s="841"/>
      <c r="M644" s="842"/>
      <c r="N644" s="843"/>
      <c r="O644" s="821"/>
      <c r="P644" s="822"/>
      <c r="Q644" s="823"/>
    </row>
    <row r="645" spans="1:21" ht="25.5" customHeight="1" x14ac:dyDescent="0.25">
      <c r="A645" s="261"/>
      <c r="B645" s="1084" t="s">
        <v>840</v>
      </c>
      <c r="C645" s="1084"/>
      <c r="D645" s="1084"/>
      <c r="E645" s="1085"/>
      <c r="F645" s="818"/>
      <c r="G645" s="819"/>
      <c r="H645" s="820"/>
      <c r="I645" s="459">
        <v>6051</v>
      </c>
      <c r="J645" s="698">
        <f>J643+J644</f>
        <v>0</v>
      </c>
      <c r="K645" s="699"/>
      <c r="L645" s="706"/>
      <c r="M645" s="707"/>
      <c r="N645" s="707"/>
      <c r="O645" s="707"/>
      <c r="P645" s="707"/>
      <c r="Q645" s="708"/>
    </row>
    <row r="646" spans="1:21" ht="25.5" customHeight="1" x14ac:dyDescent="0.25">
      <c r="A646" s="255"/>
      <c r="B646" s="825" t="s">
        <v>841</v>
      </c>
      <c r="C646" s="1077"/>
      <c r="D646" s="1077"/>
      <c r="E646" s="1077"/>
      <c r="F646" s="1086" t="str">
        <f>IF(M648&gt;=1,"Reported procedures must be billed by the hospital or on behalf of the hospital using the hospital's Medicare provider number.","")</f>
        <v/>
      </c>
      <c r="G646" s="1087"/>
      <c r="H646" s="1087"/>
      <c r="I646" s="1087"/>
      <c r="J646" s="1087"/>
      <c r="K646" s="1087"/>
      <c r="L646" s="453">
        <v>6052</v>
      </c>
      <c r="M646" s="977"/>
      <c r="N646" s="978"/>
      <c r="O646" s="1075" t="str">
        <f>IF(O643=R$666,"Enter Other owner of FIXED equipment HERE","")</f>
        <v/>
      </c>
      <c r="P646" s="1075"/>
      <c r="Q646" s="1076"/>
    </row>
    <row r="647" spans="1:21" ht="25.5" customHeight="1" x14ac:dyDescent="0.25">
      <c r="A647" s="255"/>
      <c r="B647" s="825" t="s">
        <v>842</v>
      </c>
      <c r="C647" s="1077"/>
      <c r="D647" s="1077"/>
      <c r="E647" s="1077"/>
      <c r="F647" s="1088"/>
      <c r="G647" s="1087"/>
      <c r="H647" s="1087"/>
      <c r="I647" s="1087"/>
      <c r="J647" s="1087"/>
      <c r="K647" s="1087"/>
      <c r="L647" s="453">
        <v>6053</v>
      </c>
      <c r="M647" s="977"/>
      <c r="N647" s="978"/>
      <c r="O647" s="1078" t="str">
        <f>IF(O644=R$666,"Enter Other owner of MOBILE equipment HERE","")</f>
        <v/>
      </c>
      <c r="P647" s="1075"/>
      <c r="Q647" s="1076"/>
    </row>
    <row r="648" spans="1:21" ht="25.5" customHeight="1" x14ac:dyDescent="0.25">
      <c r="A648" s="262"/>
      <c r="B648" s="1083" t="s">
        <v>843</v>
      </c>
      <c r="C648" s="1083"/>
      <c r="D648" s="1083"/>
      <c r="E648" s="1083"/>
      <c r="F648" s="1088"/>
      <c r="G648" s="1087"/>
      <c r="H648" s="1087"/>
      <c r="I648" s="1087"/>
      <c r="J648" s="1087"/>
      <c r="K648" s="1087"/>
      <c r="L648" s="460">
        <v>6054</v>
      </c>
      <c r="M648" s="1104">
        <f>M646+M647</f>
        <v>0</v>
      </c>
      <c r="N648" s="1105"/>
      <c r="O648" s="1095"/>
      <c r="P648" s="1096"/>
      <c r="Q648" s="1097"/>
    </row>
    <row r="649" spans="1:21" ht="25.5" customHeight="1" x14ac:dyDescent="0.25">
      <c r="A649" s="835" t="s">
        <v>1160</v>
      </c>
      <c r="B649" s="836"/>
      <c r="C649" s="836"/>
      <c r="D649" s="836"/>
      <c r="E649" s="836"/>
      <c r="F649" s="836"/>
      <c r="G649" s="836"/>
      <c r="H649" s="836"/>
      <c r="I649" s="836"/>
      <c r="J649" s="836"/>
      <c r="K649" s="836"/>
      <c r="L649" s="836"/>
      <c r="M649" s="836"/>
      <c r="N649" s="836"/>
      <c r="O649" s="836"/>
      <c r="P649" s="836"/>
      <c r="Q649" s="837"/>
    </row>
    <row r="650" spans="1:21" ht="25.5" customHeight="1" x14ac:dyDescent="0.25">
      <c r="A650" s="260"/>
      <c r="B650" s="1098" t="s">
        <v>1161</v>
      </c>
      <c r="C650" s="1099"/>
      <c r="D650" s="1099"/>
      <c r="E650" s="1099"/>
      <c r="F650" s="455">
        <v>8075</v>
      </c>
      <c r="G650" s="1100"/>
      <c r="H650" s="1101"/>
      <c r="I650" s="457">
        <v>7196</v>
      </c>
      <c r="J650" s="826"/>
      <c r="K650" s="827"/>
      <c r="L650" s="838"/>
      <c r="M650" s="839"/>
      <c r="N650" s="840"/>
      <c r="O650" s="821"/>
      <c r="P650" s="822"/>
      <c r="Q650" s="823"/>
    </row>
    <row r="651" spans="1:21" ht="25.5" customHeight="1" x14ac:dyDescent="0.25">
      <c r="A651" s="255"/>
      <c r="B651" s="825" t="s">
        <v>1162</v>
      </c>
      <c r="C651" s="1077"/>
      <c r="D651" s="1077"/>
      <c r="E651" s="1077"/>
      <c r="F651" s="456">
        <v>8076</v>
      </c>
      <c r="G651" s="1100"/>
      <c r="H651" s="1101"/>
      <c r="I651" s="458">
        <v>7197</v>
      </c>
      <c r="J651" s="826"/>
      <c r="K651" s="827"/>
      <c r="L651" s="841"/>
      <c r="M651" s="842"/>
      <c r="N651" s="843"/>
      <c r="O651" s="821"/>
      <c r="P651" s="822"/>
      <c r="Q651" s="823"/>
      <c r="R651" s="274" t="s">
        <v>1163</v>
      </c>
      <c r="S651" s="274"/>
      <c r="T651" s="274"/>
    </row>
    <row r="652" spans="1:21" ht="25.5" customHeight="1" x14ac:dyDescent="0.25">
      <c r="A652" s="261"/>
      <c r="B652" s="1085" t="s">
        <v>851</v>
      </c>
      <c r="C652" s="1102"/>
      <c r="D652" s="1102"/>
      <c r="E652" s="1102"/>
      <c r="F652" s="818"/>
      <c r="G652" s="819"/>
      <c r="H652" s="820"/>
      <c r="I652" s="459">
        <v>7195</v>
      </c>
      <c r="J652" s="1103">
        <f>J650+J651</f>
        <v>0</v>
      </c>
      <c r="K652" s="1103"/>
      <c r="L652" s="706"/>
      <c r="M652" s="707"/>
      <c r="N652" s="707"/>
      <c r="O652" s="707"/>
      <c r="P652" s="707"/>
      <c r="Q652" s="708"/>
      <c r="R652" s="237"/>
      <c r="S652" s="286" t="s">
        <v>1164</v>
      </c>
      <c r="T652" s="286"/>
      <c r="U652" s="285"/>
    </row>
    <row r="653" spans="1:21" ht="25.5" customHeight="1" x14ac:dyDescent="0.25">
      <c r="A653" s="255"/>
      <c r="B653" s="825" t="s">
        <v>852</v>
      </c>
      <c r="C653" s="1077"/>
      <c r="D653" s="1077"/>
      <c r="E653" s="1077"/>
      <c r="F653" s="1086" t="str">
        <f>IF(M655&gt;=1,"Reported procedures must be billed by the hospital or on behalf of the hospital using the hospital's Medicare provider number.","")</f>
        <v/>
      </c>
      <c r="G653" s="1087"/>
      <c r="H653" s="1087"/>
      <c r="I653" s="1087"/>
      <c r="J653" s="1087"/>
      <c r="K653" s="1087"/>
      <c r="L653" s="453">
        <v>6122</v>
      </c>
      <c r="M653" s="977"/>
      <c r="N653" s="978"/>
      <c r="O653" s="1075" t="str">
        <f>IF(O650=R$666,"Enter Other owner of FIXED equipment HERE","")</f>
        <v/>
      </c>
      <c r="P653" s="1075"/>
      <c r="Q653" s="1076"/>
      <c r="R653" s="274" t="e">
        <f>D7</f>
        <v>#N/A</v>
      </c>
      <c r="S653" s="274" t="s">
        <v>1165</v>
      </c>
      <c r="T653" s="274"/>
    </row>
    <row r="654" spans="1:21" ht="25.5" customHeight="1" x14ac:dyDescent="0.25">
      <c r="A654" s="255"/>
      <c r="B654" s="825" t="s">
        <v>853</v>
      </c>
      <c r="C654" s="1077"/>
      <c r="D654" s="1077"/>
      <c r="E654" s="1077"/>
      <c r="F654" s="1088"/>
      <c r="G654" s="1087"/>
      <c r="H654" s="1087"/>
      <c r="I654" s="1087"/>
      <c r="J654" s="1087"/>
      <c r="K654" s="1087"/>
      <c r="L654" s="453">
        <v>6123</v>
      </c>
      <c r="M654" s="977"/>
      <c r="N654" s="978"/>
      <c r="O654" s="1078" t="str">
        <f>IF(O651=R$666,"Enter Other owner of MOBILE equipment HERE","")</f>
        <v/>
      </c>
      <c r="P654" s="1075"/>
      <c r="Q654" s="1076"/>
      <c r="R654" s="275" t="s">
        <v>1374</v>
      </c>
      <c r="S654" s="274" t="s">
        <v>1166</v>
      </c>
      <c r="T654" s="274"/>
    </row>
    <row r="655" spans="1:21" ht="25.5" customHeight="1" x14ac:dyDescent="0.25">
      <c r="A655" s="262"/>
      <c r="B655" s="1083" t="s">
        <v>854</v>
      </c>
      <c r="C655" s="1083"/>
      <c r="D655" s="1083"/>
      <c r="E655" s="1083"/>
      <c r="F655" s="1088"/>
      <c r="G655" s="1087"/>
      <c r="H655" s="1087"/>
      <c r="I655" s="1087"/>
      <c r="J655" s="1087"/>
      <c r="K655" s="1087"/>
      <c r="L655" s="460">
        <v>6124</v>
      </c>
      <c r="M655" s="1104">
        <f>M653+M654</f>
        <v>0</v>
      </c>
      <c r="N655" s="1105"/>
      <c r="O655" s="1095"/>
      <c r="P655" s="1096"/>
      <c r="Q655" s="1097"/>
      <c r="R655" s="276" t="s">
        <v>1375</v>
      </c>
      <c r="S655" s="274" t="s">
        <v>1167</v>
      </c>
      <c r="T655" s="274"/>
    </row>
    <row r="656" spans="1:21" ht="25.5" customHeight="1" x14ac:dyDescent="0.25">
      <c r="A656" s="835" t="s">
        <v>855</v>
      </c>
      <c r="B656" s="836"/>
      <c r="C656" s="836"/>
      <c r="D656" s="836"/>
      <c r="E656" s="836"/>
      <c r="F656" s="836"/>
      <c r="G656" s="836"/>
      <c r="H656" s="836"/>
      <c r="I656" s="836"/>
      <c r="J656" s="836"/>
      <c r="K656" s="836"/>
      <c r="L656" s="836"/>
      <c r="M656" s="836"/>
      <c r="N656" s="836"/>
      <c r="O656" s="836"/>
      <c r="P656" s="836"/>
      <c r="Q656" s="837"/>
      <c r="R656" s="276" t="s">
        <v>1376</v>
      </c>
      <c r="S656" s="274"/>
      <c r="T656" s="274"/>
    </row>
    <row r="657" spans="1:20" ht="25.5" customHeight="1" x14ac:dyDescent="0.25">
      <c r="A657" s="260"/>
      <c r="B657" s="1098" t="s">
        <v>1168</v>
      </c>
      <c r="C657" s="1099"/>
      <c r="D657" s="1099"/>
      <c r="E657" s="1099"/>
      <c r="F657" s="455">
        <v>8077</v>
      </c>
      <c r="G657" s="1100"/>
      <c r="H657" s="1101"/>
      <c r="I657" s="457">
        <v>7200</v>
      </c>
      <c r="J657" s="826"/>
      <c r="K657" s="827"/>
      <c r="L657" s="838"/>
      <c r="M657" s="839"/>
      <c r="N657" s="840"/>
      <c r="O657" s="821"/>
      <c r="P657" s="822"/>
      <c r="Q657" s="823"/>
      <c r="R657" s="276" t="s">
        <v>1377</v>
      </c>
      <c r="S657" s="274"/>
      <c r="T657" s="274"/>
    </row>
    <row r="658" spans="1:20" ht="25.5" customHeight="1" x14ac:dyDescent="0.25">
      <c r="A658" s="255"/>
      <c r="B658" s="825" t="s">
        <v>1169</v>
      </c>
      <c r="C658" s="1077"/>
      <c r="D658" s="1077"/>
      <c r="E658" s="1077"/>
      <c r="F658" s="456">
        <v>8078</v>
      </c>
      <c r="G658" s="1100"/>
      <c r="H658" s="1101"/>
      <c r="I658" s="458">
        <v>7201</v>
      </c>
      <c r="J658" s="826"/>
      <c r="K658" s="827"/>
      <c r="L658" s="841"/>
      <c r="M658" s="842"/>
      <c r="N658" s="843"/>
      <c r="O658" s="821"/>
      <c r="P658" s="822"/>
      <c r="Q658" s="823"/>
      <c r="R658" s="276" t="s">
        <v>1378</v>
      </c>
      <c r="S658" s="274"/>
      <c r="T658" s="274"/>
    </row>
    <row r="659" spans="1:20" ht="25.5" customHeight="1" x14ac:dyDescent="0.25">
      <c r="A659" s="261"/>
      <c r="B659" s="1085" t="s">
        <v>1170</v>
      </c>
      <c r="C659" s="1102"/>
      <c r="D659" s="1102"/>
      <c r="E659" s="1102"/>
      <c r="F659" s="818"/>
      <c r="G659" s="819"/>
      <c r="H659" s="820"/>
      <c r="I659" s="459">
        <v>7199</v>
      </c>
      <c r="J659" s="1103">
        <f>J657+J658</f>
        <v>0</v>
      </c>
      <c r="K659" s="1103"/>
      <c r="L659" s="706"/>
      <c r="M659" s="707"/>
      <c r="N659" s="707"/>
      <c r="O659" s="707"/>
      <c r="P659" s="707"/>
      <c r="Q659" s="708"/>
      <c r="R659" s="276" t="s">
        <v>1379</v>
      </c>
      <c r="S659" s="274"/>
      <c r="T659" s="274"/>
    </row>
    <row r="660" spans="1:20" ht="25.5" customHeight="1" x14ac:dyDescent="0.25">
      <c r="A660" s="255"/>
      <c r="B660" s="825" t="s">
        <v>856</v>
      </c>
      <c r="C660" s="1077"/>
      <c r="D660" s="1077"/>
      <c r="E660" s="1077"/>
      <c r="F660" s="1086" t="str">
        <f>IF(M662&gt;=1,"Reported procedures must be billed by the hospital or on behalf of the hospital using the hospital's Medicare provider number.","")</f>
        <v/>
      </c>
      <c r="G660" s="1087"/>
      <c r="H660" s="1087"/>
      <c r="I660" s="1087"/>
      <c r="J660" s="1087"/>
      <c r="K660" s="1087"/>
      <c r="L660" s="453">
        <v>7202</v>
      </c>
      <c r="M660" s="977"/>
      <c r="N660" s="978"/>
      <c r="O660" s="1075" t="str">
        <f>IF(O657=R$666,"Enter Other owner of FIXED equipment HERE","")</f>
        <v/>
      </c>
      <c r="P660" s="1075"/>
      <c r="Q660" s="1076"/>
      <c r="R660" s="276" t="s">
        <v>1380</v>
      </c>
      <c r="S660" s="274"/>
      <c r="T660" s="274"/>
    </row>
    <row r="661" spans="1:20" ht="25.5" customHeight="1" x14ac:dyDescent="0.25">
      <c r="A661" s="255"/>
      <c r="B661" s="825" t="s">
        <v>857</v>
      </c>
      <c r="C661" s="1077"/>
      <c r="D661" s="1077"/>
      <c r="E661" s="1077"/>
      <c r="F661" s="1088"/>
      <c r="G661" s="1087"/>
      <c r="H661" s="1087"/>
      <c r="I661" s="1087"/>
      <c r="J661" s="1087"/>
      <c r="K661" s="1087"/>
      <c r="L661" s="453">
        <v>7203</v>
      </c>
      <c r="M661" s="977"/>
      <c r="N661" s="978"/>
      <c r="O661" s="1078" t="str">
        <f>IF(O658=R$666,"Enter Other owner of MOBILE equipment HERE","")</f>
        <v/>
      </c>
      <c r="P661" s="1075"/>
      <c r="Q661" s="1076"/>
      <c r="R661" s="276" t="s">
        <v>1381</v>
      </c>
      <c r="S661" s="274"/>
      <c r="T661" s="274"/>
    </row>
    <row r="662" spans="1:20" ht="25.5" customHeight="1" x14ac:dyDescent="0.25">
      <c r="A662" s="262"/>
      <c r="B662" s="1083" t="s">
        <v>858</v>
      </c>
      <c r="C662" s="1083"/>
      <c r="D662" s="1083"/>
      <c r="E662" s="1083"/>
      <c r="F662" s="1088"/>
      <c r="G662" s="1087"/>
      <c r="H662" s="1087"/>
      <c r="I662" s="1087"/>
      <c r="J662" s="1087"/>
      <c r="K662" s="1087"/>
      <c r="L662" s="460">
        <v>7204</v>
      </c>
      <c r="M662" s="698">
        <f>M660+M661</f>
        <v>0</v>
      </c>
      <c r="N662" s="699"/>
      <c r="O662" s="1095"/>
      <c r="P662" s="1096"/>
      <c r="Q662" s="1097"/>
      <c r="R662" s="276" t="s">
        <v>1382</v>
      </c>
    </row>
    <row r="663" spans="1:20" ht="25.5" customHeight="1" x14ac:dyDescent="0.25">
      <c r="A663" s="835" t="s">
        <v>859</v>
      </c>
      <c r="B663" s="836"/>
      <c r="C663" s="836"/>
      <c r="D663" s="836"/>
      <c r="E663" s="836"/>
      <c r="F663" s="836"/>
      <c r="G663" s="836"/>
      <c r="H663" s="836"/>
      <c r="I663" s="836"/>
      <c r="J663" s="836"/>
      <c r="K663" s="836"/>
      <c r="L663" s="836"/>
      <c r="M663" s="836"/>
      <c r="N663" s="836"/>
      <c r="O663" s="836"/>
      <c r="P663" s="836"/>
      <c r="Q663" s="837"/>
      <c r="R663" s="310" t="s">
        <v>1383</v>
      </c>
    </row>
    <row r="664" spans="1:20" ht="25.5" customHeight="1" x14ac:dyDescent="0.25">
      <c r="A664" s="260"/>
      <c r="B664" s="1098" t="s">
        <v>1172</v>
      </c>
      <c r="C664" s="1099"/>
      <c r="D664" s="1099"/>
      <c r="E664" s="1099"/>
      <c r="F664" s="455">
        <v>8079</v>
      </c>
      <c r="G664" s="1100"/>
      <c r="H664" s="1101"/>
      <c r="I664" s="457">
        <v>7313</v>
      </c>
      <c r="J664" s="826"/>
      <c r="K664" s="827"/>
      <c r="L664" s="838"/>
      <c r="M664" s="839"/>
      <c r="N664" s="840"/>
      <c r="O664" s="821"/>
      <c r="P664" s="822"/>
      <c r="Q664" s="823"/>
      <c r="R664" s="274" t="s">
        <v>1384</v>
      </c>
    </row>
    <row r="665" spans="1:20" ht="25.5" customHeight="1" x14ac:dyDescent="0.25">
      <c r="A665" s="255"/>
      <c r="B665" s="825" t="s">
        <v>1173</v>
      </c>
      <c r="C665" s="1077"/>
      <c r="D665" s="1077"/>
      <c r="E665" s="1077"/>
      <c r="F665" s="456">
        <v>8080</v>
      </c>
      <c r="G665" s="1106"/>
      <c r="H665" s="1107"/>
      <c r="I665" s="458">
        <v>7314</v>
      </c>
      <c r="J665" s="826"/>
      <c r="K665" s="827"/>
      <c r="L665" s="841"/>
      <c r="M665" s="842"/>
      <c r="N665" s="843"/>
      <c r="O665" s="821"/>
      <c r="P665" s="822"/>
      <c r="Q665" s="823"/>
      <c r="R665" s="274" t="s">
        <v>1385</v>
      </c>
    </row>
    <row r="666" spans="1:20" ht="25.5" customHeight="1" x14ac:dyDescent="0.25">
      <c r="A666" s="261"/>
      <c r="B666" s="1085" t="s">
        <v>1387</v>
      </c>
      <c r="C666" s="1102"/>
      <c r="D666" s="1102"/>
      <c r="E666" s="1102"/>
      <c r="F666" s="818"/>
      <c r="G666" s="819"/>
      <c r="H666" s="820"/>
      <c r="I666" s="459">
        <v>7315</v>
      </c>
      <c r="J666" s="1103">
        <f>J664+J665</f>
        <v>0</v>
      </c>
      <c r="K666" s="1103"/>
      <c r="L666" s="706"/>
      <c r="M666" s="707"/>
      <c r="N666" s="707"/>
      <c r="O666" s="707"/>
      <c r="P666" s="707"/>
      <c r="Q666" s="708"/>
      <c r="R666" s="274" t="s">
        <v>1171</v>
      </c>
    </row>
    <row r="667" spans="1:20" ht="25.5" customHeight="1" x14ac:dyDescent="0.25">
      <c r="A667" s="255"/>
      <c r="B667" s="825" t="s">
        <v>1388</v>
      </c>
      <c r="C667" s="1077"/>
      <c r="D667" s="1077"/>
      <c r="E667" s="1077"/>
      <c r="F667" s="1086" t="str">
        <f>IF(M669&gt;=1,"Reported procedures must be billed by the hospital or on behalf of the hospital using the hospital's Medicare provider number.","")</f>
        <v/>
      </c>
      <c r="G667" s="1087"/>
      <c r="H667" s="1087"/>
      <c r="I667" s="1087"/>
      <c r="J667" s="1087"/>
      <c r="K667" s="1108"/>
      <c r="L667" s="453">
        <v>7316</v>
      </c>
      <c r="M667" s="977"/>
      <c r="N667" s="978"/>
      <c r="O667" s="1075" t="str">
        <f>IF(O664=R$666,"Enter Other owner of FIXED equipment HERE","")</f>
        <v/>
      </c>
      <c r="P667" s="1075"/>
      <c r="Q667" s="1076"/>
      <c r="R667" s="274"/>
    </row>
    <row r="668" spans="1:20" ht="25.5" customHeight="1" x14ac:dyDescent="0.25">
      <c r="A668" s="255"/>
      <c r="B668" s="825" t="s">
        <v>1389</v>
      </c>
      <c r="C668" s="1077"/>
      <c r="D668" s="1077"/>
      <c r="E668" s="1077"/>
      <c r="F668" s="1088"/>
      <c r="G668" s="1087"/>
      <c r="H668" s="1087"/>
      <c r="I668" s="1087"/>
      <c r="J668" s="1087"/>
      <c r="K668" s="1108"/>
      <c r="L668" s="453">
        <v>7317</v>
      </c>
      <c r="M668" s="977"/>
      <c r="N668" s="978"/>
      <c r="O668" s="1078" t="str">
        <f>IF(O665=R$666,"Enter Other owner of MOBILE equipment HERE","")</f>
        <v/>
      </c>
      <c r="P668" s="1075"/>
      <c r="Q668" s="1076"/>
    </row>
    <row r="669" spans="1:20" ht="25.5" customHeight="1" x14ac:dyDescent="0.25">
      <c r="A669" s="261"/>
      <c r="B669" s="1084" t="s">
        <v>1390</v>
      </c>
      <c r="C669" s="1084"/>
      <c r="D669" s="1084"/>
      <c r="E669" s="1085"/>
      <c r="F669" s="1109"/>
      <c r="G669" s="584"/>
      <c r="H669" s="584"/>
      <c r="I669" s="584"/>
      <c r="J669" s="584"/>
      <c r="K669" s="585"/>
      <c r="L669" s="454">
        <v>7318</v>
      </c>
      <c r="M669" s="698">
        <f>M667+M668</f>
        <v>0</v>
      </c>
      <c r="N669" s="699"/>
      <c r="O669" s="1095"/>
      <c r="P669" s="1096"/>
      <c r="Q669" s="1097"/>
    </row>
    <row r="670" spans="1:20" ht="25.5" customHeight="1" x14ac:dyDescent="0.25">
      <c r="A670" s="256" t="e">
        <f>$A$33</f>
        <v>#N/A</v>
      </c>
      <c r="B670" s="263"/>
      <c r="C670" s="263"/>
      <c r="D670" s="263"/>
      <c r="E670" s="263"/>
      <c r="F670" s="264"/>
      <c r="G670" s="264"/>
      <c r="H670" s="264"/>
      <c r="I670" s="264"/>
      <c r="J670" s="264"/>
      <c r="K670" s="38"/>
      <c r="L670" s="265"/>
      <c r="M670" s="266"/>
      <c r="N670" s="267"/>
      <c r="O670" s="267"/>
      <c r="P670" s="267"/>
    </row>
    <row r="671" spans="1:20" ht="25.5" customHeight="1" x14ac:dyDescent="0.25">
      <c r="A671" s="700" t="s">
        <v>1155</v>
      </c>
      <c r="B671" s="700"/>
      <c r="C671" s="700"/>
      <c r="D671" s="700"/>
      <c r="E671" s="700"/>
      <c r="F671" s="700"/>
      <c r="G671" s="700"/>
      <c r="H671" s="700"/>
      <c r="I671" s="700"/>
      <c r="J671" s="700"/>
      <c r="K671" s="700"/>
      <c r="L671" s="700"/>
      <c r="M671" s="700"/>
      <c r="N671" s="700"/>
      <c r="O671" s="700"/>
      <c r="P671" s="700"/>
      <c r="Q671" s="700"/>
    </row>
    <row r="672" spans="1:20" ht="25.5" customHeight="1" x14ac:dyDescent="0.25">
      <c r="A672" s="527" t="s">
        <v>1156</v>
      </c>
      <c r="B672" s="527"/>
      <c r="C672" s="527"/>
      <c r="D672" s="527"/>
      <c r="E672" s="527"/>
      <c r="F672" s="831"/>
      <c r="G672" s="831"/>
      <c r="H672" s="831"/>
      <c r="I672" s="831"/>
      <c r="J672" s="831"/>
      <c r="K672" s="831"/>
      <c r="L672" s="727"/>
      <c r="M672" s="727"/>
      <c r="N672" s="727"/>
      <c r="O672" s="728"/>
      <c r="P672" s="728"/>
      <c r="Q672" s="728"/>
    </row>
    <row r="673" spans="1:17" ht="25.5" customHeight="1" x14ac:dyDescent="0.25">
      <c r="A673" s="258"/>
      <c r="B673" s="259"/>
      <c r="C673" s="259"/>
      <c r="D673" s="259"/>
      <c r="E673" s="259"/>
      <c r="F673" s="704" t="s">
        <v>1151</v>
      </c>
      <c r="G673" s="704"/>
      <c r="H673" s="704"/>
      <c r="I673" s="704" t="s">
        <v>1152</v>
      </c>
      <c r="J673" s="704"/>
      <c r="K673" s="704"/>
      <c r="L673" s="1079" t="s">
        <v>1153</v>
      </c>
      <c r="M673" s="1080"/>
      <c r="N673" s="1081"/>
      <c r="O673" s="717" t="s">
        <v>1157</v>
      </c>
      <c r="P673" s="717"/>
      <c r="Q673" s="717"/>
    </row>
    <row r="674" spans="1:17" ht="25.5" customHeight="1" x14ac:dyDescent="0.25">
      <c r="A674" s="835" t="s">
        <v>860</v>
      </c>
      <c r="B674" s="836"/>
      <c r="C674" s="836"/>
      <c r="D674" s="836"/>
      <c r="E674" s="836"/>
      <c r="F674" s="836"/>
      <c r="G674" s="836"/>
      <c r="H674" s="836"/>
      <c r="I674" s="836"/>
      <c r="J674" s="836"/>
      <c r="K674" s="836"/>
      <c r="L674" s="836"/>
      <c r="M674" s="836"/>
      <c r="N674" s="836"/>
      <c r="O674" s="836"/>
      <c r="P674" s="836"/>
      <c r="Q674" s="837"/>
    </row>
    <row r="675" spans="1:17" ht="25.5" customHeight="1" x14ac:dyDescent="0.25">
      <c r="A675" s="260"/>
      <c r="B675" s="1098" t="s">
        <v>1391</v>
      </c>
      <c r="C675" s="1099"/>
      <c r="D675" s="1099"/>
      <c r="E675" s="1099"/>
      <c r="F675" s="455">
        <v>8081</v>
      </c>
      <c r="G675" s="1100"/>
      <c r="H675" s="1101"/>
      <c r="I675" s="457">
        <v>7219</v>
      </c>
      <c r="J675" s="826"/>
      <c r="K675" s="827"/>
      <c r="L675" s="838"/>
      <c r="M675" s="839"/>
      <c r="N675" s="840"/>
      <c r="O675" s="821"/>
      <c r="P675" s="822"/>
      <c r="Q675" s="823"/>
    </row>
    <row r="676" spans="1:17" ht="25.5" customHeight="1" x14ac:dyDescent="0.25">
      <c r="A676" s="255"/>
      <c r="B676" s="825" t="s">
        <v>1392</v>
      </c>
      <c r="C676" s="1077"/>
      <c r="D676" s="1077"/>
      <c r="E676" s="1077"/>
      <c r="F676" s="456">
        <v>8082</v>
      </c>
      <c r="G676" s="1100"/>
      <c r="H676" s="1101"/>
      <c r="I676" s="458">
        <v>7220</v>
      </c>
      <c r="J676" s="826"/>
      <c r="K676" s="827"/>
      <c r="L676" s="841"/>
      <c r="M676" s="842"/>
      <c r="N676" s="843"/>
      <c r="O676" s="821"/>
      <c r="P676" s="822"/>
      <c r="Q676" s="823"/>
    </row>
    <row r="677" spans="1:17" ht="25.5" customHeight="1" x14ac:dyDescent="0.25">
      <c r="A677" s="261"/>
      <c r="B677" s="1085" t="s">
        <v>861</v>
      </c>
      <c r="C677" s="1102"/>
      <c r="D677" s="1102"/>
      <c r="E677" s="1102"/>
      <c r="F677" s="818"/>
      <c r="G677" s="819"/>
      <c r="H677" s="820"/>
      <c r="I677" s="459">
        <v>7218</v>
      </c>
      <c r="J677" s="1103">
        <f>J675+J676</f>
        <v>0</v>
      </c>
      <c r="K677" s="1103"/>
      <c r="L677" s="706"/>
      <c r="M677" s="707"/>
      <c r="N677" s="707"/>
      <c r="O677" s="707"/>
      <c r="P677" s="707"/>
      <c r="Q677" s="708"/>
    </row>
    <row r="678" spans="1:17" ht="25.5" customHeight="1" x14ac:dyDescent="0.25">
      <c r="A678" s="255"/>
      <c r="B678" s="825" t="s">
        <v>862</v>
      </c>
      <c r="C678" s="1077"/>
      <c r="D678" s="1077"/>
      <c r="E678" s="1077"/>
      <c r="F678" s="1086" t="str">
        <f>IF(M680&gt;=1,"Reported procedures must be billed by the hospital or on behalf of the hospital using the hospital's Medicare provider number.","")</f>
        <v/>
      </c>
      <c r="G678" s="1087"/>
      <c r="H678" s="1087"/>
      <c r="I678" s="1087"/>
      <c r="J678" s="1087"/>
      <c r="K678" s="1087"/>
      <c r="L678" s="453">
        <v>7221</v>
      </c>
      <c r="M678" s="977"/>
      <c r="N678" s="978"/>
      <c r="O678" s="1075" t="str">
        <f>IF(O675=R$666,"Enter Other owner of FIXED equipment HERE","")</f>
        <v/>
      </c>
      <c r="P678" s="1075"/>
      <c r="Q678" s="1076"/>
    </row>
    <row r="679" spans="1:17" ht="25.5" customHeight="1" x14ac:dyDescent="0.25">
      <c r="A679" s="255"/>
      <c r="B679" s="825" t="s">
        <v>863</v>
      </c>
      <c r="C679" s="1077"/>
      <c r="D679" s="1077"/>
      <c r="E679" s="1077"/>
      <c r="F679" s="1088"/>
      <c r="G679" s="1087"/>
      <c r="H679" s="1087"/>
      <c r="I679" s="1087"/>
      <c r="J679" s="1087"/>
      <c r="K679" s="1087"/>
      <c r="L679" s="453">
        <v>7222</v>
      </c>
      <c r="M679" s="977"/>
      <c r="N679" s="978"/>
      <c r="O679" s="1078" t="str">
        <f>IF(O676=R$666,"Enter Other owner of MOBILE equipment HERE","")</f>
        <v/>
      </c>
      <c r="P679" s="1075"/>
      <c r="Q679" s="1076"/>
    </row>
    <row r="680" spans="1:17" ht="25.5" customHeight="1" x14ac:dyDescent="0.25">
      <c r="A680" s="262"/>
      <c r="B680" s="1083" t="s">
        <v>864</v>
      </c>
      <c r="C680" s="1083"/>
      <c r="D680" s="1083"/>
      <c r="E680" s="1083"/>
      <c r="F680" s="1088"/>
      <c r="G680" s="1087"/>
      <c r="H680" s="1087"/>
      <c r="I680" s="1087"/>
      <c r="J680" s="1087"/>
      <c r="K680" s="1087"/>
      <c r="L680" s="460">
        <v>7223</v>
      </c>
      <c r="M680" s="1104">
        <f>M678+M679</f>
        <v>0</v>
      </c>
      <c r="N680" s="1105"/>
      <c r="O680" s="1095"/>
      <c r="P680" s="1096"/>
      <c r="Q680" s="1097"/>
    </row>
    <row r="681" spans="1:17" ht="25.5" customHeight="1" x14ac:dyDescent="0.25">
      <c r="A681" s="835" t="s">
        <v>865</v>
      </c>
      <c r="B681" s="836"/>
      <c r="C681" s="836"/>
      <c r="D681" s="836"/>
      <c r="E681" s="836"/>
      <c r="F681" s="836"/>
      <c r="G681" s="836"/>
      <c r="H681" s="836"/>
      <c r="I681" s="836"/>
      <c r="J681" s="836"/>
      <c r="K681" s="836"/>
      <c r="L681" s="836"/>
      <c r="M681" s="836"/>
      <c r="N681" s="836"/>
      <c r="O681" s="836"/>
      <c r="P681" s="836"/>
      <c r="Q681" s="837"/>
    </row>
    <row r="682" spans="1:17" ht="25.5" customHeight="1" x14ac:dyDescent="0.25">
      <c r="A682" s="260"/>
      <c r="B682" s="1098" t="s">
        <v>1393</v>
      </c>
      <c r="C682" s="1099"/>
      <c r="D682" s="1099"/>
      <c r="E682" s="1099"/>
      <c r="F682" s="455">
        <v>8083</v>
      </c>
      <c r="G682" s="1100"/>
      <c r="H682" s="1101"/>
      <c r="I682" s="457">
        <v>7320</v>
      </c>
      <c r="J682" s="826"/>
      <c r="K682" s="827"/>
      <c r="L682" s="838"/>
      <c r="M682" s="839"/>
      <c r="N682" s="840"/>
      <c r="O682" s="821"/>
      <c r="P682" s="822"/>
      <c r="Q682" s="823"/>
    </row>
    <row r="683" spans="1:17" ht="25.5" customHeight="1" x14ac:dyDescent="0.25">
      <c r="A683" s="255"/>
      <c r="B683" s="825" t="s">
        <v>1394</v>
      </c>
      <c r="C683" s="1077"/>
      <c r="D683" s="1077"/>
      <c r="E683" s="1077"/>
      <c r="F683" s="456">
        <v>8084</v>
      </c>
      <c r="G683" s="1100"/>
      <c r="H683" s="1101"/>
      <c r="I683" s="458">
        <v>7321</v>
      </c>
      <c r="J683" s="826"/>
      <c r="K683" s="827"/>
      <c r="L683" s="841"/>
      <c r="M683" s="842"/>
      <c r="N683" s="843"/>
      <c r="O683" s="821"/>
      <c r="P683" s="822"/>
      <c r="Q683" s="823"/>
    </row>
    <row r="684" spans="1:17" ht="25.5" customHeight="1" x14ac:dyDescent="0.25">
      <c r="A684" s="261"/>
      <c r="B684" s="1085" t="s">
        <v>1395</v>
      </c>
      <c r="C684" s="1102"/>
      <c r="D684" s="1102"/>
      <c r="E684" s="1102"/>
      <c r="F684" s="818"/>
      <c r="G684" s="819"/>
      <c r="H684" s="820"/>
      <c r="I684" s="459">
        <v>7322</v>
      </c>
      <c r="J684" s="1103">
        <f>J682+J683</f>
        <v>0</v>
      </c>
      <c r="K684" s="1103"/>
      <c r="L684" s="706"/>
      <c r="M684" s="707"/>
      <c r="N684" s="707"/>
      <c r="O684" s="707"/>
      <c r="P684" s="707"/>
      <c r="Q684" s="708"/>
    </row>
    <row r="685" spans="1:17" ht="25.5" customHeight="1" x14ac:dyDescent="0.25">
      <c r="A685" s="255"/>
      <c r="B685" s="825" t="s">
        <v>1396</v>
      </c>
      <c r="C685" s="1077"/>
      <c r="D685" s="1077"/>
      <c r="E685" s="1077"/>
      <c r="F685" s="1086" t="str">
        <f>IF(M687&gt;=1,"Reported procedures must be billed by the hospital or on behalf of the hospital using the hospital's Medicare provider number.","")</f>
        <v/>
      </c>
      <c r="G685" s="1087"/>
      <c r="H685" s="1087"/>
      <c r="I685" s="1087"/>
      <c r="J685" s="1087"/>
      <c r="K685" s="1087"/>
      <c r="L685" s="453">
        <v>7323</v>
      </c>
      <c r="M685" s="977"/>
      <c r="N685" s="978"/>
      <c r="O685" s="1075" t="str">
        <f>IF(O682=R$666,"Enter Other owner of FIXED equipment HERE","")</f>
        <v/>
      </c>
      <c r="P685" s="1075"/>
      <c r="Q685" s="1076"/>
    </row>
    <row r="686" spans="1:17" ht="25.5" customHeight="1" x14ac:dyDescent="0.25">
      <c r="A686" s="255"/>
      <c r="B686" s="825" t="s">
        <v>1397</v>
      </c>
      <c r="C686" s="1077"/>
      <c r="D686" s="1077"/>
      <c r="E686" s="1077"/>
      <c r="F686" s="1088"/>
      <c r="G686" s="1087"/>
      <c r="H686" s="1087"/>
      <c r="I686" s="1087"/>
      <c r="J686" s="1087"/>
      <c r="K686" s="1087"/>
      <c r="L686" s="453">
        <v>7324</v>
      </c>
      <c r="M686" s="977"/>
      <c r="N686" s="978"/>
      <c r="O686" s="1078" t="str">
        <f>IF(O683=R$666,"Enter Other owner of MOBILE equipment HERE","")</f>
        <v/>
      </c>
      <c r="P686" s="1075"/>
      <c r="Q686" s="1076"/>
    </row>
    <row r="687" spans="1:17" ht="25.5" customHeight="1" x14ac:dyDescent="0.25">
      <c r="A687" s="262"/>
      <c r="B687" s="1083" t="s">
        <v>1398</v>
      </c>
      <c r="C687" s="1083"/>
      <c r="D687" s="1083"/>
      <c r="E687" s="1083"/>
      <c r="F687" s="1088"/>
      <c r="G687" s="1087"/>
      <c r="H687" s="1087"/>
      <c r="I687" s="1087"/>
      <c r="J687" s="1087"/>
      <c r="K687" s="1087"/>
      <c r="L687" s="460">
        <v>7325</v>
      </c>
      <c r="M687" s="1104">
        <f>M685+M686</f>
        <v>0</v>
      </c>
      <c r="N687" s="1105"/>
      <c r="O687" s="1095"/>
      <c r="P687" s="1096"/>
      <c r="Q687" s="1097"/>
    </row>
    <row r="688" spans="1:17" ht="25.5" customHeight="1" x14ac:dyDescent="0.25">
      <c r="A688" s="1136" t="s">
        <v>1156</v>
      </c>
      <c r="B688" s="1137"/>
      <c r="C688" s="1137"/>
      <c r="D688" s="1137"/>
      <c r="E688" s="1137"/>
      <c r="F688" s="1137"/>
      <c r="G688" s="1137"/>
      <c r="H688" s="1137"/>
      <c r="I688" s="1137"/>
      <c r="J688" s="1137"/>
      <c r="K688" s="1137"/>
      <c r="L688" s="1137"/>
      <c r="M688" s="1137"/>
      <c r="N688" s="1137"/>
      <c r="O688" s="1137"/>
      <c r="P688" s="1137"/>
      <c r="Q688" s="1138"/>
    </row>
    <row r="689" spans="1:17" ht="25.5" customHeight="1" x14ac:dyDescent="0.25">
      <c r="A689" s="1139"/>
      <c r="B689" s="696"/>
      <c r="C689" s="696"/>
      <c r="D689" s="696"/>
      <c r="E689" s="1140"/>
      <c r="F689" s="704" t="s">
        <v>1151</v>
      </c>
      <c r="G689" s="1082"/>
      <c r="H689" s="1082"/>
      <c r="I689" s="727"/>
      <c r="J689" s="1209"/>
      <c r="K689" s="1209"/>
      <c r="L689" s="1079" t="s">
        <v>1153</v>
      </c>
      <c r="M689" s="1080"/>
      <c r="N689" s="1081"/>
      <c r="O689" s="817"/>
      <c r="P689" s="817"/>
      <c r="Q689" s="1143"/>
    </row>
    <row r="690" spans="1:17" ht="25.5" customHeight="1" x14ac:dyDescent="0.25">
      <c r="A690" s="1125" t="s">
        <v>844</v>
      </c>
      <c r="B690" s="1126"/>
      <c r="C690" s="1126"/>
      <c r="D690" s="1126"/>
      <c r="E690" s="1126"/>
      <c r="F690" s="451">
        <v>6350</v>
      </c>
      <c r="G690" s="712"/>
      <c r="H690" s="713"/>
      <c r="I690" s="1219"/>
      <c r="J690" s="1220"/>
      <c r="K690" s="1220"/>
      <c r="L690" s="1220"/>
      <c r="M690" s="1220"/>
      <c r="N690" s="1220"/>
      <c r="O690" s="1220"/>
      <c r="P690" s="1220"/>
      <c r="Q690" s="1221"/>
    </row>
    <row r="691" spans="1:17" ht="25.5" customHeight="1" x14ac:dyDescent="0.25">
      <c r="A691" s="268"/>
      <c r="B691" s="824" t="s">
        <v>845</v>
      </c>
      <c r="C691" s="824"/>
      <c r="D691" s="824"/>
      <c r="E691" s="825"/>
      <c r="F691" s="1130"/>
      <c r="G691" s="1131"/>
      <c r="H691" s="1131"/>
      <c r="I691" s="1131"/>
      <c r="J691" s="1131"/>
      <c r="K691" s="1132"/>
      <c r="L691" s="453">
        <v>6351</v>
      </c>
      <c r="M691" s="702"/>
      <c r="N691" s="703"/>
      <c r="O691" s="1127"/>
      <c r="P691" s="1128"/>
      <c r="Q691" s="1129"/>
    </row>
    <row r="692" spans="1:17" ht="25.5" customHeight="1" x14ac:dyDescent="0.25">
      <c r="A692" s="1120" t="s">
        <v>846</v>
      </c>
      <c r="B692" s="1121"/>
      <c r="C692" s="1121"/>
      <c r="D692" s="1121"/>
      <c r="E692" s="1121"/>
      <c r="F692" s="451">
        <v>6340</v>
      </c>
      <c r="G692" s="712"/>
      <c r="H692" s="713"/>
      <c r="I692" s="1122"/>
      <c r="J692" s="1123"/>
      <c r="K692" s="1123"/>
      <c r="L692" s="1123"/>
      <c r="M692" s="1123"/>
      <c r="N692" s="1123"/>
      <c r="O692" s="1123"/>
      <c r="P692" s="1123"/>
      <c r="Q692" s="1124"/>
    </row>
    <row r="693" spans="1:17" ht="25.5" customHeight="1" x14ac:dyDescent="0.25">
      <c r="A693" s="1125" t="s">
        <v>847</v>
      </c>
      <c r="B693" s="1126"/>
      <c r="C693" s="1126"/>
      <c r="D693" s="1126"/>
      <c r="E693" s="1126"/>
      <c r="F693" s="451">
        <v>6110</v>
      </c>
      <c r="G693" s="712"/>
      <c r="H693" s="713"/>
      <c r="I693" s="1122"/>
      <c r="J693" s="1123"/>
      <c r="K693" s="1123"/>
      <c r="L693" s="1123"/>
      <c r="M693" s="1123"/>
      <c r="N693" s="1123"/>
      <c r="O693" s="1123"/>
      <c r="P693" s="1123"/>
      <c r="Q693" s="1124"/>
    </row>
    <row r="694" spans="1:17" ht="25.5" customHeight="1" x14ac:dyDescent="0.25">
      <c r="A694" s="268"/>
      <c r="B694" s="824" t="s">
        <v>848</v>
      </c>
      <c r="C694" s="824"/>
      <c r="D694" s="824"/>
      <c r="E694" s="825"/>
      <c r="F694" s="1122"/>
      <c r="G694" s="1123"/>
      <c r="H694" s="1123"/>
      <c r="I694" s="1123"/>
      <c r="J694" s="1123"/>
      <c r="K694" s="1124"/>
      <c r="L694" s="453">
        <v>6112</v>
      </c>
      <c r="M694" s="702"/>
      <c r="N694" s="703"/>
      <c r="O694" s="1123"/>
      <c r="P694" s="1123"/>
      <c r="Q694" s="1124"/>
    </row>
    <row r="695" spans="1:17" ht="25.5" customHeight="1" x14ac:dyDescent="0.25">
      <c r="A695" s="268"/>
      <c r="B695" s="824" t="s">
        <v>849</v>
      </c>
      <c r="C695" s="824"/>
      <c r="D695" s="824"/>
      <c r="E695" s="825"/>
      <c r="F695" s="1122"/>
      <c r="G695" s="1123"/>
      <c r="H695" s="1123"/>
      <c r="I695" s="1123"/>
      <c r="J695" s="1123"/>
      <c r="K695" s="1124"/>
      <c r="L695" s="453">
        <v>6113</v>
      </c>
      <c r="M695" s="702"/>
      <c r="N695" s="703"/>
      <c r="O695" s="1123"/>
      <c r="P695" s="1123"/>
      <c r="Q695" s="1124"/>
    </row>
    <row r="696" spans="1:17" ht="25.5" customHeight="1" x14ac:dyDescent="0.25">
      <c r="A696" s="268"/>
      <c r="B696" s="1084" t="s">
        <v>850</v>
      </c>
      <c r="C696" s="1084"/>
      <c r="D696" s="1084"/>
      <c r="E696" s="1085"/>
      <c r="F696" s="1133"/>
      <c r="G696" s="1134"/>
      <c r="H696" s="1134"/>
      <c r="I696" s="1134"/>
      <c r="J696" s="1134"/>
      <c r="K696" s="1135"/>
      <c r="L696" s="454">
        <v>6114</v>
      </c>
      <c r="M696" s="1104">
        <f>M694+M695</f>
        <v>0</v>
      </c>
      <c r="N696" s="1105"/>
      <c r="O696" s="1134"/>
      <c r="P696" s="1134"/>
      <c r="Q696" s="1135"/>
    </row>
    <row r="697" spans="1:17" ht="25.5" customHeight="1" x14ac:dyDescent="0.25">
      <c r="A697" s="1136" t="s">
        <v>866</v>
      </c>
      <c r="B697" s="1137"/>
      <c r="C697" s="1137"/>
      <c r="D697" s="1137"/>
      <c r="E697" s="1137"/>
      <c r="F697" s="1137"/>
      <c r="G697" s="1137"/>
      <c r="H697" s="1137"/>
      <c r="I697" s="1137"/>
      <c r="J697" s="1137"/>
      <c r="K697" s="1137"/>
      <c r="L697" s="1137"/>
      <c r="M697" s="1137"/>
      <c r="N697" s="1137"/>
      <c r="O697" s="1137"/>
      <c r="P697" s="1137"/>
      <c r="Q697" s="1138"/>
    </row>
    <row r="698" spans="1:17" ht="25.5" customHeight="1" x14ac:dyDescent="0.25">
      <c r="A698" s="1139"/>
      <c r="B698" s="696"/>
      <c r="C698" s="696"/>
      <c r="D698" s="696"/>
      <c r="E698" s="1140"/>
      <c r="F698" s="704" t="s">
        <v>1151</v>
      </c>
      <c r="G698" s="1082"/>
      <c r="H698" s="1082"/>
      <c r="I698" s="1141" t="s">
        <v>868</v>
      </c>
      <c r="J698" s="1142"/>
      <c r="K698" s="1142"/>
      <c r="L698" s="1079" t="s">
        <v>1153</v>
      </c>
      <c r="M698" s="1080"/>
      <c r="N698" s="1081"/>
      <c r="O698" s="817"/>
      <c r="P698" s="817"/>
      <c r="Q698" s="1143"/>
    </row>
    <row r="699" spans="1:17" ht="25.5" customHeight="1" x14ac:dyDescent="0.25">
      <c r="A699" s="1110" t="s">
        <v>867</v>
      </c>
      <c r="B699" s="1111"/>
      <c r="C699" s="1111"/>
      <c r="D699" s="1111"/>
      <c r="E699" s="1112"/>
      <c r="F699" s="451">
        <v>6140</v>
      </c>
      <c r="G699" s="712"/>
      <c r="H699" s="713"/>
      <c r="I699" s="1113"/>
      <c r="J699" s="1114"/>
      <c r="K699" s="1114"/>
      <c r="L699" s="1114"/>
      <c r="M699" s="1114"/>
      <c r="N699" s="1114"/>
      <c r="O699" s="1114"/>
      <c r="P699" s="1114"/>
      <c r="Q699" s="1115"/>
    </row>
    <row r="700" spans="1:17" ht="25.5" customHeight="1" x14ac:dyDescent="0.25">
      <c r="A700" s="269"/>
      <c r="B700" s="532" t="s">
        <v>868</v>
      </c>
      <c r="C700" s="532"/>
      <c r="D700" s="532"/>
      <c r="E700" s="533"/>
      <c r="F700" s="1114"/>
      <c r="G700" s="1114"/>
      <c r="H700" s="1115"/>
      <c r="I700" s="453">
        <v>6141</v>
      </c>
      <c r="J700" s="1116"/>
      <c r="K700" s="1116"/>
      <c r="L700" s="1117"/>
      <c r="M700" s="1118"/>
      <c r="N700" s="1118"/>
      <c r="O700" s="1118"/>
      <c r="P700" s="1118"/>
      <c r="Q700" s="1119"/>
    </row>
    <row r="701" spans="1:17" ht="25.5" customHeight="1" x14ac:dyDescent="0.25">
      <c r="A701" s="252"/>
      <c r="B701" s="532" t="s">
        <v>869</v>
      </c>
      <c r="C701" s="532"/>
      <c r="D701" s="532"/>
      <c r="E701" s="533"/>
      <c r="F701" s="1144"/>
      <c r="G701" s="1145"/>
      <c r="H701" s="1145"/>
      <c r="I701" s="1145"/>
      <c r="J701" s="1145"/>
      <c r="K701" s="1148"/>
      <c r="L701" s="461">
        <v>6144</v>
      </c>
      <c r="M701" s="1149"/>
      <c r="N701" s="1150"/>
      <c r="O701" s="733"/>
      <c r="P701" s="734"/>
      <c r="Q701" s="735"/>
    </row>
    <row r="702" spans="1:17" ht="25.5" customHeight="1" x14ac:dyDescent="0.25">
      <c r="A702" s="260"/>
      <c r="B702" s="1151" t="s">
        <v>870</v>
      </c>
      <c r="C702" s="1151"/>
      <c r="D702" s="1151"/>
      <c r="E702" s="1152"/>
      <c r="F702" s="1144"/>
      <c r="G702" s="1145"/>
      <c r="H702" s="1145"/>
      <c r="I702" s="1145"/>
      <c r="J702" s="1145"/>
      <c r="K702" s="1148"/>
      <c r="L702" s="461">
        <v>6145</v>
      </c>
      <c r="M702" s="1149"/>
      <c r="N702" s="1150"/>
      <c r="O702" s="733"/>
      <c r="P702" s="734"/>
      <c r="Q702" s="735"/>
    </row>
    <row r="703" spans="1:17" ht="25.5" customHeight="1" x14ac:dyDescent="0.25">
      <c r="A703" s="611" t="s">
        <v>871</v>
      </c>
      <c r="B703" s="612"/>
      <c r="C703" s="612"/>
      <c r="D703" s="612"/>
      <c r="E703" s="613"/>
      <c r="F703" s="451">
        <v>6150</v>
      </c>
      <c r="G703" s="712"/>
      <c r="H703" s="713"/>
      <c r="I703" s="1117"/>
      <c r="J703" s="1118"/>
      <c r="K703" s="1118"/>
      <c r="L703" s="1118"/>
      <c r="M703" s="1118"/>
      <c r="N703" s="1118"/>
      <c r="O703" s="1118"/>
      <c r="P703" s="1118"/>
      <c r="Q703" s="1119"/>
    </row>
    <row r="704" spans="1:17" ht="25.5" customHeight="1" x14ac:dyDescent="0.25">
      <c r="A704" s="252"/>
      <c r="B704" s="532" t="s">
        <v>868</v>
      </c>
      <c r="C704" s="532"/>
      <c r="D704" s="532"/>
      <c r="E704" s="533"/>
      <c r="F704" s="1113"/>
      <c r="G704" s="1114"/>
      <c r="H704" s="1115"/>
      <c r="I704" s="453">
        <v>6151</v>
      </c>
      <c r="J704" s="1116"/>
      <c r="K704" s="1116"/>
      <c r="L704" s="706"/>
      <c r="M704" s="707"/>
      <c r="N704" s="707"/>
      <c r="O704" s="707"/>
      <c r="P704" s="707"/>
      <c r="Q704" s="708"/>
    </row>
    <row r="705" spans="1:18" ht="25.5" customHeight="1" x14ac:dyDescent="0.25">
      <c r="A705" s="254"/>
      <c r="B705" s="532" t="s">
        <v>869</v>
      </c>
      <c r="C705" s="532"/>
      <c r="D705" s="532"/>
      <c r="E705" s="533"/>
      <c r="F705" s="1144"/>
      <c r="G705" s="1145"/>
      <c r="H705" s="1145"/>
      <c r="I705" s="1146"/>
      <c r="J705" s="1146"/>
      <c r="K705" s="1147"/>
      <c r="L705" s="453">
        <v>6154</v>
      </c>
      <c r="M705" s="1149"/>
      <c r="N705" s="1150"/>
      <c r="O705" s="733"/>
      <c r="P705" s="734"/>
      <c r="Q705" s="735"/>
    </row>
    <row r="706" spans="1:18" ht="25.5" customHeight="1" x14ac:dyDescent="0.25">
      <c r="A706" s="254"/>
      <c r="B706" s="532" t="s">
        <v>870</v>
      </c>
      <c r="C706" s="532"/>
      <c r="D706" s="532"/>
      <c r="E706" s="533"/>
      <c r="F706" s="1144"/>
      <c r="G706" s="1145"/>
      <c r="H706" s="1145"/>
      <c r="I706" s="1145"/>
      <c r="J706" s="1145"/>
      <c r="K706" s="1148"/>
      <c r="L706" s="453">
        <v>6155</v>
      </c>
      <c r="M706" s="1149"/>
      <c r="N706" s="1150"/>
      <c r="O706" s="733"/>
      <c r="P706" s="734"/>
      <c r="Q706" s="735"/>
    </row>
    <row r="707" spans="1:18" ht="25.5" customHeight="1" x14ac:dyDescent="0.25">
      <c r="A707" s="1161" t="s">
        <v>872</v>
      </c>
      <c r="B707" s="1162"/>
      <c r="C707" s="1162"/>
      <c r="D707" s="1162"/>
      <c r="E707" s="1163"/>
      <c r="F707" s="451">
        <v>6160</v>
      </c>
      <c r="G707" s="712"/>
      <c r="H707" s="713"/>
      <c r="I707" s="1117"/>
      <c r="J707" s="1118"/>
      <c r="K707" s="1118"/>
      <c r="L707" s="1118"/>
      <c r="M707" s="1118"/>
      <c r="N707" s="1118"/>
      <c r="O707" s="1118"/>
      <c r="P707" s="1118"/>
      <c r="Q707" s="1119"/>
    </row>
    <row r="708" spans="1:18" ht="25.5" customHeight="1" x14ac:dyDescent="0.25">
      <c r="A708" s="252"/>
      <c r="B708" s="532" t="s">
        <v>868</v>
      </c>
      <c r="C708" s="532"/>
      <c r="D708" s="532"/>
      <c r="E708" s="533"/>
      <c r="F708" s="1113"/>
      <c r="G708" s="1114"/>
      <c r="H708" s="1115"/>
      <c r="I708" s="453">
        <v>6161</v>
      </c>
      <c r="J708" s="1116"/>
      <c r="K708" s="1116"/>
      <c r="L708" s="706"/>
      <c r="M708" s="707"/>
      <c r="N708" s="707"/>
      <c r="O708" s="707"/>
      <c r="P708" s="707"/>
      <c r="Q708" s="708"/>
    </row>
    <row r="709" spans="1:18" ht="25.5" customHeight="1" x14ac:dyDescent="0.25">
      <c r="A709" s="252"/>
      <c r="B709" s="532" t="s">
        <v>869</v>
      </c>
      <c r="C709" s="532"/>
      <c r="D709" s="532"/>
      <c r="E709" s="533"/>
      <c r="F709" s="1145"/>
      <c r="G709" s="1145"/>
      <c r="H709" s="1145"/>
      <c r="I709" s="1146"/>
      <c r="J709" s="1146"/>
      <c r="K709" s="1147"/>
      <c r="L709" s="453">
        <v>6164</v>
      </c>
      <c r="M709" s="1149"/>
      <c r="N709" s="1150"/>
      <c r="O709" s="733"/>
      <c r="P709" s="734"/>
      <c r="Q709" s="735"/>
    </row>
    <row r="710" spans="1:18" ht="25.5" customHeight="1" x14ac:dyDescent="0.25">
      <c r="A710" s="254"/>
      <c r="B710" s="532" t="s">
        <v>870</v>
      </c>
      <c r="C710" s="532"/>
      <c r="D710" s="532"/>
      <c r="E710" s="533"/>
      <c r="F710" s="1159"/>
      <c r="G710" s="1159"/>
      <c r="H710" s="1159"/>
      <c r="I710" s="1159"/>
      <c r="J710" s="1159"/>
      <c r="K710" s="1160"/>
      <c r="L710" s="453">
        <v>6165</v>
      </c>
      <c r="M710" s="1149"/>
      <c r="N710" s="1150"/>
      <c r="O710" s="828"/>
      <c r="P710" s="829"/>
      <c r="Q710" s="830"/>
    </row>
    <row r="711" spans="1:18" ht="25.5" customHeight="1" x14ac:dyDescent="0.25">
      <c r="A711" s="256" t="e">
        <f>$A$33</f>
        <v>#N/A</v>
      </c>
      <c r="B711" s="2"/>
      <c r="C711" s="2"/>
      <c r="D711" s="2"/>
      <c r="E711" s="2"/>
      <c r="F711" s="2"/>
      <c r="G711" s="2"/>
      <c r="H711" s="2"/>
      <c r="I711" s="2"/>
      <c r="J711" s="2"/>
      <c r="K711" s="2"/>
      <c r="L711" s="2"/>
      <c r="M711" s="2"/>
      <c r="N711" s="2"/>
      <c r="O711" s="2"/>
      <c r="P711" s="2"/>
      <c r="Q711" s="2"/>
    </row>
    <row r="712" spans="1:18" ht="25.5" customHeight="1" x14ac:dyDescent="0.25">
      <c r="A712" s="700" t="s">
        <v>1150</v>
      </c>
      <c r="B712" s="700"/>
      <c r="C712" s="700"/>
      <c r="D712" s="700"/>
      <c r="E712" s="700"/>
      <c r="F712" s="700"/>
      <c r="G712" s="700"/>
      <c r="H712" s="700"/>
      <c r="I712" s="700"/>
      <c r="J712" s="700"/>
      <c r="K712" s="700"/>
      <c r="L712" s="700"/>
      <c r="M712" s="700"/>
      <c r="N712" s="700"/>
      <c r="O712" s="700"/>
      <c r="P712" s="700"/>
      <c r="Q712" s="700"/>
    </row>
    <row r="713" spans="1:18" ht="25.5" customHeight="1" x14ac:dyDescent="0.25">
      <c r="A713" s="527" t="s">
        <v>873</v>
      </c>
      <c r="B713" s="527"/>
      <c r="C713" s="527"/>
      <c r="D713" s="527"/>
      <c r="E713" s="527"/>
      <c r="F713" s="527"/>
      <c r="G713" s="527"/>
      <c r="H713" s="527"/>
      <c r="I713" s="527"/>
      <c r="J713" s="527"/>
      <c r="K713" s="527"/>
      <c r="L713" s="527"/>
      <c r="M713" s="527"/>
      <c r="N713" s="527"/>
      <c r="O713" s="527"/>
      <c r="P713" s="527"/>
      <c r="Q713" s="527"/>
    </row>
    <row r="714" spans="1:18" ht="25.5" customHeight="1" x14ac:dyDescent="0.25">
      <c r="A714" s="1139"/>
      <c r="B714" s="696"/>
      <c r="C714" s="696"/>
      <c r="D714" s="696"/>
      <c r="E714" s="1140"/>
      <c r="F714" s="704" t="s">
        <v>1151</v>
      </c>
      <c r="G714" s="1082"/>
      <c r="H714" s="1082"/>
      <c r="I714" s="1153"/>
      <c r="J714" s="1154"/>
      <c r="K714" s="1154"/>
      <c r="L714" s="1079" t="s">
        <v>1153</v>
      </c>
      <c r="M714" s="1080"/>
      <c r="N714" s="1081"/>
      <c r="O714" s="1155"/>
      <c r="P714" s="817"/>
      <c r="Q714" s="817"/>
      <c r="R714" s="83"/>
    </row>
    <row r="715" spans="1:18" ht="25.5" customHeight="1" x14ac:dyDescent="0.25">
      <c r="A715" s="611" t="s">
        <v>874</v>
      </c>
      <c r="B715" s="612"/>
      <c r="C715" s="612"/>
      <c r="D715" s="612"/>
      <c r="E715" s="613"/>
      <c r="F715" s="451">
        <v>6170</v>
      </c>
      <c r="G715" s="712"/>
      <c r="H715" s="713"/>
      <c r="I715" s="1156"/>
      <c r="J715" s="1157"/>
      <c r="K715" s="1157"/>
      <c r="L715" s="1157"/>
      <c r="M715" s="1157"/>
      <c r="N715" s="1157"/>
      <c r="O715" s="1157"/>
      <c r="P715" s="1157"/>
      <c r="Q715" s="1158"/>
    </row>
    <row r="716" spans="1:18" ht="25.5" customHeight="1" x14ac:dyDescent="0.25">
      <c r="A716" s="1164" t="s">
        <v>875</v>
      </c>
      <c r="B716" s="1165"/>
      <c r="C716" s="1165"/>
      <c r="D716" s="1165"/>
      <c r="E716" s="1166"/>
      <c r="F716" s="451">
        <v>6180</v>
      </c>
      <c r="G716" s="712"/>
      <c r="H716" s="713"/>
      <c r="I716" s="1122"/>
      <c r="J716" s="1123"/>
      <c r="K716" s="1123"/>
      <c r="L716" s="1123"/>
      <c r="M716" s="1123"/>
      <c r="N716" s="1123"/>
      <c r="O716" s="1123"/>
      <c r="P716" s="1123"/>
      <c r="Q716" s="1124"/>
    </row>
    <row r="717" spans="1:18" ht="25.5" customHeight="1" x14ac:dyDescent="0.25">
      <c r="A717" s="1164" t="s">
        <v>876</v>
      </c>
      <c r="B717" s="1165"/>
      <c r="C717" s="1165"/>
      <c r="D717" s="1165"/>
      <c r="E717" s="1166"/>
      <c r="F717" s="451">
        <v>6190</v>
      </c>
      <c r="G717" s="712"/>
      <c r="H717" s="713"/>
      <c r="I717" s="1122"/>
      <c r="J717" s="1123"/>
      <c r="K717" s="1123"/>
      <c r="L717" s="1123"/>
      <c r="M717" s="1123"/>
      <c r="N717" s="1123"/>
      <c r="O717" s="1123"/>
      <c r="P717" s="1123"/>
      <c r="Q717" s="1124"/>
    </row>
    <row r="718" spans="1:18" ht="25.5" customHeight="1" x14ac:dyDescent="0.25">
      <c r="A718" s="1164" t="s">
        <v>877</v>
      </c>
      <c r="B718" s="1165"/>
      <c r="C718" s="1165"/>
      <c r="D718" s="1165"/>
      <c r="E718" s="1166"/>
      <c r="F718" s="451">
        <v>6200</v>
      </c>
      <c r="G718" s="712"/>
      <c r="H718" s="713"/>
      <c r="I718" s="1122"/>
      <c r="J718" s="1123"/>
      <c r="K718" s="1123"/>
      <c r="L718" s="1123"/>
      <c r="M718" s="1123"/>
      <c r="N718" s="1123"/>
      <c r="O718" s="1123"/>
      <c r="P718" s="1123"/>
      <c r="Q718" s="1124"/>
    </row>
    <row r="719" spans="1:18" ht="25.5" customHeight="1" x14ac:dyDescent="0.25">
      <c r="A719" s="252"/>
      <c r="B719" s="532" t="s">
        <v>77</v>
      </c>
      <c r="C719" s="532"/>
      <c r="D719" s="532"/>
      <c r="E719" s="533"/>
      <c r="F719" s="1145"/>
      <c r="G719" s="1145"/>
      <c r="H719" s="1145"/>
      <c r="I719" s="1145"/>
      <c r="J719" s="1145"/>
      <c r="K719" s="1148"/>
      <c r="L719" s="453">
        <v>6202</v>
      </c>
      <c r="M719" s="702"/>
      <c r="N719" s="703"/>
      <c r="O719" s="733"/>
      <c r="P719" s="734"/>
      <c r="Q719" s="735"/>
    </row>
    <row r="720" spans="1:18" ht="25.5" customHeight="1" x14ac:dyDescent="0.25">
      <c r="A720" s="254"/>
      <c r="B720" s="1151" t="s">
        <v>588</v>
      </c>
      <c r="C720" s="1151"/>
      <c r="D720" s="1151"/>
      <c r="E720" s="1152"/>
      <c r="F720" s="1159"/>
      <c r="G720" s="1159"/>
      <c r="H720" s="1159"/>
      <c r="I720" s="1159"/>
      <c r="J720" s="1159"/>
      <c r="K720" s="1160"/>
      <c r="L720" s="453">
        <v>6203</v>
      </c>
      <c r="M720" s="702"/>
      <c r="N720" s="703"/>
      <c r="O720" s="828"/>
      <c r="P720" s="829"/>
      <c r="Q720" s="830"/>
    </row>
    <row r="721" spans="1:20" ht="25.5" customHeight="1" x14ac:dyDescent="0.25">
      <c r="A721" s="1136" t="s">
        <v>878</v>
      </c>
      <c r="B721" s="1137"/>
      <c r="C721" s="1137"/>
      <c r="D721" s="1137"/>
      <c r="E721" s="1137"/>
      <c r="F721" s="1137"/>
      <c r="G721" s="1137"/>
      <c r="H721" s="1137"/>
      <c r="I721" s="1137"/>
      <c r="J721" s="1137"/>
      <c r="K721" s="1137"/>
      <c r="L721" s="1137"/>
      <c r="M721" s="1137"/>
      <c r="N721" s="1137"/>
      <c r="O721" s="1137"/>
      <c r="P721" s="1137"/>
      <c r="Q721" s="1138"/>
    </row>
    <row r="722" spans="1:20" ht="25.5" customHeight="1" x14ac:dyDescent="0.25">
      <c r="A722" s="1139"/>
      <c r="B722" s="696"/>
      <c r="C722" s="696"/>
      <c r="D722" s="696"/>
      <c r="E722" s="1140"/>
      <c r="F722" s="704" t="s">
        <v>1151</v>
      </c>
      <c r="G722" s="1082"/>
      <c r="H722" s="1082"/>
      <c r="I722" s="1167"/>
      <c r="J722" s="1154"/>
      <c r="K722" s="1168"/>
      <c r="L722" s="727"/>
      <c r="M722" s="727"/>
      <c r="N722" s="727"/>
      <c r="O722" s="817"/>
      <c r="P722" s="817"/>
      <c r="Q722" s="1143"/>
    </row>
    <row r="723" spans="1:20" s="273" customFormat="1" ht="25.5" customHeight="1" x14ac:dyDescent="0.25">
      <c r="A723" s="1169" t="s">
        <v>879</v>
      </c>
      <c r="B723" s="1169"/>
      <c r="C723" s="1169"/>
      <c r="D723" s="1169"/>
      <c r="E723" s="1169"/>
      <c r="F723" s="451">
        <v>6240</v>
      </c>
      <c r="G723" s="712"/>
      <c r="H723" s="713"/>
      <c r="I723" s="1113"/>
      <c r="J723" s="1114"/>
      <c r="K723" s="1114"/>
      <c r="L723" s="1114"/>
      <c r="M723" s="1114"/>
      <c r="N723" s="1114"/>
      <c r="O723" s="1114"/>
      <c r="P723" s="1114"/>
      <c r="Q723" s="1115"/>
    </row>
    <row r="724" spans="1:20" ht="25.5" customHeight="1" x14ac:dyDescent="0.25">
      <c r="A724" s="611" t="s">
        <v>880</v>
      </c>
      <c r="B724" s="612"/>
      <c r="C724" s="612"/>
      <c r="D724" s="612"/>
      <c r="E724" s="613"/>
      <c r="F724" s="450">
        <v>7206</v>
      </c>
      <c r="G724" s="1170"/>
      <c r="H724" s="1171"/>
      <c r="I724" s="1117"/>
      <c r="J724" s="1118"/>
      <c r="K724" s="1118"/>
      <c r="L724" s="1118"/>
      <c r="M724" s="1118"/>
      <c r="N724" s="1118"/>
      <c r="O724" s="1118"/>
      <c r="P724" s="1118"/>
      <c r="Q724" s="1119"/>
    </row>
    <row r="725" spans="1:20" ht="25.5" customHeight="1" x14ac:dyDescent="0.25">
      <c r="A725" s="1164" t="s">
        <v>1026</v>
      </c>
      <c r="B725" s="1165"/>
      <c r="C725" s="1165"/>
      <c r="D725" s="1165"/>
      <c r="E725" s="1166"/>
      <c r="F725" s="451">
        <v>7207</v>
      </c>
      <c r="G725" s="712"/>
      <c r="H725" s="713"/>
      <c r="I725" s="1172"/>
      <c r="J725" s="1173"/>
      <c r="K725" s="1173"/>
      <c r="L725" s="1173"/>
      <c r="M725" s="1173"/>
      <c r="N725" s="1173"/>
      <c r="O725" s="1173"/>
      <c r="P725" s="1173"/>
      <c r="Q725" s="1174"/>
    </row>
    <row r="726" spans="1:20" ht="25.5" customHeight="1" x14ac:dyDescent="0.25">
      <c r="A726" s="1137" t="s">
        <v>1027</v>
      </c>
      <c r="B726" s="1137"/>
      <c r="C726" s="1137"/>
      <c r="D726" s="1137"/>
      <c r="E726" s="1137"/>
      <c r="F726" s="1137"/>
      <c r="G726" s="1137"/>
      <c r="H726" s="1137"/>
      <c r="I726" s="1137"/>
      <c r="J726" s="1137"/>
      <c r="K726" s="1137"/>
      <c r="L726" s="1137"/>
      <c r="M726" s="1137"/>
      <c r="N726" s="1137"/>
      <c r="O726" s="1137"/>
      <c r="P726" s="1137"/>
      <c r="Q726" s="1138"/>
      <c r="S726" s="83"/>
      <c r="T726" s="83"/>
    </row>
    <row r="727" spans="1:20" ht="25.5" customHeight="1" x14ac:dyDescent="0.25">
      <c r="A727" s="1139"/>
      <c r="B727" s="696"/>
      <c r="C727" s="696"/>
      <c r="D727" s="696"/>
      <c r="E727" s="1140"/>
      <c r="F727" s="704" t="s">
        <v>1151</v>
      </c>
      <c r="G727" s="1082"/>
      <c r="H727" s="1082"/>
      <c r="I727" s="1167"/>
      <c r="J727" s="1154"/>
      <c r="K727" s="1154"/>
      <c r="L727" s="1079" t="s">
        <v>1153</v>
      </c>
      <c r="M727" s="1080"/>
      <c r="N727" s="1081"/>
      <c r="O727" s="1155"/>
      <c r="P727" s="817"/>
      <c r="Q727" s="1143"/>
      <c r="R727" s="83"/>
      <c r="S727" s="83"/>
    </row>
    <row r="728" spans="1:20" ht="25.5" customHeight="1" x14ac:dyDescent="0.25">
      <c r="A728" s="611" t="s">
        <v>1028</v>
      </c>
      <c r="B728" s="612"/>
      <c r="C728" s="612"/>
      <c r="D728" s="612"/>
      <c r="E728" s="613"/>
      <c r="F728" s="451">
        <v>6250</v>
      </c>
      <c r="G728" s="712"/>
      <c r="H728" s="713"/>
      <c r="I728" s="1113"/>
      <c r="J728" s="1114"/>
      <c r="K728" s="1114"/>
      <c r="L728" s="1114"/>
      <c r="M728" s="1114"/>
      <c r="N728" s="1114"/>
      <c r="O728" s="1114"/>
      <c r="P728" s="1114"/>
      <c r="Q728" s="1115"/>
      <c r="R728" s="83"/>
      <c r="S728" s="83"/>
    </row>
    <row r="729" spans="1:20" ht="25.5" customHeight="1" x14ac:dyDescent="0.25">
      <c r="A729" s="270"/>
      <c r="B729" s="532" t="s">
        <v>1029</v>
      </c>
      <c r="C729" s="532"/>
      <c r="D729" s="532"/>
      <c r="E729" s="532"/>
      <c r="F729" s="1130"/>
      <c r="G729" s="1131"/>
      <c r="H729" s="1131"/>
      <c r="I729" s="1131"/>
      <c r="J729" s="1131"/>
      <c r="K729" s="1132"/>
      <c r="L729" s="453">
        <v>6254</v>
      </c>
      <c r="M729" s="702"/>
      <c r="N729" s="703"/>
      <c r="O729" s="1127"/>
      <c r="P729" s="1128"/>
      <c r="Q729" s="1129"/>
      <c r="R729" s="83"/>
    </row>
    <row r="730" spans="1:20" ht="25.5" customHeight="1" x14ac:dyDescent="0.25">
      <c r="A730" s="611" t="s">
        <v>1030</v>
      </c>
      <c r="B730" s="612"/>
      <c r="C730" s="612"/>
      <c r="D730" s="612"/>
      <c r="E730" s="613"/>
      <c r="F730" s="451">
        <v>6256</v>
      </c>
      <c r="G730" s="712"/>
      <c r="H730" s="713"/>
      <c r="I730" s="1117"/>
      <c r="J730" s="1118"/>
      <c r="K730" s="1118"/>
      <c r="L730" s="1118"/>
      <c r="M730" s="1118"/>
      <c r="N730" s="1118"/>
      <c r="O730" s="1118"/>
      <c r="P730" s="1118"/>
      <c r="Q730" s="1119"/>
      <c r="R730" s="83"/>
    </row>
    <row r="731" spans="1:20" ht="25.5" customHeight="1" x14ac:dyDescent="0.25">
      <c r="A731" s="270"/>
      <c r="B731" s="532" t="s">
        <v>1031</v>
      </c>
      <c r="C731" s="532"/>
      <c r="D731" s="532"/>
      <c r="E731" s="532"/>
      <c r="F731" s="1130"/>
      <c r="G731" s="1131"/>
      <c r="H731" s="1131"/>
      <c r="I731" s="1131"/>
      <c r="J731" s="1131"/>
      <c r="K731" s="1132"/>
      <c r="L731" s="453">
        <v>6258</v>
      </c>
      <c r="M731" s="788">
        <f>Code_4505</f>
        <v>0</v>
      </c>
      <c r="N731" s="789"/>
      <c r="O731" s="1127"/>
      <c r="P731" s="1128"/>
      <c r="Q731" s="1129"/>
      <c r="R731" s="83"/>
    </row>
    <row r="732" spans="1:20" ht="25.5" customHeight="1" x14ac:dyDescent="0.25">
      <c r="A732" s="611" t="s">
        <v>1032</v>
      </c>
      <c r="B732" s="612"/>
      <c r="C732" s="612"/>
      <c r="D732" s="612"/>
      <c r="E732" s="613"/>
      <c r="F732" s="451">
        <v>6260</v>
      </c>
      <c r="G732" s="712"/>
      <c r="H732" s="713"/>
      <c r="I732" s="1117"/>
      <c r="J732" s="1118"/>
      <c r="K732" s="1118"/>
      <c r="L732" s="1118"/>
      <c r="M732" s="1118"/>
      <c r="N732" s="1118"/>
      <c r="O732" s="1118"/>
      <c r="P732" s="1118"/>
      <c r="Q732" s="1119"/>
      <c r="R732" s="83"/>
    </row>
    <row r="733" spans="1:20" ht="25.5" customHeight="1" x14ac:dyDescent="0.25">
      <c r="A733" s="270"/>
      <c r="B733" s="532" t="s">
        <v>1033</v>
      </c>
      <c r="C733" s="532"/>
      <c r="D733" s="532"/>
      <c r="E733" s="532"/>
      <c r="F733" s="1130"/>
      <c r="G733" s="1131"/>
      <c r="H733" s="1131"/>
      <c r="I733" s="1131"/>
      <c r="J733" s="1131"/>
      <c r="K733" s="1132"/>
      <c r="L733" s="453">
        <v>6264</v>
      </c>
      <c r="M733" s="702"/>
      <c r="N733" s="703"/>
      <c r="O733" s="1127"/>
      <c r="P733" s="1128"/>
      <c r="Q733" s="1129"/>
      <c r="R733" s="83"/>
    </row>
    <row r="734" spans="1:20" ht="25.5" customHeight="1" x14ac:dyDescent="0.25">
      <c r="A734" s="611" t="s">
        <v>1034</v>
      </c>
      <c r="B734" s="612"/>
      <c r="C734" s="612"/>
      <c r="D734" s="612"/>
      <c r="E734" s="613"/>
      <c r="F734" s="451">
        <v>6270</v>
      </c>
      <c r="G734" s="712"/>
      <c r="H734" s="713"/>
      <c r="I734" s="1117"/>
      <c r="J734" s="1118"/>
      <c r="K734" s="1118"/>
      <c r="L734" s="1118"/>
      <c r="M734" s="1118"/>
      <c r="N734" s="1118"/>
      <c r="O734" s="1118"/>
      <c r="P734" s="1118"/>
      <c r="Q734" s="1119"/>
      <c r="R734" s="83"/>
    </row>
    <row r="735" spans="1:20" ht="25.5" customHeight="1" x14ac:dyDescent="0.25">
      <c r="A735" s="270"/>
      <c r="B735" s="532" t="s">
        <v>1035</v>
      </c>
      <c r="C735" s="532"/>
      <c r="D735" s="532"/>
      <c r="E735" s="533"/>
      <c r="F735" s="1184"/>
      <c r="G735" s="1184"/>
      <c r="H735" s="1184"/>
      <c r="I735" s="1184"/>
      <c r="J735" s="1184"/>
      <c r="K735" s="1185"/>
      <c r="L735" s="453">
        <v>6271</v>
      </c>
      <c r="M735" s="702"/>
      <c r="N735" s="703"/>
      <c r="O735" s="733"/>
      <c r="P735" s="734"/>
      <c r="Q735" s="735"/>
    </row>
    <row r="736" spans="1:20" ht="25.5" customHeight="1" x14ac:dyDescent="0.25">
      <c r="A736" s="270"/>
      <c r="B736" s="532" t="s">
        <v>1036</v>
      </c>
      <c r="C736" s="532"/>
      <c r="D736" s="532"/>
      <c r="E736" s="533"/>
      <c r="F736" s="1184"/>
      <c r="G736" s="1184"/>
      <c r="H736" s="1184"/>
      <c r="I736" s="1184"/>
      <c r="J736" s="1184"/>
      <c r="K736" s="1185"/>
      <c r="L736" s="453">
        <v>6272</v>
      </c>
      <c r="M736" s="1188"/>
      <c r="N736" s="1189"/>
      <c r="O736" s="733"/>
      <c r="P736" s="734"/>
      <c r="Q736" s="735"/>
    </row>
    <row r="737" spans="1:18" ht="25.5" customHeight="1" x14ac:dyDescent="0.25">
      <c r="A737" s="270"/>
      <c r="B737" s="532" t="s">
        <v>1037</v>
      </c>
      <c r="C737" s="532"/>
      <c r="D737" s="532"/>
      <c r="E737" s="533"/>
      <c r="F737" s="1184"/>
      <c r="G737" s="1184"/>
      <c r="H737" s="1184"/>
      <c r="I737" s="1184"/>
      <c r="J737" s="1184"/>
      <c r="K737" s="1185"/>
      <c r="L737" s="453">
        <v>6273</v>
      </c>
      <c r="M737" s="1188"/>
      <c r="N737" s="1189"/>
      <c r="O737" s="733"/>
      <c r="P737" s="734"/>
      <c r="Q737" s="735"/>
    </row>
    <row r="738" spans="1:18" ht="25.5" customHeight="1" x14ac:dyDescent="0.25">
      <c r="A738" s="270"/>
      <c r="B738" s="532" t="s">
        <v>891</v>
      </c>
      <c r="C738" s="532"/>
      <c r="D738" s="532"/>
      <c r="E738" s="533"/>
      <c r="F738" s="1184"/>
      <c r="G738" s="1184"/>
      <c r="H738" s="1184"/>
      <c r="I738" s="1184"/>
      <c r="J738" s="1184"/>
      <c r="K738" s="1185"/>
      <c r="L738" s="453">
        <v>7208</v>
      </c>
      <c r="M738" s="1188"/>
      <c r="N738" s="1189"/>
      <c r="O738" s="733"/>
      <c r="P738" s="734"/>
      <c r="Q738" s="735"/>
    </row>
    <row r="739" spans="1:18" ht="25.5" customHeight="1" x14ac:dyDescent="0.25">
      <c r="A739" s="270"/>
      <c r="B739" s="532" t="s">
        <v>892</v>
      </c>
      <c r="C739" s="532"/>
      <c r="D739" s="532"/>
      <c r="E739" s="533"/>
      <c r="F739" s="1184"/>
      <c r="G739" s="1184"/>
      <c r="H739" s="1184"/>
      <c r="I739" s="1184"/>
      <c r="J739" s="1184"/>
      <c r="K739" s="1185"/>
      <c r="L739" s="453">
        <v>7209</v>
      </c>
      <c r="M739" s="1188"/>
      <c r="N739" s="1189"/>
      <c r="O739" s="733"/>
      <c r="P739" s="734"/>
      <c r="Q739" s="735"/>
    </row>
    <row r="740" spans="1:18" ht="25.5" customHeight="1" x14ac:dyDescent="0.25">
      <c r="A740" s="270"/>
      <c r="B740" s="1151" t="s">
        <v>893</v>
      </c>
      <c r="C740" s="1151"/>
      <c r="D740" s="1151"/>
      <c r="E740" s="1152"/>
      <c r="F740" s="1184"/>
      <c r="G740" s="1184"/>
      <c r="H740" s="1184"/>
      <c r="I740" s="1184"/>
      <c r="J740" s="1184"/>
      <c r="K740" s="1185"/>
      <c r="L740" s="453">
        <v>6275</v>
      </c>
      <c r="M740" s="1188"/>
      <c r="N740" s="1189"/>
      <c r="O740" s="733"/>
      <c r="P740" s="734"/>
      <c r="Q740" s="735"/>
    </row>
    <row r="741" spans="1:18" ht="25.5" customHeight="1" x14ac:dyDescent="0.25">
      <c r="A741" s="271"/>
      <c r="B741" s="612" t="s">
        <v>894</v>
      </c>
      <c r="C741" s="612"/>
      <c r="D741" s="612"/>
      <c r="E741" s="613"/>
      <c r="F741" s="1186"/>
      <c r="G741" s="1186"/>
      <c r="H741" s="1186"/>
      <c r="I741" s="1186"/>
      <c r="J741" s="1186"/>
      <c r="K741" s="1187"/>
      <c r="L741" s="454">
        <v>6274</v>
      </c>
      <c r="M741" s="698">
        <f>SUM(M735:N740)</f>
        <v>0</v>
      </c>
      <c r="N741" s="699"/>
      <c r="O741" s="828"/>
      <c r="P741" s="829"/>
      <c r="Q741" s="830"/>
    </row>
    <row r="742" spans="1:18" ht="25.5" customHeight="1" x14ac:dyDescent="0.25">
      <c r="A742" s="1136" t="s">
        <v>895</v>
      </c>
      <c r="B742" s="1137"/>
      <c r="C742" s="1137"/>
      <c r="D742" s="1137"/>
      <c r="E742" s="1137"/>
      <c r="F742" s="1137"/>
      <c r="G742" s="1137"/>
      <c r="H742" s="1137"/>
      <c r="I742" s="1137"/>
      <c r="J742" s="1137"/>
      <c r="K742" s="1137"/>
      <c r="L742" s="1137"/>
      <c r="M742" s="1137"/>
      <c r="N742" s="1137"/>
      <c r="O742" s="1137"/>
      <c r="P742" s="1137"/>
      <c r="Q742" s="1138"/>
      <c r="R742" s="83"/>
    </row>
    <row r="743" spans="1:18" ht="25.5" customHeight="1" x14ac:dyDescent="0.25">
      <c r="A743" s="1139"/>
      <c r="B743" s="696"/>
      <c r="C743" s="696"/>
      <c r="D743" s="696"/>
      <c r="E743" s="1140"/>
      <c r="F743" s="704" t="s">
        <v>1151</v>
      </c>
      <c r="G743" s="1082"/>
      <c r="H743" s="1082"/>
      <c r="I743" s="1167"/>
      <c r="J743" s="1154"/>
      <c r="K743" s="1168"/>
      <c r="L743" s="727"/>
      <c r="M743" s="727"/>
      <c r="N743" s="727"/>
      <c r="O743" s="817"/>
      <c r="P743" s="817"/>
      <c r="Q743" s="1143"/>
      <c r="R743" s="83"/>
    </row>
    <row r="744" spans="1:18" ht="25.5" customHeight="1" x14ac:dyDescent="0.25">
      <c r="A744" s="1169" t="s">
        <v>896</v>
      </c>
      <c r="B744" s="1169"/>
      <c r="C744" s="1169"/>
      <c r="D744" s="1169"/>
      <c r="E744" s="1169"/>
      <c r="F744" s="451">
        <v>6280</v>
      </c>
      <c r="G744" s="712"/>
      <c r="H744" s="713"/>
      <c r="I744" s="1175"/>
      <c r="J744" s="1176"/>
      <c r="K744" s="1176"/>
      <c r="L744" s="1176"/>
      <c r="M744" s="1176"/>
      <c r="N744" s="1176"/>
      <c r="O744" s="1176"/>
      <c r="P744" s="1176"/>
      <c r="Q744" s="1177"/>
      <c r="R744" s="83"/>
    </row>
    <row r="745" spans="1:18" ht="25.5" customHeight="1" x14ac:dyDescent="0.25">
      <c r="A745" s="1169" t="s">
        <v>897</v>
      </c>
      <c r="B745" s="1169"/>
      <c r="C745" s="1169"/>
      <c r="D745" s="1169"/>
      <c r="E745" s="1169"/>
      <c r="F745" s="451">
        <v>6290</v>
      </c>
      <c r="G745" s="712"/>
      <c r="H745" s="713"/>
      <c r="I745" s="1178"/>
      <c r="J745" s="1179"/>
      <c r="K745" s="1179"/>
      <c r="L745" s="1179"/>
      <c r="M745" s="1179"/>
      <c r="N745" s="1179"/>
      <c r="O745" s="1179"/>
      <c r="P745" s="1179"/>
      <c r="Q745" s="1180"/>
      <c r="R745" s="83"/>
    </row>
    <row r="746" spans="1:18" ht="25.5" customHeight="1" x14ac:dyDescent="0.25">
      <c r="A746" s="1169" t="s">
        <v>898</v>
      </c>
      <c r="B746" s="1169"/>
      <c r="C746" s="1169"/>
      <c r="D746" s="1169"/>
      <c r="E746" s="1169"/>
      <c r="F746" s="451">
        <v>6300</v>
      </c>
      <c r="G746" s="712"/>
      <c r="H746" s="713"/>
      <c r="I746" s="1178"/>
      <c r="J746" s="1179"/>
      <c r="K746" s="1179"/>
      <c r="L746" s="1179"/>
      <c r="M746" s="1179"/>
      <c r="N746" s="1179"/>
      <c r="O746" s="1179"/>
      <c r="P746" s="1179"/>
      <c r="Q746" s="1180"/>
      <c r="R746" s="83"/>
    </row>
    <row r="747" spans="1:18" ht="25.5" customHeight="1" x14ac:dyDescent="0.25">
      <c r="A747" s="1169" t="s">
        <v>899</v>
      </c>
      <c r="B747" s="1169"/>
      <c r="C747" s="1169"/>
      <c r="D747" s="1169"/>
      <c r="E747" s="1169"/>
      <c r="F747" s="451">
        <v>6310</v>
      </c>
      <c r="G747" s="712"/>
      <c r="H747" s="713"/>
      <c r="I747" s="1178"/>
      <c r="J747" s="1179"/>
      <c r="K747" s="1179"/>
      <c r="L747" s="1179"/>
      <c r="M747" s="1179"/>
      <c r="N747" s="1179"/>
      <c r="O747" s="1179"/>
      <c r="P747" s="1179"/>
      <c r="Q747" s="1180"/>
      <c r="R747" s="83"/>
    </row>
    <row r="748" spans="1:18" ht="25.5" customHeight="1" x14ac:dyDescent="0.25">
      <c r="A748" s="1169" t="s">
        <v>900</v>
      </c>
      <c r="B748" s="1169"/>
      <c r="C748" s="1169"/>
      <c r="D748" s="1169"/>
      <c r="E748" s="1169"/>
      <c r="F748" s="451">
        <v>6320</v>
      </c>
      <c r="G748" s="712"/>
      <c r="H748" s="713"/>
      <c r="I748" s="1181"/>
      <c r="J748" s="1182"/>
      <c r="K748" s="1182"/>
      <c r="L748" s="1182"/>
      <c r="M748" s="1182"/>
      <c r="N748" s="1182"/>
      <c r="O748" s="1182"/>
      <c r="P748" s="1182"/>
      <c r="Q748" s="1183"/>
      <c r="R748" s="83"/>
    </row>
    <row r="749" spans="1:18" ht="25.5" customHeight="1" x14ac:dyDescent="0.25">
      <c r="A749" s="1136" t="s">
        <v>901</v>
      </c>
      <c r="B749" s="1137"/>
      <c r="C749" s="1137"/>
      <c r="D749" s="1137"/>
      <c r="E749" s="1137"/>
      <c r="F749" s="1137"/>
      <c r="G749" s="1137"/>
      <c r="H749" s="1137"/>
      <c r="I749" s="1137"/>
      <c r="J749" s="1137"/>
      <c r="K749" s="1137"/>
      <c r="L749" s="1137"/>
      <c r="M749" s="1137"/>
      <c r="N749" s="1137"/>
      <c r="O749" s="1137"/>
      <c r="P749" s="1137"/>
      <c r="Q749" s="1137"/>
      <c r="R749" s="83"/>
    </row>
    <row r="750" spans="1:18" ht="25.5" customHeight="1" x14ac:dyDescent="0.25">
      <c r="A750" s="1139"/>
      <c r="B750" s="696"/>
      <c r="C750" s="696"/>
      <c r="D750" s="696"/>
      <c r="E750" s="1140"/>
      <c r="F750" s="704" t="s">
        <v>1151</v>
      </c>
      <c r="G750" s="1082"/>
      <c r="H750" s="1082"/>
      <c r="I750" s="1167"/>
      <c r="J750" s="1154"/>
      <c r="K750" s="1168"/>
      <c r="L750" s="727"/>
      <c r="M750" s="727"/>
      <c r="N750" s="727"/>
      <c r="O750" s="817"/>
      <c r="P750" s="817"/>
      <c r="Q750" s="817"/>
      <c r="R750" s="83"/>
    </row>
    <row r="751" spans="1:18" ht="25.5" customHeight="1" x14ac:dyDescent="0.25">
      <c r="A751" s="611" t="s">
        <v>902</v>
      </c>
      <c r="B751" s="612"/>
      <c r="C751" s="612"/>
      <c r="D751" s="612"/>
      <c r="E751" s="613"/>
      <c r="F751" s="454">
        <v>7210</v>
      </c>
      <c r="G751" s="712"/>
      <c r="H751" s="713"/>
      <c r="I751" s="1190"/>
      <c r="J751" s="1191"/>
      <c r="K751" s="1191"/>
      <c r="L751" s="1191"/>
      <c r="M751" s="1191"/>
      <c r="N751" s="1191"/>
      <c r="O751" s="1191"/>
      <c r="P751" s="1191"/>
      <c r="Q751" s="1192"/>
      <c r="R751" s="83"/>
    </row>
    <row r="752" spans="1:18" s="2" customFormat="1" ht="25.5" customHeight="1" x14ac:dyDescent="0.35">
      <c r="A752" s="15" t="e">
        <f>$A$33</f>
        <v>#N/A</v>
      </c>
      <c r="L752" s="340"/>
      <c r="P752" s="474"/>
    </row>
    <row r="753" spans="1:26" s="2" customFormat="1" ht="25.5" customHeight="1" x14ac:dyDescent="0.25">
      <c r="A753" s="674" t="s">
        <v>903</v>
      </c>
      <c r="B753" s="674"/>
      <c r="C753" s="674"/>
      <c r="D753" s="674"/>
      <c r="E753" s="674"/>
      <c r="F753" s="674"/>
      <c r="G753" s="674"/>
      <c r="H753" s="674"/>
      <c r="I753" s="674"/>
      <c r="J753" s="674"/>
      <c r="K753" s="674"/>
      <c r="L753" s="674"/>
      <c r="M753" s="674"/>
    </row>
    <row r="754" spans="1:26" s="2" customFormat="1" ht="25.5" customHeight="1" x14ac:dyDescent="0.25">
      <c r="A754" s="675" t="s">
        <v>1911</v>
      </c>
      <c r="B754" s="675"/>
      <c r="C754" s="675"/>
      <c r="D754" s="675"/>
      <c r="E754" s="675"/>
      <c r="F754" s="675"/>
      <c r="G754" s="675"/>
      <c r="H754" s="675"/>
      <c r="I754" s="675"/>
      <c r="J754" s="675"/>
      <c r="K754" s="675"/>
      <c r="L754" s="676" t="s">
        <v>3614</v>
      </c>
      <c r="M754" s="676"/>
      <c r="N754" s="689" t="str">
        <f>IF($D$5&gt;=200,"This section is REQUIRED for Pyschiatric and Specialty hospitals.","")</f>
        <v/>
      </c>
      <c r="O754" s="689"/>
      <c r="P754" s="689"/>
      <c r="Q754" s="689"/>
      <c r="R754" s="689"/>
    </row>
    <row r="755" spans="1:26" s="2" customFormat="1" ht="25.5" customHeight="1" x14ac:dyDescent="0.25">
      <c r="A755" s="677">
        <v>7594</v>
      </c>
      <c r="B755" s="679" t="s">
        <v>3617</v>
      </c>
      <c r="C755" s="680"/>
      <c r="D755" s="680"/>
      <c r="E755" s="680"/>
      <c r="F755" s="680"/>
      <c r="G755" s="680"/>
      <c r="H755" s="680"/>
      <c r="I755" s="680"/>
      <c r="J755" s="680"/>
      <c r="K755" s="680"/>
      <c r="L755" s="35" t="s">
        <v>103</v>
      </c>
      <c r="M755" s="35" t="s">
        <v>104</v>
      </c>
      <c r="N755" s="690"/>
      <c r="O755" s="690"/>
      <c r="P755" s="690"/>
      <c r="Q755" s="690"/>
      <c r="R755" s="690"/>
    </row>
    <row r="756" spans="1:26" s="2" customFormat="1" ht="25.5" customHeight="1" x14ac:dyDescent="0.25">
      <c r="A756" s="678"/>
      <c r="B756" s="680"/>
      <c r="C756" s="680"/>
      <c r="D756" s="680"/>
      <c r="E756" s="680"/>
      <c r="F756" s="680"/>
      <c r="G756" s="680"/>
      <c r="H756" s="680"/>
      <c r="I756" s="680"/>
      <c r="J756" s="680"/>
      <c r="K756" s="680"/>
      <c r="L756" s="333"/>
      <c r="M756" s="333"/>
      <c r="N756" s="596" t="str">
        <f>IF(COUNTBLANK(L756:M756)=2,"Please enter response",IF(COUNTBLANK(L756:M756)&lt;&gt;1,"Please VERIFY response",""))</f>
        <v>Please enter response</v>
      </c>
      <c r="O756" s="597"/>
      <c r="P756" s="597"/>
      <c r="Q756" s="597"/>
      <c r="R756" s="598"/>
    </row>
    <row r="757" spans="1:26" s="2" customFormat="1" ht="25.5" customHeight="1" x14ac:dyDescent="0.25">
      <c r="A757" s="45">
        <v>7595</v>
      </c>
      <c r="B757" s="671" t="s">
        <v>904</v>
      </c>
      <c r="C757" s="671"/>
      <c r="D757" s="671"/>
      <c r="E757" s="671"/>
      <c r="F757" s="671"/>
      <c r="G757" s="671"/>
      <c r="H757" s="671"/>
      <c r="I757" s="671"/>
      <c r="J757" s="671"/>
      <c r="K757" s="671"/>
      <c r="L757" s="672"/>
      <c r="M757" s="672"/>
      <c r="N757" s="601" t="str">
        <f>IF(NOT(ISBLANK(L756)), "Please click here to go to the Capital Expenditure Project Specific Tab to supply information on each project.","")</f>
        <v/>
      </c>
      <c r="O757" s="602"/>
      <c r="P757" s="602"/>
      <c r="Q757" s="602"/>
      <c r="R757" s="602"/>
    </row>
    <row r="758" spans="1:26" s="2" customFormat="1" ht="25.5" customHeight="1" x14ac:dyDescent="0.25">
      <c r="A758" s="45">
        <v>7596</v>
      </c>
      <c r="B758" s="673" t="s">
        <v>905</v>
      </c>
      <c r="C758" s="673"/>
      <c r="D758" s="673"/>
      <c r="E758" s="673"/>
      <c r="F758" s="673"/>
      <c r="G758" s="673"/>
      <c r="H758" s="673"/>
      <c r="I758" s="673"/>
      <c r="J758" s="673"/>
      <c r="K758" s="673"/>
      <c r="L758" s="681"/>
      <c r="M758" s="681"/>
      <c r="N758" s="601"/>
      <c r="O758" s="602"/>
      <c r="P758" s="602"/>
      <c r="Q758" s="602"/>
      <c r="R758" s="602"/>
    </row>
    <row r="759" spans="1:26" s="2" customFormat="1" ht="25.5" customHeight="1" x14ac:dyDescent="0.25">
      <c r="A759" s="682" t="str">
        <f>IF('Capital Expend Project Specific'!P1&lt;&gt;'2017 HAR'!L758,CONCATENATE("The total project amounts listed on the 'Capital Expend Project Specific' tab do not equal account 7596."," The amount reported in 7596 is: $ ",L758,", the total amount reported in the Project Specific Tab is: $ ",Z759),"")</f>
        <v/>
      </c>
      <c r="B759" s="683"/>
      <c r="C759" s="683"/>
      <c r="D759" s="683"/>
      <c r="E759" s="683"/>
      <c r="F759" s="683"/>
      <c r="G759" s="683"/>
      <c r="H759" s="683"/>
      <c r="I759" s="683"/>
      <c r="J759" s="683"/>
      <c r="K759" s="683"/>
      <c r="L759" s="683"/>
      <c r="M759" s="683"/>
      <c r="N759" s="602" t="str">
        <f>IF(AND(ISBLANK(Cap_Expend_Name),NOT(ISBLANK(Code_7594))),"The Capital Expenditure Contact information has NOT been provided.  Click here to go to Capital Expenditure Contact Section to fill in this information now.","")</f>
        <v/>
      </c>
      <c r="O759" s="691"/>
      <c r="P759" s="691"/>
      <c r="Q759" s="691"/>
      <c r="R759" s="691"/>
      <c r="S759" s="691"/>
      <c r="T759" s="691"/>
      <c r="U759" s="691"/>
      <c r="V759" s="691"/>
      <c r="Z759" s="288">
        <f>SUM('Capital Expend Project Specific'!E11,'Capital Expend Project Specific'!E54,'Capital Expend Project Specific'!E97,'Capital Expend Project Specific'!E140,'Capital Expend Project Specific'!E183,'Capital Expend Project Specific'!E226,'Capital Expend Project Specific'!E269,'Capital Expend Project Specific'!E312,'Capital Expend Project Specific'!E355,'Capital Expend Project Specific'!E398)</f>
        <v>0</v>
      </c>
    </row>
    <row r="760" spans="1:26" s="2" customFormat="1" ht="25.5" customHeight="1" x14ac:dyDescent="0.25">
      <c r="A760" s="674" t="s">
        <v>906</v>
      </c>
      <c r="B760" s="674"/>
      <c r="C760" s="674"/>
      <c r="D760" s="674"/>
      <c r="E760" s="674"/>
      <c r="F760" s="674"/>
      <c r="G760" s="674"/>
      <c r="H760" s="674"/>
      <c r="I760" s="674"/>
      <c r="J760" s="674"/>
      <c r="K760" s="674"/>
      <c r="L760" s="674"/>
      <c r="M760" s="674"/>
      <c r="N760" s="674"/>
      <c r="O760" s="674"/>
      <c r="P760" s="674"/>
      <c r="Q760" s="674"/>
    </row>
    <row r="761" spans="1:26" s="2" customFormat="1" ht="25.5" customHeight="1" x14ac:dyDescent="0.25">
      <c r="A761" s="674"/>
      <c r="B761" s="674"/>
      <c r="C761" s="674"/>
      <c r="D761" s="674"/>
      <c r="E761" s="674"/>
      <c r="F761" s="674"/>
      <c r="G761" s="674"/>
      <c r="H761" s="674"/>
      <c r="I761" s="674"/>
      <c r="J761" s="674"/>
      <c r="K761" s="674"/>
      <c r="L761" s="674"/>
      <c r="M761" s="674"/>
      <c r="N761" s="674"/>
      <c r="O761" s="674"/>
      <c r="P761" s="674"/>
      <c r="Q761" s="674"/>
    </row>
    <row r="762" spans="1:26" s="2" customFormat="1" ht="25.5" customHeight="1" x14ac:dyDescent="0.25">
      <c r="A762" s="675" t="s">
        <v>1912</v>
      </c>
      <c r="B762" s="675"/>
      <c r="C762" s="675"/>
      <c r="D762" s="675"/>
      <c r="E762" s="675"/>
      <c r="F762" s="675"/>
      <c r="G762" s="675"/>
      <c r="H762" s="675"/>
      <c r="I762" s="675"/>
      <c r="J762" s="675"/>
      <c r="K762" s="675"/>
      <c r="L762" s="675"/>
      <c r="M762" s="675"/>
      <c r="N762" s="675"/>
      <c r="O762" s="675"/>
      <c r="P762" s="676" t="s">
        <v>3614</v>
      </c>
      <c r="Q762" s="686"/>
      <c r="R762" s="550" t="str">
        <f>IF($D$5&gt;=200,"This section is REQUIRED for Pyschiatric and Specialty hospitals.","")</f>
        <v/>
      </c>
      <c r="S762" s="550"/>
      <c r="T762" s="550"/>
      <c r="U762" s="550"/>
      <c r="V762" s="550"/>
    </row>
    <row r="763" spans="1:26" s="2" customFormat="1" ht="25.5" customHeight="1" x14ac:dyDescent="0.25">
      <c r="A763" s="70"/>
      <c r="B763" s="70"/>
      <c r="C763" s="70"/>
      <c r="D763" s="70"/>
      <c r="E763" s="70"/>
      <c r="F763" s="70"/>
      <c r="G763" s="687" t="s">
        <v>907</v>
      </c>
      <c r="H763" s="688"/>
      <c r="I763" s="70"/>
      <c r="J763" s="684" t="s">
        <v>908</v>
      </c>
      <c r="K763" s="685"/>
      <c r="L763" s="70"/>
      <c r="M763" s="684" t="s">
        <v>909</v>
      </c>
      <c r="N763" s="684"/>
      <c r="O763" s="70"/>
      <c r="P763" s="684" t="s">
        <v>910</v>
      </c>
      <c r="Q763" s="685"/>
    </row>
    <row r="764" spans="1:26" s="2" customFormat="1" ht="25.5" customHeight="1" x14ac:dyDescent="0.25">
      <c r="A764" s="655" t="s">
        <v>911</v>
      </c>
      <c r="B764" s="666"/>
      <c r="C764" s="666"/>
      <c r="D764" s="666"/>
      <c r="E764" s="669"/>
      <c r="F764" s="440">
        <v>7597</v>
      </c>
      <c r="G764" s="586">
        <f>SUM(G765:H777)</f>
        <v>0</v>
      </c>
      <c r="H764" s="587"/>
      <c r="I764" s="440">
        <v>7620</v>
      </c>
      <c r="J764" s="586">
        <f>SUM(J765:K777)</f>
        <v>0</v>
      </c>
      <c r="K764" s="658"/>
      <c r="L764" s="440">
        <v>7643</v>
      </c>
      <c r="M764" s="586">
        <f>SUM(M765:N777)</f>
        <v>0</v>
      </c>
      <c r="N764" s="587"/>
      <c r="O764" s="440">
        <v>7666</v>
      </c>
      <c r="P764" s="586">
        <f>SUM(P765:Q777)</f>
        <v>0</v>
      </c>
      <c r="Q764" s="658"/>
      <c r="R764" s="69"/>
      <c r="S764" s="69"/>
      <c r="T764" s="69"/>
      <c r="U764" s="69"/>
    </row>
    <row r="765" spans="1:26" s="2" customFormat="1" ht="25.5" customHeight="1" x14ac:dyDescent="0.25">
      <c r="A765" s="240"/>
      <c r="B765" s="670" t="s">
        <v>912</v>
      </c>
      <c r="C765" s="670"/>
      <c r="D765" s="670"/>
      <c r="E765" s="577"/>
      <c r="F765" s="440">
        <v>7598</v>
      </c>
      <c r="G765" s="633"/>
      <c r="H765" s="634"/>
      <c r="I765" s="440">
        <v>7621</v>
      </c>
      <c r="J765" s="633"/>
      <c r="K765" s="641"/>
      <c r="L765" s="440">
        <v>7644</v>
      </c>
      <c r="M765" s="633"/>
      <c r="N765" s="634"/>
      <c r="O765" s="440">
        <v>7667</v>
      </c>
      <c r="P765" s="635">
        <f t="shared" ref="P765:P776" si="3">G765+J765+M765</f>
        <v>0</v>
      </c>
      <c r="Q765" s="593"/>
      <c r="R765" s="69"/>
      <c r="S765" s="69"/>
      <c r="T765" s="69"/>
      <c r="U765" s="69"/>
    </row>
    <row r="766" spans="1:26" s="2" customFormat="1" ht="25.5" customHeight="1" x14ac:dyDescent="0.25">
      <c r="A766" s="241"/>
      <c r="B766" s="546" t="s">
        <v>913</v>
      </c>
      <c r="C766" s="546"/>
      <c r="D766" s="546"/>
      <c r="E766" s="640"/>
      <c r="F766" s="440">
        <v>7599</v>
      </c>
      <c r="G766" s="633"/>
      <c r="H766" s="634"/>
      <c r="I766" s="440">
        <v>7622</v>
      </c>
      <c r="J766" s="633"/>
      <c r="K766" s="641"/>
      <c r="L766" s="440">
        <v>7645</v>
      </c>
      <c r="M766" s="633"/>
      <c r="N766" s="634"/>
      <c r="O766" s="440">
        <v>7668</v>
      </c>
      <c r="P766" s="635">
        <f t="shared" si="3"/>
        <v>0</v>
      </c>
      <c r="Q766" s="593"/>
      <c r="R766" s="69"/>
      <c r="S766" s="69"/>
      <c r="T766" s="69"/>
      <c r="U766" s="69"/>
    </row>
    <row r="767" spans="1:26" s="2" customFormat="1" ht="25.5" customHeight="1" x14ac:dyDescent="0.25">
      <c r="A767" s="241"/>
      <c r="B767" s="546" t="s">
        <v>914</v>
      </c>
      <c r="C767" s="546"/>
      <c r="D767" s="546"/>
      <c r="E767" s="640"/>
      <c r="F767" s="440">
        <v>7600</v>
      </c>
      <c r="G767" s="633"/>
      <c r="H767" s="634"/>
      <c r="I767" s="440">
        <v>7623</v>
      </c>
      <c r="J767" s="633"/>
      <c r="K767" s="641"/>
      <c r="L767" s="440">
        <v>7646</v>
      </c>
      <c r="M767" s="633"/>
      <c r="N767" s="634"/>
      <c r="O767" s="440">
        <v>7669</v>
      </c>
      <c r="P767" s="635">
        <f t="shared" si="3"/>
        <v>0</v>
      </c>
      <c r="Q767" s="593"/>
      <c r="R767" s="69"/>
      <c r="S767" s="69"/>
      <c r="T767" s="69"/>
      <c r="U767" s="69"/>
    </row>
    <row r="768" spans="1:26" s="2" customFormat="1" ht="25.5" customHeight="1" x14ac:dyDescent="0.25">
      <c r="A768" s="241"/>
      <c r="B768" s="546" t="s">
        <v>915</v>
      </c>
      <c r="C768" s="546"/>
      <c r="D768" s="546"/>
      <c r="E768" s="640"/>
      <c r="F768" s="440">
        <v>7601</v>
      </c>
      <c r="G768" s="633"/>
      <c r="H768" s="634"/>
      <c r="I768" s="440">
        <v>7624</v>
      </c>
      <c r="J768" s="633"/>
      <c r="K768" s="641"/>
      <c r="L768" s="440">
        <v>7647</v>
      </c>
      <c r="M768" s="633"/>
      <c r="N768" s="634"/>
      <c r="O768" s="440">
        <v>7670</v>
      </c>
      <c r="P768" s="635">
        <f t="shared" si="3"/>
        <v>0</v>
      </c>
      <c r="Q768" s="593"/>
      <c r="R768" s="69"/>
      <c r="S768" s="69"/>
      <c r="T768" s="69"/>
      <c r="U768" s="69"/>
    </row>
    <row r="769" spans="1:21" s="2" customFormat="1" ht="25.5" customHeight="1" x14ac:dyDescent="0.25">
      <c r="A769" s="241"/>
      <c r="B769" s="546" t="s">
        <v>916</v>
      </c>
      <c r="C769" s="546"/>
      <c r="D769" s="546"/>
      <c r="E769" s="640"/>
      <c r="F769" s="440">
        <v>7602</v>
      </c>
      <c r="G769" s="633"/>
      <c r="H769" s="634"/>
      <c r="I769" s="440">
        <v>7625</v>
      </c>
      <c r="J769" s="633"/>
      <c r="K769" s="641"/>
      <c r="L769" s="440">
        <v>7648</v>
      </c>
      <c r="M769" s="633"/>
      <c r="N769" s="634"/>
      <c r="O769" s="440">
        <v>7671</v>
      </c>
      <c r="P769" s="635">
        <f t="shared" si="3"/>
        <v>0</v>
      </c>
      <c r="Q769" s="593"/>
      <c r="R769" s="69"/>
      <c r="S769" s="69"/>
      <c r="T769" s="69"/>
      <c r="U769" s="69"/>
    </row>
    <row r="770" spans="1:21" s="2" customFormat="1" ht="25.5" customHeight="1" x14ac:dyDescent="0.25">
      <c r="A770" s="241"/>
      <c r="B770" s="546" t="s">
        <v>917</v>
      </c>
      <c r="C770" s="546"/>
      <c r="D770" s="546"/>
      <c r="E770" s="640"/>
      <c r="F770" s="440">
        <v>7603</v>
      </c>
      <c r="G770" s="633"/>
      <c r="H770" s="634"/>
      <c r="I770" s="440">
        <v>7626</v>
      </c>
      <c r="J770" s="633"/>
      <c r="K770" s="641"/>
      <c r="L770" s="440">
        <v>7649</v>
      </c>
      <c r="M770" s="633"/>
      <c r="N770" s="634"/>
      <c r="O770" s="440">
        <v>7672</v>
      </c>
      <c r="P770" s="635">
        <f t="shared" si="3"/>
        <v>0</v>
      </c>
      <c r="Q770" s="593"/>
      <c r="R770" s="69"/>
      <c r="S770" s="69"/>
      <c r="T770" s="69"/>
      <c r="U770" s="69"/>
    </row>
    <row r="771" spans="1:21" s="2" customFormat="1" ht="25.5" customHeight="1" x14ac:dyDescent="0.25">
      <c r="A771" s="241"/>
      <c r="B771" s="546" t="s">
        <v>918</v>
      </c>
      <c r="C771" s="546"/>
      <c r="D771" s="546"/>
      <c r="E771" s="640"/>
      <c r="F771" s="440">
        <v>7604</v>
      </c>
      <c r="G771" s="633"/>
      <c r="H771" s="634"/>
      <c r="I771" s="440">
        <v>7627</v>
      </c>
      <c r="J771" s="633"/>
      <c r="K771" s="641"/>
      <c r="L771" s="440">
        <v>7650</v>
      </c>
      <c r="M771" s="633"/>
      <c r="N771" s="634"/>
      <c r="O771" s="440">
        <v>7673</v>
      </c>
      <c r="P771" s="635">
        <f t="shared" si="3"/>
        <v>0</v>
      </c>
      <c r="Q771" s="593"/>
      <c r="R771" s="69"/>
      <c r="S771" s="69"/>
      <c r="T771" s="69"/>
      <c r="U771" s="69"/>
    </row>
    <row r="772" spans="1:21" s="2" customFormat="1" ht="25.5" customHeight="1" x14ac:dyDescent="0.25">
      <c r="A772" s="241"/>
      <c r="B772" s="546" t="s">
        <v>919</v>
      </c>
      <c r="C772" s="546"/>
      <c r="D772" s="546"/>
      <c r="E772" s="640"/>
      <c r="F772" s="440">
        <v>7605</v>
      </c>
      <c r="G772" s="633"/>
      <c r="H772" s="634"/>
      <c r="I772" s="440">
        <v>7628</v>
      </c>
      <c r="J772" s="633"/>
      <c r="K772" s="641"/>
      <c r="L772" s="440">
        <v>7651</v>
      </c>
      <c r="M772" s="633"/>
      <c r="N772" s="634"/>
      <c r="O772" s="440">
        <v>7674</v>
      </c>
      <c r="P772" s="635">
        <f t="shared" si="3"/>
        <v>0</v>
      </c>
      <c r="Q772" s="593"/>
      <c r="R772" s="69"/>
      <c r="S772" s="69"/>
      <c r="T772" s="69"/>
      <c r="U772" s="69"/>
    </row>
    <row r="773" spans="1:21" s="2" customFormat="1" ht="25.5" customHeight="1" x14ac:dyDescent="0.25">
      <c r="A773" s="241"/>
      <c r="B773" s="546" t="s">
        <v>920</v>
      </c>
      <c r="C773" s="546"/>
      <c r="D773" s="546"/>
      <c r="E773" s="640"/>
      <c r="F773" s="440">
        <v>7606</v>
      </c>
      <c r="G773" s="633"/>
      <c r="H773" s="634"/>
      <c r="I773" s="440">
        <v>7629</v>
      </c>
      <c r="J773" s="633"/>
      <c r="K773" s="641"/>
      <c r="L773" s="440">
        <v>7652</v>
      </c>
      <c r="M773" s="633"/>
      <c r="N773" s="634"/>
      <c r="O773" s="440">
        <v>7675</v>
      </c>
      <c r="P773" s="635">
        <f t="shared" si="3"/>
        <v>0</v>
      </c>
      <c r="Q773" s="593"/>
      <c r="R773" s="69"/>
      <c r="S773" s="69"/>
      <c r="T773" s="69"/>
      <c r="U773" s="69"/>
    </row>
    <row r="774" spans="1:21" s="2" customFormat="1" ht="25.5" customHeight="1" x14ac:dyDescent="0.25">
      <c r="A774" s="241"/>
      <c r="B774" s="546" t="s">
        <v>921</v>
      </c>
      <c r="C774" s="546"/>
      <c r="D774" s="546"/>
      <c r="E774" s="640"/>
      <c r="F774" s="440">
        <v>7607</v>
      </c>
      <c r="G774" s="633"/>
      <c r="H774" s="634"/>
      <c r="I774" s="440">
        <v>7630</v>
      </c>
      <c r="J774" s="633"/>
      <c r="K774" s="641"/>
      <c r="L774" s="440">
        <v>7653</v>
      </c>
      <c r="M774" s="633"/>
      <c r="N774" s="634"/>
      <c r="O774" s="440">
        <v>7676</v>
      </c>
      <c r="P774" s="635">
        <f t="shared" si="3"/>
        <v>0</v>
      </c>
      <c r="Q774" s="593"/>
      <c r="R774" s="69"/>
      <c r="S774" s="69"/>
      <c r="T774" s="69"/>
      <c r="U774" s="69"/>
    </row>
    <row r="775" spans="1:21" s="2" customFormat="1" ht="25.5" customHeight="1" x14ac:dyDescent="0.25">
      <c r="A775" s="241"/>
      <c r="B775" s="546" t="s">
        <v>922</v>
      </c>
      <c r="C775" s="546"/>
      <c r="D775" s="546"/>
      <c r="E775" s="640"/>
      <c r="F775" s="440">
        <v>7608</v>
      </c>
      <c r="G775" s="633"/>
      <c r="H775" s="634"/>
      <c r="I775" s="440">
        <v>7631</v>
      </c>
      <c r="J775" s="633"/>
      <c r="K775" s="641"/>
      <c r="L775" s="440">
        <v>7654</v>
      </c>
      <c r="M775" s="633"/>
      <c r="N775" s="634"/>
      <c r="O775" s="440">
        <v>7677</v>
      </c>
      <c r="P775" s="635">
        <f t="shared" si="3"/>
        <v>0</v>
      </c>
      <c r="Q775" s="593"/>
      <c r="R775" s="69"/>
      <c r="S775" s="69"/>
      <c r="T775" s="69"/>
      <c r="U775" s="69"/>
    </row>
    <row r="776" spans="1:21" s="2" customFormat="1" ht="25.5" customHeight="1" x14ac:dyDescent="0.25">
      <c r="A776" s="241"/>
      <c r="B776" s="546" t="s">
        <v>923</v>
      </c>
      <c r="C776" s="546"/>
      <c r="D776" s="546"/>
      <c r="E776" s="640"/>
      <c r="F776" s="440">
        <v>7609</v>
      </c>
      <c r="G776" s="633"/>
      <c r="H776" s="634"/>
      <c r="I776" s="440">
        <v>7632</v>
      </c>
      <c r="J776" s="633"/>
      <c r="K776" s="641"/>
      <c r="L776" s="440">
        <v>7655</v>
      </c>
      <c r="M776" s="633"/>
      <c r="N776" s="634"/>
      <c r="O776" s="440">
        <v>7678</v>
      </c>
      <c r="P776" s="635">
        <f t="shared" si="3"/>
        <v>0</v>
      </c>
      <c r="Q776" s="593"/>
      <c r="R776" s="69"/>
      <c r="S776" s="69"/>
      <c r="T776" s="69"/>
      <c r="U776" s="69"/>
    </row>
    <row r="777" spans="1:21" s="2" customFormat="1" ht="25.5" customHeight="1" x14ac:dyDescent="0.3">
      <c r="A777" s="242"/>
      <c r="B777" s="666" t="s">
        <v>924</v>
      </c>
      <c r="C777" s="666"/>
      <c r="D777" s="666"/>
      <c r="E777" s="668"/>
      <c r="F777" s="440">
        <v>7610</v>
      </c>
      <c r="G777" s="586">
        <f>SUM(G778:H781)</f>
        <v>0</v>
      </c>
      <c r="H777" s="587"/>
      <c r="I777" s="440">
        <v>7633</v>
      </c>
      <c r="J777" s="586">
        <f>SUM(J778:K781)</f>
        <v>0</v>
      </c>
      <c r="K777" s="658"/>
      <c r="L777" s="440">
        <v>7656</v>
      </c>
      <c r="M777" s="586">
        <f>SUM(M778:N781)</f>
        <v>0</v>
      </c>
      <c r="N777" s="587"/>
      <c r="O777" s="440">
        <v>7679</v>
      </c>
      <c r="P777" s="586">
        <f>SUM(P778:Q781)</f>
        <v>0</v>
      </c>
      <c r="Q777" s="593"/>
      <c r="R777" s="69"/>
      <c r="S777" s="69"/>
      <c r="T777" s="69"/>
      <c r="U777" s="69"/>
    </row>
    <row r="778" spans="1:21" s="2" customFormat="1" ht="25.5" customHeight="1" x14ac:dyDescent="0.25">
      <c r="A778" s="241"/>
      <c r="B778" s="71"/>
      <c r="C778" s="546" t="s">
        <v>925</v>
      </c>
      <c r="D778" s="665"/>
      <c r="E778" s="640"/>
      <c r="F778" s="440">
        <v>7611</v>
      </c>
      <c r="G778" s="633"/>
      <c r="H778" s="634"/>
      <c r="I778" s="440">
        <v>7634</v>
      </c>
      <c r="J778" s="633"/>
      <c r="K778" s="641"/>
      <c r="L778" s="440">
        <v>7657</v>
      </c>
      <c r="M778" s="633"/>
      <c r="N778" s="634"/>
      <c r="O778" s="440">
        <v>7680</v>
      </c>
      <c r="P778" s="635">
        <f>G778+J778+M778</f>
        <v>0</v>
      </c>
      <c r="Q778" s="593"/>
      <c r="R778" s="69"/>
      <c r="S778" s="69"/>
      <c r="T778" s="69"/>
      <c r="U778" s="69"/>
    </row>
    <row r="779" spans="1:21" s="2" customFormat="1" ht="25.5" customHeight="1" x14ac:dyDescent="0.25">
      <c r="A779" s="241"/>
      <c r="B779" s="71"/>
      <c r="C779" s="546" t="s">
        <v>926</v>
      </c>
      <c r="D779" s="665"/>
      <c r="E779" s="640"/>
      <c r="F779" s="440">
        <v>7612</v>
      </c>
      <c r="G779" s="633"/>
      <c r="H779" s="634"/>
      <c r="I779" s="440">
        <v>7635</v>
      </c>
      <c r="J779" s="633"/>
      <c r="K779" s="641"/>
      <c r="L779" s="440">
        <v>7658</v>
      </c>
      <c r="M779" s="633"/>
      <c r="N779" s="634"/>
      <c r="O779" s="440">
        <v>7681</v>
      </c>
      <c r="P779" s="635">
        <f>G779+J779+M779</f>
        <v>0</v>
      </c>
      <c r="Q779" s="593"/>
      <c r="R779" s="69"/>
      <c r="S779" s="69"/>
      <c r="T779" s="69"/>
      <c r="U779" s="69"/>
    </row>
    <row r="780" spans="1:21" s="2" customFormat="1" ht="25.5" customHeight="1" x14ac:dyDescent="0.25">
      <c r="A780" s="241"/>
      <c r="B780" s="71"/>
      <c r="C780" s="546" t="s">
        <v>927</v>
      </c>
      <c r="D780" s="665"/>
      <c r="E780" s="640"/>
      <c r="F780" s="440">
        <v>7613</v>
      </c>
      <c r="G780" s="633"/>
      <c r="H780" s="634"/>
      <c r="I780" s="440">
        <v>7636</v>
      </c>
      <c r="J780" s="633"/>
      <c r="K780" s="641"/>
      <c r="L780" s="440">
        <v>7659</v>
      </c>
      <c r="M780" s="633"/>
      <c r="N780" s="634"/>
      <c r="O780" s="440">
        <v>7682</v>
      </c>
      <c r="P780" s="635">
        <f>G780+J780+M780</f>
        <v>0</v>
      </c>
      <c r="Q780" s="593"/>
      <c r="R780" s="69"/>
      <c r="S780" s="69"/>
      <c r="T780" s="69"/>
      <c r="U780" s="69"/>
    </row>
    <row r="781" spans="1:21" s="2" customFormat="1" ht="25.5" customHeight="1" x14ac:dyDescent="0.25">
      <c r="A781" s="241"/>
      <c r="B781" s="71"/>
      <c r="C781" s="546" t="s">
        <v>928</v>
      </c>
      <c r="D781" s="665"/>
      <c r="E781" s="640"/>
      <c r="F781" s="440">
        <v>7614</v>
      </c>
      <c r="G781" s="633"/>
      <c r="H781" s="634"/>
      <c r="I781" s="440">
        <v>7637</v>
      </c>
      <c r="J781" s="633"/>
      <c r="K781" s="641"/>
      <c r="L781" s="440">
        <v>7660</v>
      </c>
      <c r="M781" s="633"/>
      <c r="N781" s="634"/>
      <c r="O781" s="440">
        <v>7683</v>
      </c>
      <c r="P781" s="635">
        <f>G781+J781+M781</f>
        <v>0</v>
      </c>
      <c r="Q781" s="593"/>
      <c r="R781" s="69"/>
      <c r="S781" s="69"/>
      <c r="T781" s="69"/>
      <c r="U781" s="69"/>
    </row>
    <row r="782" spans="1:21" s="2" customFormat="1" ht="25.5" customHeight="1" x14ac:dyDescent="0.25">
      <c r="A782" s="655" t="s">
        <v>929</v>
      </c>
      <c r="B782" s="666"/>
      <c r="C782" s="666"/>
      <c r="D782" s="667"/>
      <c r="E782" s="668"/>
      <c r="F782" s="440">
        <v>7615</v>
      </c>
      <c r="G782" s="586">
        <f>SUM(G783:H785)</f>
        <v>0</v>
      </c>
      <c r="H782" s="587"/>
      <c r="I782" s="440">
        <v>7638</v>
      </c>
      <c r="J782" s="586">
        <f>SUM(J783:K785)</f>
        <v>0</v>
      </c>
      <c r="K782" s="658"/>
      <c r="L782" s="440">
        <v>7661</v>
      </c>
      <c r="M782" s="586">
        <f>SUM(M783:N785)</f>
        <v>0</v>
      </c>
      <c r="N782" s="587"/>
      <c r="O782" s="440">
        <v>7684</v>
      </c>
      <c r="P782" s="586">
        <f>SUM(P783:Q785)</f>
        <v>0</v>
      </c>
      <c r="Q782" s="593"/>
      <c r="R782" s="69"/>
      <c r="S782" s="69"/>
      <c r="T782" s="69"/>
      <c r="U782" s="69"/>
    </row>
    <row r="783" spans="1:21" s="2" customFormat="1" ht="25.5" customHeight="1" x14ac:dyDescent="0.25">
      <c r="A783" s="241"/>
      <c r="B783" s="546" t="s">
        <v>930</v>
      </c>
      <c r="C783" s="546"/>
      <c r="D783" s="546"/>
      <c r="E783" s="640"/>
      <c r="F783" s="440">
        <v>7616</v>
      </c>
      <c r="G783" s="633"/>
      <c r="H783" s="634"/>
      <c r="I783" s="440">
        <v>7639</v>
      </c>
      <c r="J783" s="633"/>
      <c r="K783" s="641"/>
      <c r="L783" s="440">
        <v>7662</v>
      </c>
      <c r="M783" s="633"/>
      <c r="N783" s="634"/>
      <c r="O783" s="440">
        <v>7685</v>
      </c>
      <c r="P783" s="635">
        <f>G783+J783+M783</f>
        <v>0</v>
      </c>
      <c r="Q783" s="593"/>
      <c r="R783" s="69"/>
      <c r="S783" s="69"/>
      <c r="T783" s="69"/>
      <c r="U783" s="69"/>
    </row>
    <row r="784" spans="1:21" s="2" customFormat="1" ht="25.5" customHeight="1" x14ac:dyDescent="0.25">
      <c r="A784" s="241"/>
      <c r="B784" s="546" t="s">
        <v>931</v>
      </c>
      <c r="C784" s="546"/>
      <c r="D784" s="546"/>
      <c r="E784" s="640"/>
      <c r="F784" s="440">
        <v>7617</v>
      </c>
      <c r="G784" s="633"/>
      <c r="H784" s="634"/>
      <c r="I784" s="440">
        <v>7640</v>
      </c>
      <c r="J784" s="633"/>
      <c r="K784" s="641"/>
      <c r="L784" s="440">
        <v>7663</v>
      </c>
      <c r="M784" s="633"/>
      <c r="N784" s="634"/>
      <c r="O784" s="440">
        <v>7686</v>
      </c>
      <c r="P784" s="635">
        <f>G784+J784+M784</f>
        <v>0</v>
      </c>
      <c r="Q784" s="593"/>
      <c r="R784" s="69"/>
      <c r="S784" s="69"/>
      <c r="T784" s="69"/>
      <c r="U784" s="69"/>
    </row>
    <row r="785" spans="1:23" s="2" customFormat="1" ht="25.5" customHeight="1" x14ac:dyDescent="0.25">
      <c r="A785" s="241"/>
      <c r="B785" s="546" t="s">
        <v>932</v>
      </c>
      <c r="C785" s="546"/>
      <c r="D785" s="546"/>
      <c r="E785" s="640"/>
      <c r="F785" s="440">
        <v>7618</v>
      </c>
      <c r="G785" s="633"/>
      <c r="H785" s="634"/>
      <c r="I785" s="440">
        <v>7641</v>
      </c>
      <c r="J785" s="633"/>
      <c r="K785" s="641"/>
      <c r="L785" s="440">
        <v>7664</v>
      </c>
      <c r="M785" s="633"/>
      <c r="N785" s="634"/>
      <c r="O785" s="440">
        <v>7687</v>
      </c>
      <c r="P785" s="635">
        <f>G785+J785+M785</f>
        <v>0</v>
      </c>
      <c r="Q785" s="593"/>
      <c r="R785" s="69"/>
      <c r="S785" s="69"/>
      <c r="T785" s="69"/>
      <c r="U785" s="69"/>
    </row>
    <row r="786" spans="1:23" s="2" customFormat="1" ht="25.5" customHeight="1" x14ac:dyDescent="0.3">
      <c r="A786" s="655" t="s">
        <v>933</v>
      </c>
      <c r="B786" s="656"/>
      <c r="C786" s="656"/>
      <c r="D786" s="656"/>
      <c r="E786" s="657"/>
      <c r="F786" s="440">
        <v>7619</v>
      </c>
      <c r="G786" s="586">
        <f>SUM(G764+G782)</f>
        <v>0</v>
      </c>
      <c r="H786" s="587"/>
      <c r="I786" s="440">
        <v>7642</v>
      </c>
      <c r="J786" s="586">
        <f>SUM(J764+J782)</f>
        <v>0</v>
      </c>
      <c r="K786" s="658"/>
      <c r="L786" s="440">
        <v>7665</v>
      </c>
      <c r="M786" s="586">
        <f>SUM(M764+M782)</f>
        <v>0</v>
      </c>
      <c r="N786" s="587"/>
      <c r="O786" s="440">
        <v>7688</v>
      </c>
      <c r="P786" s="586">
        <f>P764+P782</f>
        <v>0</v>
      </c>
      <c r="Q786" s="593"/>
      <c r="R786" s="596" t="str">
        <f>IF(P786=L758,"","Please review.  This must equal "&amp;TEXT(L758,"$0,000"))</f>
        <v/>
      </c>
      <c r="S786" s="597"/>
      <c r="T786" s="597"/>
      <c r="U786" s="597"/>
      <c r="V786" s="597"/>
    </row>
    <row r="787" spans="1:23" s="2" customFormat="1" ht="25.5" customHeight="1" x14ac:dyDescent="0.25">
      <c r="A787" s="588" t="s">
        <v>934</v>
      </c>
      <c r="B787" s="589"/>
      <c r="C787" s="230"/>
      <c r="D787" s="230"/>
      <c r="E787" s="229"/>
      <c r="F787" s="594" t="s">
        <v>1653</v>
      </c>
      <c r="G787" s="595"/>
      <c r="H787" s="244"/>
      <c r="I787" s="236"/>
      <c r="J787" s="590" t="s">
        <v>1523</v>
      </c>
      <c r="K787" s="590"/>
      <c r="L787" s="243"/>
      <c r="M787" s="243"/>
      <c r="O787" s="591" t="s">
        <v>1524</v>
      </c>
      <c r="P787" s="592"/>
      <c r="Q787" s="592"/>
      <c r="R787" s="228"/>
      <c r="T787" s="231"/>
      <c r="U787" s="231"/>
      <c r="V787" s="231"/>
      <c r="W787" s="231"/>
    </row>
    <row r="788" spans="1:23" s="2" customFormat="1" ht="25.5" customHeight="1" x14ac:dyDescent="0.25">
      <c r="A788" s="659" t="s">
        <v>935</v>
      </c>
      <c r="B788" s="660"/>
      <c r="C788" s="660"/>
      <c r="D788" s="660"/>
      <c r="E788" s="660"/>
      <c r="F788" s="660"/>
      <c r="G788" s="660"/>
      <c r="H788" s="660"/>
      <c r="I788" s="660"/>
      <c r="J788" s="660"/>
      <c r="K788" s="660"/>
      <c r="L788" s="660"/>
      <c r="M788" s="661"/>
      <c r="O788" s="245"/>
      <c r="P788" s="245"/>
      <c r="Q788" s="245"/>
      <c r="R788" s="246"/>
    </row>
    <row r="789" spans="1:23" s="2" customFormat="1" ht="25.5" customHeight="1" x14ac:dyDescent="0.25">
      <c r="A789" s="662"/>
      <c r="B789" s="663"/>
      <c r="C789" s="663"/>
      <c r="D789" s="663"/>
      <c r="E789" s="663"/>
      <c r="F789" s="663"/>
      <c r="G789" s="663"/>
      <c r="H789" s="663"/>
      <c r="I789" s="663"/>
      <c r="J789" s="663"/>
      <c r="K789" s="663"/>
      <c r="L789" s="663"/>
      <c r="M789" s="664"/>
    </row>
    <row r="790" spans="1:23" s="2" customFormat="1" ht="25.5" customHeight="1" x14ac:dyDescent="0.3">
      <c r="A790" s="15" t="e">
        <f>$A$33</f>
        <v>#N/A</v>
      </c>
    </row>
    <row r="791" spans="1:23" s="2" customFormat="1" ht="25.5" customHeight="1" x14ac:dyDescent="0.25">
      <c r="A791" s="642" t="s">
        <v>936</v>
      </c>
      <c r="B791" s="643"/>
      <c r="C791" s="643"/>
      <c r="D791" s="643"/>
      <c r="E791" s="643"/>
      <c r="F791" s="643"/>
      <c r="G791" s="643"/>
      <c r="H791" s="643"/>
      <c r="I791" s="643"/>
      <c r="J791" s="643"/>
      <c r="K791" s="643"/>
      <c r="L791" s="643"/>
      <c r="M791" s="644"/>
    </row>
    <row r="792" spans="1:23" s="2" customFormat="1" ht="25.5" customHeight="1" x14ac:dyDescent="0.25">
      <c r="A792" s="645" t="s">
        <v>937</v>
      </c>
      <c r="B792" s="646"/>
      <c r="C792" s="645" t="s">
        <v>938</v>
      </c>
      <c r="D792" s="647"/>
      <c r="E792" s="647"/>
      <c r="F792" s="647"/>
      <c r="G792" s="647"/>
      <c r="H792" s="647"/>
      <c r="I792" s="647"/>
      <c r="J792" s="647"/>
      <c r="K792" s="646"/>
      <c r="L792" s="648" t="s">
        <v>939</v>
      </c>
      <c r="M792" s="649"/>
    </row>
    <row r="793" spans="1:23" s="2" customFormat="1" ht="25.5" customHeight="1" x14ac:dyDescent="0.25">
      <c r="A793" s="72" t="s">
        <v>940</v>
      </c>
      <c r="B793" s="72" t="s">
        <v>941</v>
      </c>
      <c r="C793" s="652" t="s">
        <v>760</v>
      </c>
      <c r="D793" s="653"/>
      <c r="E793" s="653"/>
      <c r="F793" s="653"/>
      <c r="G793" s="653"/>
      <c r="H793" s="653"/>
      <c r="I793" s="653"/>
      <c r="J793" s="653"/>
      <c r="K793" s="654"/>
      <c r="L793" s="650"/>
      <c r="M793" s="651"/>
    </row>
    <row r="794" spans="1:23" s="2" customFormat="1" ht="25.5" customHeight="1" x14ac:dyDescent="0.25">
      <c r="A794" s="73"/>
      <c r="B794" s="74"/>
      <c r="C794" s="637"/>
      <c r="D794" s="638"/>
      <c r="E794" s="638"/>
      <c r="F794" s="638"/>
      <c r="G794" s="638"/>
      <c r="H794" s="638"/>
      <c r="I794" s="638"/>
      <c r="J794" s="638"/>
      <c r="K794" s="639"/>
      <c r="L794" s="625"/>
      <c r="M794" s="626"/>
    </row>
    <row r="795" spans="1:23" s="2" customFormat="1" ht="25.5" customHeight="1" x14ac:dyDescent="0.25">
      <c r="A795" s="73"/>
      <c r="B795" s="74"/>
      <c r="C795" s="637"/>
      <c r="D795" s="638"/>
      <c r="E795" s="638"/>
      <c r="F795" s="638"/>
      <c r="G795" s="638"/>
      <c r="H795" s="638"/>
      <c r="I795" s="638"/>
      <c r="J795" s="638"/>
      <c r="K795" s="639"/>
      <c r="L795" s="625"/>
      <c r="M795" s="626"/>
    </row>
    <row r="796" spans="1:23" s="2" customFormat="1" ht="25.5" customHeight="1" x14ac:dyDescent="0.25">
      <c r="A796" s="73"/>
      <c r="B796" s="74"/>
      <c r="C796" s="637"/>
      <c r="D796" s="638"/>
      <c r="E796" s="638"/>
      <c r="F796" s="638"/>
      <c r="G796" s="638"/>
      <c r="H796" s="638"/>
      <c r="I796" s="638"/>
      <c r="J796" s="638"/>
      <c r="K796" s="639"/>
      <c r="L796" s="625"/>
      <c r="M796" s="626"/>
    </row>
    <row r="797" spans="1:23" s="2" customFormat="1" ht="25.5" customHeight="1" x14ac:dyDescent="0.25">
      <c r="A797" s="73"/>
      <c r="B797" s="74"/>
      <c r="C797" s="637"/>
      <c r="D797" s="638"/>
      <c r="E797" s="638"/>
      <c r="F797" s="638"/>
      <c r="G797" s="638"/>
      <c r="H797" s="638"/>
      <c r="I797" s="638"/>
      <c r="J797" s="638"/>
      <c r="K797" s="639"/>
      <c r="L797" s="625"/>
      <c r="M797" s="626"/>
    </row>
    <row r="798" spans="1:23" s="2" customFormat="1" ht="25.5" customHeight="1" x14ac:dyDescent="0.25">
      <c r="A798" s="73"/>
      <c r="B798" s="74"/>
      <c r="C798" s="637"/>
      <c r="D798" s="638"/>
      <c r="E798" s="638"/>
      <c r="F798" s="638"/>
      <c r="G798" s="638"/>
      <c r="H798" s="638"/>
      <c r="I798" s="638"/>
      <c r="J798" s="638"/>
      <c r="K798" s="639"/>
      <c r="L798" s="625"/>
      <c r="M798" s="626"/>
    </row>
    <row r="799" spans="1:23" s="2" customFormat="1" ht="25.5" customHeight="1" x14ac:dyDescent="0.25">
      <c r="A799" s="73"/>
      <c r="B799" s="74"/>
      <c r="C799" s="637"/>
      <c r="D799" s="638"/>
      <c r="E799" s="638"/>
      <c r="F799" s="638"/>
      <c r="G799" s="638"/>
      <c r="H799" s="638"/>
      <c r="I799" s="638"/>
      <c r="J799" s="638"/>
      <c r="K799" s="639"/>
      <c r="L799" s="625"/>
      <c r="M799" s="626"/>
    </row>
    <row r="800" spans="1:23" s="2" customFormat="1" ht="25.5" customHeight="1" x14ac:dyDescent="0.25">
      <c r="A800" s="73"/>
      <c r="B800" s="74"/>
      <c r="C800" s="637"/>
      <c r="D800" s="638"/>
      <c r="E800" s="638"/>
      <c r="F800" s="638"/>
      <c r="G800" s="638"/>
      <c r="H800" s="638"/>
      <c r="I800" s="638"/>
      <c r="J800" s="638"/>
      <c r="K800" s="639"/>
      <c r="L800" s="625"/>
      <c r="M800" s="626"/>
    </row>
    <row r="801" spans="1:13" s="2" customFormat="1" ht="25.5" customHeight="1" x14ac:dyDescent="0.25">
      <c r="A801" s="73"/>
      <c r="B801" s="74"/>
      <c r="C801" s="637"/>
      <c r="D801" s="638"/>
      <c r="E801" s="638"/>
      <c r="F801" s="638"/>
      <c r="G801" s="638"/>
      <c r="H801" s="638"/>
      <c r="I801" s="638"/>
      <c r="J801" s="638"/>
      <c r="K801" s="639"/>
      <c r="L801" s="625"/>
      <c r="M801" s="626"/>
    </row>
    <row r="802" spans="1:13" s="2" customFormat="1" ht="25.5" customHeight="1" x14ac:dyDescent="0.25">
      <c r="A802" s="73"/>
      <c r="B802" s="74"/>
      <c r="C802" s="637"/>
      <c r="D802" s="638"/>
      <c r="E802" s="638"/>
      <c r="F802" s="638"/>
      <c r="G802" s="638"/>
      <c r="H802" s="638"/>
      <c r="I802" s="638"/>
      <c r="J802" s="638"/>
      <c r="K802" s="639"/>
      <c r="L802" s="625"/>
      <c r="M802" s="626"/>
    </row>
    <row r="803" spans="1:13" s="2" customFormat="1" ht="25.5" customHeight="1" x14ac:dyDescent="0.25">
      <c r="A803" s="73"/>
      <c r="B803" s="74"/>
      <c r="C803" s="637"/>
      <c r="D803" s="638"/>
      <c r="E803" s="638"/>
      <c r="F803" s="638"/>
      <c r="G803" s="638"/>
      <c r="H803" s="638"/>
      <c r="I803" s="638"/>
      <c r="J803" s="638"/>
      <c r="K803" s="639"/>
      <c r="L803" s="625"/>
      <c r="M803" s="626"/>
    </row>
    <row r="804" spans="1:13" s="2" customFormat="1" ht="25.5" customHeight="1" x14ac:dyDescent="0.25">
      <c r="A804" s="73"/>
      <c r="B804" s="74"/>
      <c r="C804" s="637"/>
      <c r="D804" s="638"/>
      <c r="E804" s="638"/>
      <c r="F804" s="638"/>
      <c r="G804" s="638"/>
      <c r="H804" s="638"/>
      <c r="I804" s="638"/>
      <c r="J804" s="638"/>
      <c r="K804" s="639"/>
      <c r="L804" s="625"/>
      <c r="M804" s="626"/>
    </row>
    <row r="805" spans="1:13" s="2" customFormat="1" ht="25.5" customHeight="1" x14ac:dyDescent="0.25">
      <c r="A805" s="73"/>
      <c r="B805" s="74"/>
      <c r="C805" s="637"/>
      <c r="D805" s="638"/>
      <c r="E805" s="638"/>
      <c r="F805" s="638"/>
      <c r="G805" s="638"/>
      <c r="H805" s="638"/>
      <c r="I805" s="638"/>
      <c r="J805" s="638"/>
      <c r="K805" s="639"/>
      <c r="L805" s="625"/>
      <c r="M805" s="626"/>
    </row>
    <row r="806" spans="1:13" s="2" customFormat="1" ht="25.5" customHeight="1" x14ac:dyDescent="0.25">
      <c r="A806" s="73"/>
      <c r="B806" s="74"/>
      <c r="C806" s="637"/>
      <c r="D806" s="638"/>
      <c r="E806" s="638"/>
      <c r="F806" s="638"/>
      <c r="G806" s="638"/>
      <c r="H806" s="638"/>
      <c r="I806" s="638"/>
      <c r="J806" s="638"/>
      <c r="K806" s="639"/>
      <c r="L806" s="625"/>
      <c r="M806" s="626"/>
    </row>
    <row r="807" spans="1:13" s="2" customFormat="1" ht="25.5" customHeight="1" x14ac:dyDescent="0.25">
      <c r="A807" s="73"/>
      <c r="B807" s="74"/>
      <c r="C807" s="637"/>
      <c r="D807" s="638"/>
      <c r="E807" s="638"/>
      <c r="F807" s="638"/>
      <c r="G807" s="638"/>
      <c r="H807" s="638"/>
      <c r="I807" s="638"/>
      <c r="J807" s="638"/>
      <c r="K807" s="639"/>
      <c r="L807" s="625"/>
      <c r="M807" s="626"/>
    </row>
    <row r="808" spans="1:13" s="2" customFormat="1" ht="25.5" customHeight="1" x14ac:dyDescent="0.25">
      <c r="A808" s="73"/>
      <c r="B808" s="74"/>
      <c r="C808" s="637"/>
      <c r="D808" s="638"/>
      <c r="E808" s="638"/>
      <c r="F808" s="638"/>
      <c r="G808" s="638"/>
      <c r="H808" s="638"/>
      <c r="I808" s="638"/>
      <c r="J808" s="638"/>
      <c r="K808" s="639"/>
      <c r="L808" s="625"/>
      <c r="M808" s="626"/>
    </row>
    <row r="809" spans="1:13" s="2" customFormat="1" ht="25.5" customHeight="1" x14ac:dyDescent="0.25">
      <c r="A809" s="73"/>
      <c r="B809" s="74"/>
      <c r="C809" s="637"/>
      <c r="D809" s="638"/>
      <c r="E809" s="638"/>
      <c r="F809" s="638"/>
      <c r="G809" s="638"/>
      <c r="H809" s="638"/>
      <c r="I809" s="638"/>
      <c r="J809" s="638"/>
      <c r="K809" s="639"/>
      <c r="L809" s="625"/>
      <c r="M809" s="626"/>
    </row>
    <row r="810" spans="1:13" s="2" customFormat="1" ht="25.5" customHeight="1" x14ac:dyDescent="0.25">
      <c r="A810" s="73"/>
      <c r="B810" s="74"/>
      <c r="C810" s="637"/>
      <c r="D810" s="638"/>
      <c r="E810" s="638"/>
      <c r="F810" s="638"/>
      <c r="G810" s="638"/>
      <c r="H810" s="638"/>
      <c r="I810" s="638"/>
      <c r="J810" s="638"/>
      <c r="K810" s="639"/>
      <c r="L810" s="625"/>
      <c r="M810" s="626"/>
    </row>
    <row r="811" spans="1:13" s="2" customFormat="1" ht="25.5" customHeight="1" x14ac:dyDescent="0.25">
      <c r="A811" s="73"/>
      <c r="B811" s="74"/>
      <c r="C811" s="637"/>
      <c r="D811" s="638"/>
      <c r="E811" s="638"/>
      <c r="F811" s="638"/>
      <c r="G811" s="638"/>
      <c r="H811" s="638"/>
      <c r="I811" s="638"/>
      <c r="J811" s="638"/>
      <c r="K811" s="639"/>
      <c r="L811" s="625"/>
      <c r="M811" s="626"/>
    </row>
    <row r="812" spans="1:13" s="2" customFormat="1" ht="25.5" customHeight="1" x14ac:dyDescent="0.25">
      <c r="A812" s="73"/>
      <c r="B812" s="74"/>
      <c r="C812" s="637"/>
      <c r="D812" s="638"/>
      <c r="E812" s="638"/>
      <c r="F812" s="638"/>
      <c r="G812" s="638"/>
      <c r="H812" s="638"/>
      <c r="I812" s="638"/>
      <c r="J812" s="638"/>
      <c r="K812" s="639"/>
      <c r="L812" s="625"/>
      <c r="M812" s="626"/>
    </row>
    <row r="813" spans="1:13" s="2" customFormat="1" ht="25.5" customHeight="1" x14ac:dyDescent="0.25">
      <c r="A813" s="73"/>
      <c r="B813" s="74"/>
      <c r="C813" s="637"/>
      <c r="D813" s="638"/>
      <c r="E813" s="638"/>
      <c r="F813" s="638"/>
      <c r="G813" s="638"/>
      <c r="H813" s="638"/>
      <c r="I813" s="638"/>
      <c r="J813" s="638"/>
      <c r="K813" s="639"/>
      <c r="L813" s="625"/>
      <c r="M813" s="626"/>
    </row>
    <row r="814" spans="1:13" s="2" customFormat="1" ht="25.5" customHeight="1" x14ac:dyDescent="0.25">
      <c r="A814" s="73"/>
      <c r="B814" s="74"/>
      <c r="C814" s="637"/>
      <c r="D814" s="638"/>
      <c r="E814" s="638"/>
      <c r="F814" s="638"/>
      <c r="G814" s="638"/>
      <c r="H814" s="638"/>
      <c r="I814" s="638"/>
      <c r="J814" s="638"/>
      <c r="K814" s="639"/>
      <c r="L814" s="625"/>
      <c r="M814" s="626"/>
    </row>
    <row r="815" spans="1:13" s="2" customFormat="1" ht="25.5" customHeight="1" x14ac:dyDescent="0.25">
      <c r="A815" s="73"/>
      <c r="B815" s="74"/>
      <c r="C815" s="637"/>
      <c r="D815" s="638"/>
      <c r="E815" s="638"/>
      <c r="F815" s="638"/>
      <c r="G815" s="638"/>
      <c r="H815" s="638"/>
      <c r="I815" s="638"/>
      <c r="J815" s="638"/>
      <c r="K815" s="639"/>
      <c r="L815" s="625"/>
      <c r="M815" s="626"/>
    </row>
    <row r="816" spans="1:13" s="2" customFormat="1" ht="25.5" customHeight="1" x14ac:dyDescent="0.25">
      <c r="A816" s="73"/>
      <c r="B816" s="74"/>
      <c r="C816" s="637"/>
      <c r="D816" s="638"/>
      <c r="E816" s="638"/>
      <c r="F816" s="638"/>
      <c r="G816" s="638"/>
      <c r="H816" s="638"/>
      <c r="I816" s="638"/>
      <c r="J816" s="638"/>
      <c r="K816" s="639"/>
      <c r="L816" s="625"/>
      <c r="M816" s="626"/>
    </row>
    <row r="817" spans="1:13" s="2" customFormat="1" ht="25.5" customHeight="1" x14ac:dyDescent="0.25">
      <c r="A817" s="73"/>
      <c r="B817" s="74"/>
      <c r="C817" s="637"/>
      <c r="D817" s="638"/>
      <c r="E817" s="638"/>
      <c r="F817" s="638"/>
      <c r="G817" s="638"/>
      <c r="H817" s="638"/>
      <c r="I817" s="638"/>
      <c r="J817" s="638"/>
      <c r="K817" s="639"/>
      <c r="L817" s="625"/>
      <c r="M817" s="626"/>
    </row>
    <row r="818" spans="1:13" s="2" customFormat="1" ht="25.5" customHeight="1" x14ac:dyDescent="0.25">
      <c r="A818" s="42"/>
    </row>
  </sheetData>
  <sheetProtection algorithmName="SHA-512" hashValue="szdK/OMjeCpxSemCGidqHMHXgOXs+F02kwr2qTNKEQm0nvsSbybJ03B+n8a4uJLt3ZyJsHmqR+9x2Dtgi9FEVg==" saltValue="t7y6nanDQkIzuwbwD4hjBQ==" spinCount="100000" sheet="1" objects="1" scenarios="1"/>
  <mergeCells count="2006">
    <mergeCell ref="J193:K193"/>
    <mergeCell ref="B194:K194"/>
    <mergeCell ref="L194:M194"/>
    <mergeCell ref="B195:I195"/>
    <mergeCell ref="J195:K195"/>
    <mergeCell ref="L192:M193"/>
    <mergeCell ref="L195:M196"/>
    <mergeCell ref="B192:I192"/>
    <mergeCell ref="J192:K192"/>
    <mergeCell ref="B326:I326"/>
    <mergeCell ref="J326:K326"/>
    <mergeCell ref="B232:I232"/>
    <mergeCell ref="B240:K240"/>
    <mergeCell ref="B237:I237"/>
    <mergeCell ref="J237:K237"/>
    <mergeCell ref="O686:Q686"/>
    <mergeCell ref="A688:Q688"/>
    <mergeCell ref="B684:E684"/>
    <mergeCell ref="F684:H684"/>
    <mergeCell ref="J684:K684"/>
    <mergeCell ref="L684:Q684"/>
    <mergeCell ref="B687:E687"/>
    <mergeCell ref="M687:N687"/>
    <mergeCell ref="O687:Q687"/>
    <mergeCell ref="O685:Q685"/>
    <mergeCell ref="B686:E686"/>
    <mergeCell ref="M686:N686"/>
    <mergeCell ref="M678:N678"/>
    <mergeCell ref="O678:Q678"/>
    <mergeCell ref="B679:E679"/>
    <mergeCell ref="M679:N679"/>
    <mergeCell ref="G683:H683"/>
    <mergeCell ref="A689:E689"/>
    <mergeCell ref="F689:H689"/>
    <mergeCell ref="I689:K689"/>
    <mergeCell ref="L689:N689"/>
    <mergeCell ref="O689:Q689"/>
    <mergeCell ref="J682:K682"/>
    <mergeCell ref="L682:N683"/>
    <mergeCell ref="O682:Q682"/>
    <mergeCell ref="B683:E683"/>
    <mergeCell ref="A690:E690"/>
    <mergeCell ref="N192:R193"/>
    <mergeCell ref="N195:R196"/>
    <mergeCell ref="N214:R215"/>
    <mergeCell ref="N217:R218"/>
    <mergeCell ref="N493:R494"/>
    <mergeCell ref="N496:R497"/>
    <mergeCell ref="N490:R491"/>
    <mergeCell ref="N206:R206"/>
    <mergeCell ref="N237:R237"/>
    <mergeCell ref="N283:R283"/>
    <mergeCell ref="L223:M229"/>
    <mergeCell ref="L235:M238"/>
    <mergeCell ref="L222:M222"/>
    <mergeCell ref="L240:M240"/>
    <mergeCell ref="A264:M264"/>
    <mergeCell ref="L489:M489"/>
    <mergeCell ref="B343:I343"/>
    <mergeCell ref="G690:H690"/>
    <mergeCell ref="I690:Q690"/>
    <mergeCell ref="B685:E685"/>
    <mergeCell ref="F685:K687"/>
    <mergeCell ref="M685:N685"/>
    <mergeCell ref="N79:R79"/>
    <mergeCell ref="B151:I151"/>
    <mergeCell ref="B142:K142"/>
    <mergeCell ref="B145:K145"/>
    <mergeCell ref="B148:I148"/>
    <mergeCell ref="N78:R78"/>
    <mergeCell ref="B79:K79"/>
    <mergeCell ref="B78:K78"/>
    <mergeCell ref="N225:R225"/>
    <mergeCell ref="N189:R190"/>
    <mergeCell ref="N135:R136"/>
    <mergeCell ref="N213:R213"/>
    <mergeCell ref="B219:K219"/>
    <mergeCell ref="L219:M219"/>
    <mergeCell ref="B152:I152"/>
    <mergeCell ref="A19:C19"/>
    <mergeCell ref="D19:I19"/>
    <mergeCell ref="J21:M21"/>
    <mergeCell ref="A22:M22"/>
    <mergeCell ref="N72:R73"/>
    <mergeCell ref="N76:R76"/>
    <mergeCell ref="N70:R71"/>
    <mergeCell ref="N27:R27"/>
    <mergeCell ref="D20:I20"/>
    <mergeCell ref="A34:M34"/>
    <mergeCell ref="I135:K135"/>
    <mergeCell ref="B138:K138"/>
    <mergeCell ref="L141:M141"/>
    <mergeCell ref="A165:K165"/>
    <mergeCell ref="B193:I193"/>
    <mergeCell ref="J148:K148"/>
    <mergeCell ref="L146:M146"/>
    <mergeCell ref="A751:E751"/>
    <mergeCell ref="G751:H751"/>
    <mergeCell ref="I751:Q751"/>
    <mergeCell ref="G748:H748"/>
    <mergeCell ref="A749:Q749"/>
    <mergeCell ref="A750:E750"/>
    <mergeCell ref="F750:H750"/>
    <mergeCell ref="I750:K750"/>
    <mergeCell ref="L750:N750"/>
    <mergeCell ref="O750:Q750"/>
    <mergeCell ref="A744:E744"/>
    <mergeCell ref="G744:H744"/>
    <mergeCell ref="A745:E745"/>
    <mergeCell ref="G745:H745"/>
    <mergeCell ref="A746:E746"/>
    <mergeCell ref="G746:H746"/>
    <mergeCell ref="A747:E747"/>
    <mergeCell ref="G747:H747"/>
    <mergeCell ref="A748:E748"/>
    <mergeCell ref="A742:Q742"/>
    <mergeCell ref="A743:E743"/>
    <mergeCell ref="F743:H743"/>
    <mergeCell ref="I743:K743"/>
    <mergeCell ref="L743:N743"/>
    <mergeCell ref="O743:Q743"/>
    <mergeCell ref="I744:Q748"/>
    <mergeCell ref="B738:E738"/>
    <mergeCell ref="B739:E739"/>
    <mergeCell ref="B740:E740"/>
    <mergeCell ref="B741:E741"/>
    <mergeCell ref="M741:N741"/>
    <mergeCell ref="B735:E735"/>
    <mergeCell ref="F735:K741"/>
    <mergeCell ref="M735:N735"/>
    <mergeCell ref="M740:N740"/>
    <mergeCell ref="M739:N739"/>
    <mergeCell ref="O735:Q741"/>
    <mergeCell ref="B736:E736"/>
    <mergeCell ref="M736:N736"/>
    <mergeCell ref="B737:E737"/>
    <mergeCell ref="M737:N737"/>
    <mergeCell ref="M738:N738"/>
    <mergeCell ref="I732:Q732"/>
    <mergeCell ref="B733:E733"/>
    <mergeCell ref="F733:K733"/>
    <mergeCell ref="M733:N733"/>
    <mergeCell ref="O733:Q733"/>
    <mergeCell ref="A734:E734"/>
    <mergeCell ref="G734:H734"/>
    <mergeCell ref="I734:Q734"/>
    <mergeCell ref="A732:E732"/>
    <mergeCell ref="G732:H732"/>
    <mergeCell ref="A730:E730"/>
    <mergeCell ref="G730:H730"/>
    <mergeCell ref="I730:Q730"/>
    <mergeCell ref="B731:E731"/>
    <mergeCell ref="F731:K731"/>
    <mergeCell ref="M731:N731"/>
    <mergeCell ref="O731:Q731"/>
    <mergeCell ref="A728:E728"/>
    <mergeCell ref="G728:H728"/>
    <mergeCell ref="I728:Q728"/>
    <mergeCell ref="B729:E729"/>
    <mergeCell ref="F729:K729"/>
    <mergeCell ref="M729:N729"/>
    <mergeCell ref="O729:Q729"/>
    <mergeCell ref="A726:Q726"/>
    <mergeCell ref="A727:E727"/>
    <mergeCell ref="F727:H727"/>
    <mergeCell ref="I727:K727"/>
    <mergeCell ref="L727:N727"/>
    <mergeCell ref="O727:Q727"/>
    <mergeCell ref="I722:K722"/>
    <mergeCell ref="L722:N722"/>
    <mergeCell ref="O722:Q722"/>
    <mergeCell ref="A723:E723"/>
    <mergeCell ref="G723:H723"/>
    <mergeCell ref="A724:E724"/>
    <mergeCell ref="G724:H724"/>
    <mergeCell ref="I723:Q725"/>
    <mergeCell ref="A725:E725"/>
    <mergeCell ref="G725:H725"/>
    <mergeCell ref="B719:E719"/>
    <mergeCell ref="F719:K720"/>
    <mergeCell ref="M719:N719"/>
    <mergeCell ref="O719:Q720"/>
    <mergeCell ref="B720:E720"/>
    <mergeCell ref="M720:N720"/>
    <mergeCell ref="A721:Q721"/>
    <mergeCell ref="A722:E722"/>
    <mergeCell ref="F722:H722"/>
    <mergeCell ref="A715:E715"/>
    <mergeCell ref="G715:H715"/>
    <mergeCell ref="A716:E716"/>
    <mergeCell ref="G716:H716"/>
    <mergeCell ref="A717:E717"/>
    <mergeCell ref="G717:H717"/>
    <mergeCell ref="A718:E718"/>
    <mergeCell ref="G718:H718"/>
    <mergeCell ref="A712:Q712"/>
    <mergeCell ref="A713:Q713"/>
    <mergeCell ref="A714:E714"/>
    <mergeCell ref="F714:H714"/>
    <mergeCell ref="I714:K714"/>
    <mergeCell ref="L714:N714"/>
    <mergeCell ref="O714:Q714"/>
    <mergeCell ref="I715:Q718"/>
    <mergeCell ref="B709:E709"/>
    <mergeCell ref="F709:K710"/>
    <mergeCell ref="M709:N709"/>
    <mergeCell ref="O709:Q710"/>
    <mergeCell ref="B710:E710"/>
    <mergeCell ref="M710:N710"/>
    <mergeCell ref="A707:E707"/>
    <mergeCell ref="G707:H707"/>
    <mergeCell ref="I707:Q707"/>
    <mergeCell ref="B708:E708"/>
    <mergeCell ref="F708:H708"/>
    <mergeCell ref="J708:K708"/>
    <mergeCell ref="L708:Q708"/>
    <mergeCell ref="B705:E705"/>
    <mergeCell ref="F705:K706"/>
    <mergeCell ref="M705:N705"/>
    <mergeCell ref="O705:Q706"/>
    <mergeCell ref="B706:E706"/>
    <mergeCell ref="M706:N706"/>
    <mergeCell ref="A703:E703"/>
    <mergeCell ref="G703:H703"/>
    <mergeCell ref="I703:Q703"/>
    <mergeCell ref="B704:E704"/>
    <mergeCell ref="F704:H704"/>
    <mergeCell ref="J704:K704"/>
    <mergeCell ref="B701:E701"/>
    <mergeCell ref="F701:K702"/>
    <mergeCell ref="M701:N701"/>
    <mergeCell ref="O701:Q702"/>
    <mergeCell ref="B702:E702"/>
    <mergeCell ref="M702:N702"/>
    <mergeCell ref="L704:Q704"/>
    <mergeCell ref="A699:E699"/>
    <mergeCell ref="G699:H699"/>
    <mergeCell ref="I699:Q699"/>
    <mergeCell ref="B700:E700"/>
    <mergeCell ref="F700:H700"/>
    <mergeCell ref="J700:K700"/>
    <mergeCell ref="L700:Q700"/>
    <mergeCell ref="A692:E692"/>
    <mergeCell ref="G692:H692"/>
    <mergeCell ref="I692:Q693"/>
    <mergeCell ref="A693:E693"/>
    <mergeCell ref="G693:H693"/>
    <mergeCell ref="M696:N696"/>
    <mergeCell ref="O691:Q691"/>
    <mergeCell ref="B691:E691"/>
    <mergeCell ref="F691:K691"/>
    <mergeCell ref="B694:E694"/>
    <mergeCell ref="F694:K696"/>
    <mergeCell ref="M694:N694"/>
    <mergeCell ref="O694:Q696"/>
    <mergeCell ref="B695:E695"/>
    <mergeCell ref="M695:N695"/>
    <mergeCell ref="B696:E696"/>
    <mergeCell ref="A697:Q697"/>
    <mergeCell ref="A698:E698"/>
    <mergeCell ref="F698:H698"/>
    <mergeCell ref="I698:K698"/>
    <mergeCell ref="L698:N698"/>
    <mergeCell ref="O698:Q698"/>
    <mergeCell ref="M691:N691"/>
    <mergeCell ref="J683:K683"/>
    <mergeCell ref="O683:Q683"/>
    <mergeCell ref="A681:Q681"/>
    <mergeCell ref="B682:E682"/>
    <mergeCell ref="G682:H682"/>
    <mergeCell ref="B677:E677"/>
    <mergeCell ref="F677:H677"/>
    <mergeCell ref="J677:K677"/>
    <mergeCell ref="L677:Q677"/>
    <mergeCell ref="O679:Q679"/>
    <mergeCell ref="B680:E680"/>
    <mergeCell ref="M680:N680"/>
    <mergeCell ref="O680:Q680"/>
    <mergeCell ref="B678:E678"/>
    <mergeCell ref="F678:K680"/>
    <mergeCell ref="A674:Q674"/>
    <mergeCell ref="B675:E675"/>
    <mergeCell ref="G675:H675"/>
    <mergeCell ref="J675:K675"/>
    <mergeCell ref="L675:N676"/>
    <mergeCell ref="O675:Q675"/>
    <mergeCell ref="B676:E676"/>
    <mergeCell ref="G676:H676"/>
    <mergeCell ref="J676:K676"/>
    <mergeCell ref="O676:Q676"/>
    <mergeCell ref="A671:Q671"/>
    <mergeCell ref="A672:E672"/>
    <mergeCell ref="F672:H672"/>
    <mergeCell ref="I672:K672"/>
    <mergeCell ref="L672:N672"/>
    <mergeCell ref="O672:Q672"/>
    <mergeCell ref="F673:H673"/>
    <mergeCell ref="I673:K673"/>
    <mergeCell ref="L673:N673"/>
    <mergeCell ref="O673:Q673"/>
    <mergeCell ref="B667:E667"/>
    <mergeCell ref="F667:K669"/>
    <mergeCell ref="M667:N667"/>
    <mergeCell ref="O667:Q667"/>
    <mergeCell ref="B668:E668"/>
    <mergeCell ref="M668:N668"/>
    <mergeCell ref="O668:Q668"/>
    <mergeCell ref="B669:E669"/>
    <mergeCell ref="M669:N669"/>
    <mergeCell ref="O669:Q669"/>
    <mergeCell ref="A663:Q663"/>
    <mergeCell ref="B664:E664"/>
    <mergeCell ref="G664:H664"/>
    <mergeCell ref="J664:K664"/>
    <mergeCell ref="L664:N665"/>
    <mergeCell ref="O664:Q664"/>
    <mergeCell ref="B666:E666"/>
    <mergeCell ref="F666:H666"/>
    <mergeCell ref="J666:K666"/>
    <mergeCell ref="L666:Q666"/>
    <mergeCell ref="B660:E660"/>
    <mergeCell ref="F660:K662"/>
    <mergeCell ref="M660:N660"/>
    <mergeCell ref="O660:Q660"/>
    <mergeCell ref="B661:E661"/>
    <mergeCell ref="M661:N661"/>
    <mergeCell ref="B665:E665"/>
    <mergeCell ref="G665:H665"/>
    <mergeCell ref="J665:K665"/>
    <mergeCell ref="O665:Q665"/>
    <mergeCell ref="J658:K658"/>
    <mergeCell ref="O658:Q658"/>
    <mergeCell ref="O661:Q661"/>
    <mergeCell ref="B662:E662"/>
    <mergeCell ref="M662:N662"/>
    <mergeCell ref="O662:Q662"/>
    <mergeCell ref="F653:K655"/>
    <mergeCell ref="M653:N653"/>
    <mergeCell ref="O653:Q653"/>
    <mergeCell ref="B659:E659"/>
    <mergeCell ref="F659:H659"/>
    <mergeCell ref="J659:K659"/>
    <mergeCell ref="L659:Q659"/>
    <mergeCell ref="M655:N655"/>
    <mergeCell ref="J657:K657"/>
    <mergeCell ref="L657:N658"/>
    <mergeCell ref="O657:Q657"/>
    <mergeCell ref="B658:E658"/>
    <mergeCell ref="G658:H658"/>
    <mergeCell ref="O651:Q651"/>
    <mergeCell ref="O655:Q655"/>
    <mergeCell ref="A656:Q656"/>
    <mergeCell ref="B657:E657"/>
    <mergeCell ref="G657:H657"/>
    <mergeCell ref="B653:E653"/>
    <mergeCell ref="B654:E654"/>
    <mergeCell ref="M654:N654"/>
    <mergeCell ref="O654:Q654"/>
    <mergeCell ref="B655:E655"/>
    <mergeCell ref="O648:Q648"/>
    <mergeCell ref="A649:Q649"/>
    <mergeCell ref="B652:E652"/>
    <mergeCell ref="F652:H652"/>
    <mergeCell ref="J652:K652"/>
    <mergeCell ref="L652:Q652"/>
    <mergeCell ref="O650:Q650"/>
    <mergeCell ref="B651:E651"/>
    <mergeCell ref="G651:H651"/>
    <mergeCell ref="J651:K651"/>
    <mergeCell ref="G650:H650"/>
    <mergeCell ref="J650:K650"/>
    <mergeCell ref="L650:N651"/>
    <mergeCell ref="B650:E650"/>
    <mergeCell ref="M648:N648"/>
    <mergeCell ref="M646:N646"/>
    <mergeCell ref="O646:Q646"/>
    <mergeCell ref="B647:E647"/>
    <mergeCell ref="O647:Q647"/>
    <mergeCell ref="L645:Q645"/>
    <mergeCell ref="L641:N641"/>
    <mergeCell ref="M637:N637"/>
    <mergeCell ref="B157:I157"/>
    <mergeCell ref="A610:Q610"/>
    <mergeCell ref="F611:H611"/>
    <mergeCell ref="I611:K611"/>
    <mergeCell ref="B648:E648"/>
    <mergeCell ref="B645:E645"/>
    <mergeCell ref="F645:H645"/>
    <mergeCell ref="J645:K645"/>
    <mergeCell ref="B646:E646"/>
    <mergeCell ref="F646:K648"/>
    <mergeCell ref="N473:R474"/>
    <mergeCell ref="B469:K469"/>
    <mergeCell ref="B470:K470"/>
    <mergeCell ref="B468:K468"/>
    <mergeCell ref="A472:M472"/>
    <mergeCell ref="A473:K473"/>
    <mergeCell ref="A474:K475"/>
    <mergeCell ref="B482:K482"/>
    <mergeCell ref="B478:K478"/>
    <mergeCell ref="L477:M477"/>
    <mergeCell ref="L479:M479"/>
    <mergeCell ref="L480:M480"/>
    <mergeCell ref="I612:Q614"/>
    <mergeCell ref="L611:N611"/>
    <mergeCell ref="M597:N597"/>
    <mergeCell ref="L145:M145"/>
    <mergeCell ref="B170:K170"/>
    <mergeCell ref="B260:I260"/>
    <mergeCell ref="L147:M147"/>
    <mergeCell ref="L148:M152"/>
    <mergeCell ref="L153:M153"/>
    <mergeCell ref="L157:M158"/>
    <mergeCell ref="B150:I150"/>
    <mergeCell ref="L140:M140"/>
    <mergeCell ref="B153:K153"/>
    <mergeCell ref="B149:I149"/>
    <mergeCell ref="J150:K150"/>
    <mergeCell ref="B140:K140"/>
    <mergeCell ref="A155:K155"/>
    <mergeCell ref="L163:M163"/>
    <mergeCell ref="B162:K162"/>
    <mergeCell ref="L162:M162"/>
    <mergeCell ref="L160:M161"/>
    <mergeCell ref="B160:I160"/>
    <mergeCell ref="J160:K160"/>
    <mergeCell ref="B187:G187"/>
    <mergeCell ref="H187:I187"/>
    <mergeCell ref="B191:K191"/>
    <mergeCell ref="L191:M191"/>
    <mergeCell ref="B216:K216"/>
    <mergeCell ref="L216:M216"/>
    <mergeCell ref="B196:I196"/>
    <mergeCell ref="L197:M197"/>
    <mergeCell ref="J196:K196"/>
    <mergeCell ref="B197:K197"/>
    <mergeCell ref="B199:K199"/>
    <mergeCell ref="L199:M199"/>
    <mergeCell ref="L8:M8"/>
    <mergeCell ref="A10:C10"/>
    <mergeCell ref="D10:I10"/>
    <mergeCell ref="J10:M10"/>
    <mergeCell ref="L9:M9"/>
    <mergeCell ref="B144:K144"/>
    <mergeCell ref="J15:K15"/>
    <mergeCell ref="L15:M15"/>
    <mergeCell ref="B101:K101"/>
    <mergeCell ref="A13:C13"/>
    <mergeCell ref="A6:C6"/>
    <mergeCell ref="A1:M1"/>
    <mergeCell ref="A2:M2"/>
    <mergeCell ref="A3:M3"/>
    <mergeCell ref="A4:M4"/>
    <mergeCell ref="A5:C5"/>
    <mergeCell ref="E5:M5"/>
    <mergeCell ref="D6:E6"/>
    <mergeCell ref="F6:M6"/>
    <mergeCell ref="A7:C7"/>
    <mergeCell ref="D7:I7"/>
    <mergeCell ref="A8:C8"/>
    <mergeCell ref="D8:I8"/>
    <mergeCell ref="J8:K8"/>
    <mergeCell ref="A9:C9"/>
    <mergeCell ref="D9:I9"/>
    <mergeCell ref="J9:K9"/>
    <mergeCell ref="A35:M35"/>
    <mergeCell ref="A27:M27"/>
    <mergeCell ref="A24:B24"/>
    <mergeCell ref="A25:B25"/>
    <mergeCell ref="A28:M28"/>
    <mergeCell ref="N11:R11"/>
    <mergeCell ref="A12:C12"/>
    <mergeCell ref="D12:I12"/>
    <mergeCell ref="J12:K12"/>
    <mergeCell ref="L12:M12"/>
    <mergeCell ref="N12:R12"/>
    <mergeCell ref="A11:C11"/>
    <mergeCell ref="D11:I11"/>
    <mergeCell ref="J11:K11"/>
    <mergeCell ref="L11:M11"/>
    <mergeCell ref="D13:I13"/>
    <mergeCell ref="J13:M13"/>
    <mergeCell ref="A14:C14"/>
    <mergeCell ref="D14:I14"/>
    <mergeCell ref="J14:K14"/>
    <mergeCell ref="L14:M14"/>
    <mergeCell ref="A18:C18"/>
    <mergeCell ref="D18:I18"/>
    <mergeCell ref="J18:M18"/>
    <mergeCell ref="N15:R15"/>
    <mergeCell ref="A16:C16"/>
    <mergeCell ref="D16:I16"/>
    <mergeCell ref="J16:K16"/>
    <mergeCell ref="L16:M16"/>
    <mergeCell ref="A15:C15"/>
    <mergeCell ref="D15:I15"/>
    <mergeCell ref="A17:C17"/>
    <mergeCell ref="D17:I17"/>
    <mergeCell ref="J17:K17"/>
    <mergeCell ref="L17:M17"/>
    <mergeCell ref="A20:C20"/>
    <mergeCell ref="A23:M23"/>
    <mergeCell ref="A36:D36"/>
    <mergeCell ref="E36:H36"/>
    <mergeCell ref="J36:M36"/>
    <mergeCell ref="A37:D37"/>
    <mergeCell ref="E37:H37"/>
    <mergeCell ref="J37:M37"/>
    <mergeCell ref="A26:B26"/>
    <mergeCell ref="A38:D38"/>
    <mergeCell ref="E38:H38"/>
    <mergeCell ref="J38:M38"/>
    <mergeCell ref="A39:D39"/>
    <mergeCell ref="E39:H39"/>
    <mergeCell ref="J39:M39"/>
    <mergeCell ref="A43:M43"/>
    <mergeCell ref="A44:D44"/>
    <mergeCell ref="E44:H44"/>
    <mergeCell ref="J44:M44"/>
    <mergeCell ref="A40:D40"/>
    <mergeCell ref="E40:H40"/>
    <mergeCell ref="A41:D41"/>
    <mergeCell ref="E41:H41"/>
    <mergeCell ref="A45:D45"/>
    <mergeCell ref="E45:H45"/>
    <mergeCell ref="J45:M45"/>
    <mergeCell ref="A46:D46"/>
    <mergeCell ref="E46:H46"/>
    <mergeCell ref="J46:M46"/>
    <mergeCell ref="A47:D47"/>
    <mergeCell ref="E47:H47"/>
    <mergeCell ref="J47:M47"/>
    <mergeCell ref="A48:D48"/>
    <mergeCell ref="E48:H48"/>
    <mergeCell ref="A49:D49"/>
    <mergeCell ref="E49:H49"/>
    <mergeCell ref="A51:M51"/>
    <mergeCell ref="A52:D52"/>
    <mergeCell ref="E52:H52"/>
    <mergeCell ref="J52:M52"/>
    <mergeCell ref="N65:R65"/>
    <mergeCell ref="A68:M68"/>
    <mergeCell ref="A67:K67"/>
    <mergeCell ref="L67:M67"/>
    <mergeCell ref="A54:D54"/>
    <mergeCell ref="E54:H54"/>
    <mergeCell ref="J54:M54"/>
    <mergeCell ref="A53:D53"/>
    <mergeCell ref="E53:H53"/>
    <mergeCell ref="J53:M53"/>
    <mergeCell ref="A55:D55"/>
    <mergeCell ref="E55:H55"/>
    <mergeCell ref="J55:M55"/>
    <mergeCell ref="A59:M59"/>
    <mergeCell ref="A60:D60"/>
    <mergeCell ref="E60:H60"/>
    <mergeCell ref="J60:M60"/>
    <mergeCell ref="A56:D56"/>
    <mergeCell ref="E56:H56"/>
    <mergeCell ref="A57:D57"/>
    <mergeCell ref="E57:H57"/>
    <mergeCell ref="N59:R59"/>
    <mergeCell ref="N60:R60"/>
    <mergeCell ref="L80:M80"/>
    <mergeCell ref="L78:M78"/>
    <mergeCell ref="L79:M79"/>
    <mergeCell ref="A61:D61"/>
    <mergeCell ref="E61:H61"/>
    <mergeCell ref="J61:M61"/>
    <mergeCell ref="A62:D62"/>
    <mergeCell ref="E62:H62"/>
    <mergeCell ref="J62:M62"/>
    <mergeCell ref="A69:K69"/>
    <mergeCell ref="L69:M69"/>
    <mergeCell ref="A63:D63"/>
    <mergeCell ref="E63:H63"/>
    <mergeCell ref="J63:M63"/>
    <mergeCell ref="A64:D64"/>
    <mergeCell ref="E64:H64"/>
    <mergeCell ref="A65:D65"/>
    <mergeCell ref="E65:H65"/>
    <mergeCell ref="L88:M88"/>
    <mergeCell ref="B90:K90"/>
    <mergeCell ref="L90:M90"/>
    <mergeCell ref="N90:R90"/>
    <mergeCell ref="B91:K91"/>
    <mergeCell ref="L91:M91"/>
    <mergeCell ref="N91:R91"/>
    <mergeCell ref="L101:M101"/>
    <mergeCell ref="A95:M95"/>
    <mergeCell ref="A96:K96"/>
    <mergeCell ref="B97:K97"/>
    <mergeCell ref="L97:M97"/>
    <mergeCell ref="L96:M96"/>
    <mergeCell ref="B75:K75"/>
    <mergeCell ref="L75:M75"/>
    <mergeCell ref="B70:K70"/>
    <mergeCell ref="L70:M70"/>
    <mergeCell ref="B71:K71"/>
    <mergeCell ref="L71:M71"/>
    <mergeCell ref="B72:K72"/>
    <mergeCell ref="L72:M72"/>
    <mergeCell ref="B73:K73"/>
    <mergeCell ref="L73:M73"/>
    <mergeCell ref="B74:K74"/>
    <mergeCell ref="L74:M74"/>
    <mergeCell ref="B83:K83"/>
    <mergeCell ref="L83:M83"/>
    <mergeCell ref="B76:K76"/>
    <mergeCell ref="L76:M76"/>
    <mergeCell ref="B77:K77"/>
    <mergeCell ref="L77:M77"/>
    <mergeCell ref="B80:K80"/>
    <mergeCell ref="B111:K111"/>
    <mergeCell ref="L111:M111"/>
    <mergeCell ref="L110:M110"/>
    <mergeCell ref="B118:K118"/>
    <mergeCell ref="L118:M118"/>
    <mergeCell ref="L113:M113"/>
    <mergeCell ref="B116:K116"/>
    <mergeCell ref="L116:M116"/>
    <mergeCell ref="B117:K117"/>
    <mergeCell ref="A110:K110"/>
    <mergeCell ref="N112:R112"/>
    <mergeCell ref="A114:K114"/>
    <mergeCell ref="L114:M114"/>
    <mergeCell ref="N80:R80"/>
    <mergeCell ref="B81:K81"/>
    <mergeCell ref="L81:M81"/>
    <mergeCell ref="B82:K82"/>
    <mergeCell ref="L82:M82"/>
    <mergeCell ref="B89:K89"/>
    <mergeCell ref="L89:M89"/>
    <mergeCell ref="B84:K84"/>
    <mergeCell ref="L84:M84"/>
    <mergeCell ref="B85:K85"/>
    <mergeCell ref="N100:R100"/>
    <mergeCell ref="N108:R108"/>
    <mergeCell ref="B106:K106"/>
    <mergeCell ref="L85:M85"/>
    <mergeCell ref="A86:K86"/>
    <mergeCell ref="L86:M86"/>
    <mergeCell ref="B87:K87"/>
    <mergeCell ref="L87:M87"/>
    <mergeCell ref="B88:K88"/>
    <mergeCell ref="L115:M115"/>
    <mergeCell ref="B124:K124"/>
    <mergeCell ref="L124:M124"/>
    <mergeCell ref="N120:R120"/>
    <mergeCell ref="B126:K126"/>
    <mergeCell ref="L126:M126"/>
    <mergeCell ref="B125:K125"/>
    <mergeCell ref="B119:K119"/>
    <mergeCell ref="L119:M119"/>
    <mergeCell ref="B120:K120"/>
    <mergeCell ref="L120:M120"/>
    <mergeCell ref="L125:M125"/>
    <mergeCell ref="N126:R126"/>
    <mergeCell ref="L139:M139"/>
    <mergeCell ref="A102:K102"/>
    <mergeCell ref="L102:M102"/>
    <mergeCell ref="B103:K103"/>
    <mergeCell ref="L103:M103"/>
    <mergeCell ref="B108:K108"/>
    <mergeCell ref="L108:M108"/>
    <mergeCell ref="B109:K109"/>
    <mergeCell ref="L109:M109"/>
    <mergeCell ref="N104:R105"/>
    <mergeCell ref="B105:I105"/>
    <mergeCell ref="J105:K105"/>
    <mergeCell ref="N107:R107"/>
    <mergeCell ref="B104:I104"/>
    <mergeCell ref="J104:K104"/>
    <mergeCell ref="L104:M105"/>
    <mergeCell ref="L106:M106"/>
    <mergeCell ref="B107:K107"/>
    <mergeCell ref="L107:M107"/>
    <mergeCell ref="N129:R130"/>
    <mergeCell ref="B130:K130"/>
    <mergeCell ref="L130:M130"/>
    <mergeCell ref="A127:K127"/>
    <mergeCell ref="L127:M127"/>
    <mergeCell ref="B128:K128"/>
    <mergeCell ref="L128:M128"/>
    <mergeCell ref="L155:M155"/>
    <mergeCell ref="B100:K100"/>
    <mergeCell ref="L100:M100"/>
    <mergeCell ref="L138:M138"/>
    <mergeCell ref="B131:K131"/>
    <mergeCell ref="L131:M131"/>
    <mergeCell ref="B132:K132"/>
    <mergeCell ref="L132:M132"/>
    <mergeCell ref="B129:K129"/>
    <mergeCell ref="L117:M117"/>
    <mergeCell ref="L112:M112"/>
    <mergeCell ref="L134:M134"/>
    <mergeCell ref="A134:K134"/>
    <mergeCell ref="L129:M129"/>
    <mergeCell ref="B123:K123"/>
    <mergeCell ref="L123:M123"/>
    <mergeCell ref="N113:R113"/>
    <mergeCell ref="B115:K115"/>
    <mergeCell ref="B112:K112"/>
    <mergeCell ref="B113:K113"/>
    <mergeCell ref="N125:R125"/>
    <mergeCell ref="B121:K121"/>
    <mergeCell ref="L121:M121"/>
    <mergeCell ref="A122:K122"/>
    <mergeCell ref="L122:M122"/>
    <mergeCell ref="M647:N647"/>
    <mergeCell ref="N160:R161"/>
    <mergeCell ref="L165:M165"/>
    <mergeCell ref="L170:M170"/>
    <mergeCell ref="N475:R475"/>
    <mergeCell ref="A172:M172"/>
    <mergeCell ref="J151:K151"/>
    <mergeCell ref="J152:K152"/>
    <mergeCell ref="J149:K149"/>
    <mergeCell ref="A135:H136"/>
    <mergeCell ref="I136:K136"/>
    <mergeCell ref="B139:K139"/>
    <mergeCell ref="B143:K143"/>
    <mergeCell ref="B146:K146"/>
    <mergeCell ref="B147:K147"/>
    <mergeCell ref="B141:K141"/>
    <mergeCell ref="N157:R158"/>
    <mergeCell ref="B158:I158"/>
    <mergeCell ref="J158:K158"/>
    <mergeCell ref="L156:M156"/>
    <mergeCell ref="J157:K157"/>
    <mergeCell ref="B161:I161"/>
    <mergeCell ref="J161:K161"/>
    <mergeCell ref="B156:K156"/>
    <mergeCell ref="B159:K159"/>
    <mergeCell ref="L159:M159"/>
    <mergeCell ref="N163:R163"/>
    <mergeCell ref="B163:K163"/>
    <mergeCell ref="L142:M142"/>
    <mergeCell ref="L143:M143"/>
    <mergeCell ref="L144:M144"/>
    <mergeCell ref="B481:K481"/>
    <mergeCell ref="B188:I188"/>
    <mergeCell ref="J188:K188"/>
    <mergeCell ref="B189:G189"/>
    <mergeCell ref="H189:I189"/>
    <mergeCell ref="N162:R162"/>
    <mergeCell ref="B166:K166"/>
    <mergeCell ref="L166:M166"/>
    <mergeCell ref="N166:R166"/>
    <mergeCell ref="B169:K169"/>
    <mergeCell ref="L169:M169"/>
    <mergeCell ref="B167:K167"/>
    <mergeCell ref="L167:M167"/>
    <mergeCell ref="B168:K168"/>
    <mergeCell ref="L168:M168"/>
    <mergeCell ref="N168:R168"/>
    <mergeCell ref="A173:K173"/>
    <mergeCell ref="L173:M173"/>
    <mergeCell ref="N174:R174"/>
    <mergeCell ref="B175:I175"/>
    <mergeCell ref="J175:K175"/>
    <mergeCell ref="L175:M176"/>
    <mergeCell ref="N175:R175"/>
    <mergeCell ref="B176:I176"/>
    <mergeCell ref="J176:K176"/>
    <mergeCell ref="B174:K174"/>
    <mergeCell ref="L174:M174"/>
    <mergeCell ref="J201:K201"/>
    <mergeCell ref="B209:G209"/>
    <mergeCell ref="H211:I211"/>
    <mergeCell ref="B207:I207"/>
    <mergeCell ref="J214:K214"/>
    <mergeCell ref="B210:I210"/>
    <mergeCell ref="J210:K210"/>
    <mergeCell ref="N177:R177"/>
    <mergeCell ref="B178:I178"/>
    <mergeCell ref="J178:K178"/>
    <mergeCell ref="L178:M179"/>
    <mergeCell ref="N178:R178"/>
    <mergeCell ref="B179:I179"/>
    <mergeCell ref="J179:K179"/>
    <mergeCell ref="A183:K183"/>
    <mergeCell ref="L183:M183"/>
    <mergeCell ref="B177:K177"/>
    <mergeCell ref="L177:M177"/>
    <mergeCell ref="B180:K180"/>
    <mergeCell ref="L180:M180"/>
    <mergeCell ref="N180:R180"/>
    <mergeCell ref="A182:M182"/>
    <mergeCell ref="N184:R184"/>
    <mergeCell ref="B186:G186"/>
    <mergeCell ref="H186:I186"/>
    <mergeCell ref="B184:K184"/>
    <mergeCell ref="L184:M184"/>
    <mergeCell ref="B185:I185"/>
    <mergeCell ref="J185:K185"/>
    <mergeCell ref="L185:M190"/>
    <mergeCell ref="B190:G190"/>
    <mergeCell ref="H190:I190"/>
    <mergeCell ref="N219:R219"/>
    <mergeCell ref="L234:M234"/>
    <mergeCell ref="L220:M220"/>
    <mergeCell ref="N220:R220"/>
    <mergeCell ref="J224:K224"/>
    <mergeCell ref="B221:I221"/>
    <mergeCell ref="J221:K221"/>
    <mergeCell ref="B228:I228"/>
    <mergeCell ref="L206:M206"/>
    <mergeCell ref="B202:I202"/>
    <mergeCell ref="J202:K202"/>
    <mergeCell ref="B198:K198"/>
    <mergeCell ref="L198:M198"/>
    <mergeCell ref="B200:K200"/>
    <mergeCell ref="L200:M200"/>
    <mergeCell ref="A204:M204"/>
    <mergeCell ref="A205:K205"/>
    <mergeCell ref="L205:M205"/>
    <mergeCell ref="L201:M202"/>
    <mergeCell ref="N207:R207"/>
    <mergeCell ref="B208:G208"/>
    <mergeCell ref="H208:I208"/>
    <mergeCell ref="B206:K206"/>
    <mergeCell ref="H209:I209"/>
    <mergeCell ref="L214:M215"/>
    <mergeCell ref="B214:I214"/>
    <mergeCell ref="B215:I215"/>
    <mergeCell ref="B213:K213"/>
    <mergeCell ref="L213:M213"/>
    <mergeCell ref="N205:R205"/>
    <mergeCell ref="L207:M212"/>
    <mergeCell ref="B201:I201"/>
    <mergeCell ref="J261:K261"/>
    <mergeCell ref="A263:M263"/>
    <mergeCell ref="N259:R259"/>
    <mergeCell ref="B259:K259"/>
    <mergeCell ref="J260:K260"/>
    <mergeCell ref="A265:K265"/>
    <mergeCell ref="L239:M239"/>
    <mergeCell ref="A239:K239"/>
    <mergeCell ref="L265:M265"/>
    <mergeCell ref="A258:K258"/>
    <mergeCell ref="L258:M258"/>
    <mergeCell ref="L260:M261"/>
    <mergeCell ref="B261:I261"/>
    <mergeCell ref="L259:M259"/>
    <mergeCell ref="B218:I218"/>
    <mergeCell ref="N210:R210"/>
    <mergeCell ref="B211:G211"/>
    <mergeCell ref="N216:R216"/>
    <mergeCell ref="B212:G212"/>
    <mergeCell ref="H212:I212"/>
    <mergeCell ref="B224:I224"/>
    <mergeCell ref="J238:K238"/>
    <mergeCell ref="J215:K215"/>
    <mergeCell ref="B222:K222"/>
    <mergeCell ref="B234:K234"/>
    <mergeCell ref="B233:K233"/>
    <mergeCell ref="B229:I229"/>
    <mergeCell ref="B235:I235"/>
    <mergeCell ref="J217:K217"/>
    <mergeCell ref="N238:R238"/>
    <mergeCell ref="N230:R230"/>
    <mergeCell ref="N231:R231"/>
    <mergeCell ref="L233:M233"/>
    <mergeCell ref="L249:M249"/>
    <mergeCell ref="B250:K250"/>
    <mergeCell ref="L250:M250"/>
    <mergeCell ref="B254:K254"/>
    <mergeCell ref="L254:M254"/>
    <mergeCell ref="B251:K251"/>
    <mergeCell ref="L251:M251"/>
    <mergeCell ref="B252:K252"/>
    <mergeCell ref="L252:M252"/>
    <mergeCell ref="B253:K253"/>
    <mergeCell ref="L253:M253"/>
    <mergeCell ref="B255:K255"/>
    <mergeCell ref="L255:M255"/>
    <mergeCell ref="J232:K232"/>
    <mergeCell ref="N255:R255"/>
    <mergeCell ref="A257:M257"/>
    <mergeCell ref="N232:R232"/>
    <mergeCell ref="A608:Q608"/>
    <mergeCell ref="P609:Q609"/>
    <mergeCell ref="J235:K235"/>
    <mergeCell ref="B236:I236"/>
    <mergeCell ref="J236:K236"/>
    <mergeCell ref="B225:G225"/>
    <mergeCell ref="H225:I225"/>
    <mergeCell ref="B226:G226"/>
    <mergeCell ref="B227:I227"/>
    <mergeCell ref="J227:K227"/>
    <mergeCell ref="J228:K228"/>
    <mergeCell ref="H226:I226"/>
    <mergeCell ref="B241:K241"/>
    <mergeCell ref="L241:M241"/>
    <mergeCell ref="B244:K244"/>
    <mergeCell ref="L244:M244"/>
    <mergeCell ref="A243:K243"/>
    <mergeCell ref="L243:M243"/>
    <mergeCell ref="B246:K246"/>
    <mergeCell ref="L246:M246"/>
    <mergeCell ref="B247:K247"/>
    <mergeCell ref="L247:M247"/>
    <mergeCell ref="B245:K245"/>
    <mergeCell ref="L245:M245"/>
    <mergeCell ref="B248:K248"/>
    <mergeCell ref="L248:M248"/>
    <mergeCell ref="B249:K249"/>
    <mergeCell ref="B238:I238"/>
    <mergeCell ref="B464:K464"/>
    <mergeCell ref="J229:K229"/>
    <mergeCell ref="N234:R234"/>
    <mergeCell ref="L496:M497"/>
    <mergeCell ref="B269:K269"/>
    <mergeCell ref="L269:M269"/>
    <mergeCell ref="B266:K266"/>
    <mergeCell ref="L266:M266"/>
    <mergeCell ref="B267:K267"/>
    <mergeCell ref="L267:M267"/>
    <mergeCell ref="B268:K268"/>
    <mergeCell ref="L268:M268"/>
    <mergeCell ref="B274:K274"/>
    <mergeCell ref="L274:M274"/>
    <mergeCell ref="B272:K272"/>
    <mergeCell ref="L272:M272"/>
    <mergeCell ref="B273:K273"/>
    <mergeCell ref="L273:M273"/>
    <mergeCell ref="B270:K270"/>
    <mergeCell ref="L270:M270"/>
    <mergeCell ref="B271:K271"/>
    <mergeCell ref="L271:M271"/>
    <mergeCell ref="A276:M276"/>
    <mergeCell ref="L799:M799"/>
    <mergeCell ref="L798:M798"/>
    <mergeCell ref="L797:M797"/>
    <mergeCell ref="L796:M796"/>
    <mergeCell ref="L795:M795"/>
    <mergeCell ref="L484:M484"/>
    <mergeCell ref="L292:M292"/>
    <mergeCell ref="B289:G290"/>
    <mergeCell ref="H289:H290"/>
    <mergeCell ref="I289:J290"/>
    <mergeCell ref="B293:G293"/>
    <mergeCell ref="I293:J293"/>
    <mergeCell ref="L293:M293"/>
    <mergeCell ref="B294:G294"/>
    <mergeCell ref="I294:J294"/>
    <mergeCell ref="L294:M294"/>
    <mergeCell ref="B295:G295"/>
    <mergeCell ref="I295:J295"/>
    <mergeCell ref="L295:M295"/>
    <mergeCell ref="B296:G296"/>
    <mergeCell ref="I296:J296"/>
    <mergeCell ref="L296:M296"/>
    <mergeCell ref="B297:G297"/>
    <mergeCell ref="I297:J297"/>
    <mergeCell ref="L297:M297"/>
    <mergeCell ref="B298:G298"/>
    <mergeCell ref="I298:J298"/>
    <mergeCell ref="L298:M298"/>
    <mergeCell ref="A300:M300"/>
    <mergeCell ref="A301:K301"/>
    <mergeCell ref="L301:M301"/>
    <mergeCell ref="A277:K277"/>
    <mergeCell ref="L277:M277"/>
    <mergeCell ref="B278:K278"/>
    <mergeCell ref="L278:M278"/>
    <mergeCell ref="B282:K282"/>
    <mergeCell ref="L282:M282"/>
    <mergeCell ref="L283:M283"/>
    <mergeCell ref="B288:G288"/>
    <mergeCell ref="I288:J288"/>
    <mergeCell ref="K288:M290"/>
    <mergeCell ref="A289:A290"/>
    <mergeCell ref="A285:M285"/>
    <mergeCell ref="A286:K286"/>
    <mergeCell ref="L286:M286"/>
    <mergeCell ref="H287:J287"/>
    <mergeCell ref="K287:M287"/>
    <mergeCell ref="N288:R298"/>
    <mergeCell ref="B291:G291"/>
    <mergeCell ref="I291:J291"/>
    <mergeCell ref="L291:M291"/>
    <mergeCell ref="B292:G292"/>
    <mergeCell ref="I292:J292"/>
    <mergeCell ref="N278:R278"/>
    <mergeCell ref="N279:R281"/>
    <mergeCell ref="A280:M280"/>
    <mergeCell ref="A281:K281"/>
    <mergeCell ref="L281:M281"/>
    <mergeCell ref="N282:R282"/>
    <mergeCell ref="B283:K283"/>
    <mergeCell ref="B466:K466"/>
    <mergeCell ref="B465:K465"/>
    <mergeCell ref="L482:M482"/>
    <mergeCell ref="L483:M483"/>
    <mergeCell ref="J343:K343"/>
    <mergeCell ref="L340:M343"/>
    <mergeCell ref="A313:M315"/>
    <mergeCell ref="A316:K316"/>
    <mergeCell ref="L316:M316"/>
    <mergeCell ref="B317:I317"/>
    <mergeCell ref="J317:K317"/>
    <mergeCell ref="L317:M318"/>
    <mergeCell ref="B325:I325"/>
    <mergeCell ref="J325:K325"/>
    <mergeCell ref="L323:M326"/>
    <mergeCell ref="B368:K368"/>
    <mergeCell ref="L368:M368"/>
    <mergeCell ref="A380:D380"/>
    <mergeCell ref="F380:G380"/>
    <mergeCell ref="I380:J380"/>
    <mergeCell ref="L380:M380"/>
    <mergeCell ref="A379:D379"/>
    <mergeCell ref="F379:G379"/>
    <mergeCell ref="I379:J379"/>
    <mergeCell ref="L379:M379"/>
    <mergeCell ref="A382:D382"/>
    <mergeCell ref="F382:G382"/>
    <mergeCell ref="I382:J382"/>
    <mergeCell ref="L382:M382"/>
    <mergeCell ref="A381:D381"/>
    <mergeCell ref="F381:G381"/>
    <mergeCell ref="I381:J381"/>
    <mergeCell ref="N317:R319"/>
    <mergeCell ref="B318:I318"/>
    <mergeCell ref="J318:K318"/>
    <mergeCell ref="B319:K319"/>
    <mergeCell ref="L319:M319"/>
    <mergeCell ref="B320:I320"/>
    <mergeCell ref="J320:K320"/>
    <mergeCell ref="L320:M321"/>
    <mergeCell ref="N301:R302"/>
    <mergeCell ref="A302:G302"/>
    <mergeCell ref="H302:J302"/>
    <mergeCell ref="K302:M302"/>
    <mergeCell ref="B304:G304"/>
    <mergeCell ref="I304:J304"/>
    <mergeCell ref="L304:M304"/>
    <mergeCell ref="N304:R304"/>
    <mergeCell ref="B303:G303"/>
    <mergeCell ref="I303:J303"/>
    <mergeCell ref="L303:M303"/>
    <mergeCell ref="N303:R303"/>
    <mergeCell ref="N309:R309"/>
    <mergeCell ref="A311:M311"/>
    <mergeCell ref="B305:G305"/>
    <mergeCell ref="I305:J305"/>
    <mergeCell ref="L305:M305"/>
    <mergeCell ref="B306:G306"/>
    <mergeCell ref="I306:J306"/>
    <mergeCell ref="L306:M306"/>
    <mergeCell ref="B307:K307"/>
    <mergeCell ref="L307:M307"/>
    <mergeCell ref="A308:A309"/>
    <mergeCell ref="B308:K309"/>
    <mergeCell ref="N327:R327"/>
    <mergeCell ref="A329:M329"/>
    <mergeCell ref="J321:K321"/>
    <mergeCell ref="B322:K322"/>
    <mergeCell ref="L322:M322"/>
    <mergeCell ref="B323:I323"/>
    <mergeCell ref="J323:K323"/>
    <mergeCell ref="B324:I324"/>
    <mergeCell ref="J324:K324"/>
    <mergeCell ref="B327:K327"/>
    <mergeCell ref="L327:M327"/>
    <mergeCell ref="N337:R343"/>
    <mergeCell ref="B338:I338"/>
    <mergeCell ref="A331:M332"/>
    <mergeCell ref="A333:K333"/>
    <mergeCell ref="L333:M333"/>
    <mergeCell ref="B334:I334"/>
    <mergeCell ref="J334:K334"/>
    <mergeCell ref="L334:M335"/>
    <mergeCell ref="B342:I342"/>
    <mergeCell ref="N334:R336"/>
    <mergeCell ref="B335:I335"/>
    <mergeCell ref="J335:K335"/>
    <mergeCell ref="B336:K336"/>
    <mergeCell ref="L336:M336"/>
    <mergeCell ref="B337:I337"/>
    <mergeCell ref="J337:K337"/>
    <mergeCell ref="L337:M338"/>
    <mergeCell ref="N320:R326"/>
    <mergeCell ref="B321:I321"/>
    <mergeCell ref="N344:R344"/>
    <mergeCell ref="A346:M346"/>
    <mergeCell ref="J338:K338"/>
    <mergeCell ref="B339:K339"/>
    <mergeCell ref="L339:M339"/>
    <mergeCell ref="B340:I340"/>
    <mergeCell ref="J340:K340"/>
    <mergeCell ref="B341:I341"/>
    <mergeCell ref="J341:K341"/>
    <mergeCell ref="J342:K342"/>
    <mergeCell ref="B353:I353"/>
    <mergeCell ref="J353:K353"/>
    <mergeCell ref="B344:K344"/>
    <mergeCell ref="L344:M344"/>
    <mergeCell ref="J356:K356"/>
    <mergeCell ref="N356:R356"/>
    <mergeCell ref="A348:M349"/>
    <mergeCell ref="A350:K350"/>
    <mergeCell ref="L350:M350"/>
    <mergeCell ref="B351:K351"/>
    <mergeCell ref="L351:M351"/>
    <mergeCell ref="B352:I352"/>
    <mergeCell ref="J352:K352"/>
    <mergeCell ref="L352:M353"/>
    <mergeCell ref="N358:R358"/>
    <mergeCell ref="A360:M360"/>
    <mergeCell ref="B354:K354"/>
    <mergeCell ref="L354:M354"/>
    <mergeCell ref="N354:R354"/>
    <mergeCell ref="B355:I355"/>
    <mergeCell ref="J355:K355"/>
    <mergeCell ref="N355:R355"/>
    <mergeCell ref="B356:I356"/>
    <mergeCell ref="N357:R357"/>
    <mergeCell ref="B357:I357"/>
    <mergeCell ref="J357:K357"/>
    <mergeCell ref="L355:M357"/>
    <mergeCell ref="B358:K358"/>
    <mergeCell ref="L358:M358"/>
    <mergeCell ref="B366:I366"/>
    <mergeCell ref="J366:K366"/>
    <mergeCell ref="L366:M367"/>
    <mergeCell ref="B367:I367"/>
    <mergeCell ref="J367:K367"/>
    <mergeCell ref="A362:M363"/>
    <mergeCell ref="A364:K364"/>
    <mergeCell ref="L364:M364"/>
    <mergeCell ref="N368:R368"/>
    <mergeCell ref="B369:I369"/>
    <mergeCell ref="J369:K369"/>
    <mergeCell ref="N369:R369"/>
    <mergeCell ref="N376:R376"/>
    <mergeCell ref="B371:I371"/>
    <mergeCell ref="J371:K371"/>
    <mergeCell ref="N371:R371"/>
    <mergeCell ref="B373:K373"/>
    <mergeCell ref="L373:M373"/>
    <mergeCell ref="N372:R372"/>
    <mergeCell ref="N373:R373"/>
    <mergeCell ref="A375:M375"/>
    <mergeCell ref="B372:I372"/>
    <mergeCell ref="N378:R378"/>
    <mergeCell ref="A376:D377"/>
    <mergeCell ref="F376:G377"/>
    <mergeCell ref="I376:J377"/>
    <mergeCell ref="L377:M377"/>
    <mergeCell ref="A378:D378"/>
    <mergeCell ref="F378:G378"/>
    <mergeCell ref="I378:J378"/>
    <mergeCell ref="L378:M378"/>
    <mergeCell ref="L376:M376"/>
    <mergeCell ref="L381:M381"/>
    <mergeCell ref="A384:D384"/>
    <mergeCell ref="F384:G384"/>
    <mergeCell ref="I384:J384"/>
    <mergeCell ref="L384:M384"/>
    <mergeCell ref="A383:D383"/>
    <mergeCell ref="F383:G383"/>
    <mergeCell ref="I383:J383"/>
    <mergeCell ref="L383:M383"/>
    <mergeCell ref="A386:D386"/>
    <mergeCell ref="F386:G386"/>
    <mergeCell ref="I386:J386"/>
    <mergeCell ref="L386:M386"/>
    <mergeCell ref="A385:D385"/>
    <mergeCell ref="F385:G385"/>
    <mergeCell ref="I385:J385"/>
    <mergeCell ref="L385:M385"/>
    <mergeCell ref="A388:D388"/>
    <mergeCell ref="F388:G388"/>
    <mergeCell ref="I388:J388"/>
    <mergeCell ref="L388:M388"/>
    <mergeCell ref="A387:D387"/>
    <mergeCell ref="F387:G387"/>
    <mergeCell ref="I387:J387"/>
    <mergeCell ref="L387:M387"/>
    <mergeCell ref="A391:D391"/>
    <mergeCell ref="F391:G391"/>
    <mergeCell ref="I391:J391"/>
    <mergeCell ref="L391:M391"/>
    <mergeCell ref="A389:D389"/>
    <mergeCell ref="F389:G389"/>
    <mergeCell ref="I389:J389"/>
    <mergeCell ref="L389:M389"/>
    <mergeCell ref="A393:D393"/>
    <mergeCell ref="F393:G393"/>
    <mergeCell ref="I393:J393"/>
    <mergeCell ref="L393:M393"/>
    <mergeCell ref="A392:D392"/>
    <mergeCell ref="F392:G392"/>
    <mergeCell ref="I392:J392"/>
    <mergeCell ref="L392:M392"/>
    <mergeCell ref="A390:D390"/>
    <mergeCell ref="F390:G390"/>
    <mergeCell ref="I390:J390"/>
    <mergeCell ref="L390:M390"/>
    <mergeCell ref="A395:M395"/>
    <mergeCell ref="A396:D397"/>
    <mergeCell ref="F396:G397"/>
    <mergeCell ref="I396:J397"/>
    <mergeCell ref="L396:M396"/>
    <mergeCell ref="L397:M397"/>
    <mergeCell ref="A399:D399"/>
    <mergeCell ref="F399:G399"/>
    <mergeCell ref="I399:J399"/>
    <mergeCell ref="L399:M399"/>
    <mergeCell ref="A398:D398"/>
    <mergeCell ref="F398:G398"/>
    <mergeCell ref="I398:J398"/>
    <mergeCell ref="L398:M398"/>
    <mergeCell ref="A401:D401"/>
    <mergeCell ref="F401:G401"/>
    <mergeCell ref="I401:J401"/>
    <mergeCell ref="L401:M401"/>
    <mergeCell ref="A400:D400"/>
    <mergeCell ref="F400:G400"/>
    <mergeCell ref="I400:J400"/>
    <mergeCell ref="L400:M400"/>
    <mergeCell ref="A403:D403"/>
    <mergeCell ref="F403:G403"/>
    <mergeCell ref="I403:J403"/>
    <mergeCell ref="L403:M403"/>
    <mergeCell ref="A402:D402"/>
    <mergeCell ref="F402:G402"/>
    <mergeCell ref="I402:J402"/>
    <mergeCell ref="L402:M402"/>
    <mergeCell ref="A405:D405"/>
    <mergeCell ref="F405:G405"/>
    <mergeCell ref="I405:J405"/>
    <mergeCell ref="L405:M405"/>
    <mergeCell ref="A404:D404"/>
    <mergeCell ref="F404:G404"/>
    <mergeCell ref="I404:J404"/>
    <mergeCell ref="L404:M404"/>
    <mergeCell ref="A407:D407"/>
    <mergeCell ref="F407:G407"/>
    <mergeCell ref="I407:J407"/>
    <mergeCell ref="L407:M407"/>
    <mergeCell ref="A406:D406"/>
    <mergeCell ref="F406:G406"/>
    <mergeCell ref="I406:J406"/>
    <mergeCell ref="L406:M406"/>
    <mergeCell ref="A409:D409"/>
    <mergeCell ref="F409:G409"/>
    <mergeCell ref="I409:J409"/>
    <mergeCell ref="L409:M409"/>
    <mergeCell ref="A408:D408"/>
    <mergeCell ref="F408:G408"/>
    <mergeCell ref="I408:J408"/>
    <mergeCell ref="L408:M408"/>
    <mergeCell ref="A412:D412"/>
    <mergeCell ref="F412:G412"/>
    <mergeCell ref="I412:J412"/>
    <mergeCell ref="L412:M412"/>
    <mergeCell ref="A411:D411"/>
    <mergeCell ref="F411:G411"/>
    <mergeCell ref="I411:J411"/>
    <mergeCell ref="L411:M411"/>
    <mergeCell ref="L413:M413"/>
    <mergeCell ref="A410:D410"/>
    <mergeCell ref="F410:G410"/>
    <mergeCell ref="I410:J410"/>
    <mergeCell ref="L410:M410"/>
    <mergeCell ref="A415:M415"/>
    <mergeCell ref="A416:D417"/>
    <mergeCell ref="F416:G417"/>
    <mergeCell ref="I416:J417"/>
    <mergeCell ref="L416:M416"/>
    <mergeCell ref="L417:M417"/>
    <mergeCell ref="A419:D419"/>
    <mergeCell ref="F419:G419"/>
    <mergeCell ref="I419:J419"/>
    <mergeCell ref="A413:D413"/>
    <mergeCell ref="F413:G413"/>
    <mergeCell ref="I413:J413"/>
    <mergeCell ref="A418:D418"/>
    <mergeCell ref="F418:G418"/>
    <mergeCell ref="I418:J418"/>
    <mergeCell ref="A420:D420"/>
    <mergeCell ref="F420:G420"/>
    <mergeCell ref="I420:J420"/>
    <mergeCell ref="F421:G421"/>
    <mergeCell ref="I421:J421"/>
    <mergeCell ref="A422:D422"/>
    <mergeCell ref="F422:G422"/>
    <mergeCell ref="I422:J422"/>
    <mergeCell ref="A423:D423"/>
    <mergeCell ref="F423:G423"/>
    <mergeCell ref="I423:J423"/>
    <mergeCell ref="A424:D424"/>
    <mergeCell ref="F424:G424"/>
    <mergeCell ref="I424:J424"/>
    <mergeCell ref="A425:D425"/>
    <mergeCell ref="F425:G425"/>
    <mergeCell ref="I425:J425"/>
    <mergeCell ref="A426:D426"/>
    <mergeCell ref="F426:G426"/>
    <mergeCell ref="I426:J426"/>
    <mergeCell ref="N449:R449"/>
    <mergeCell ref="B450:K450"/>
    <mergeCell ref="N450:R450"/>
    <mergeCell ref="A447:K447"/>
    <mergeCell ref="B451:K451"/>
    <mergeCell ref="L451:M451"/>
    <mergeCell ref="A427:D427"/>
    <mergeCell ref="F427:G427"/>
    <mergeCell ref="I427:J427"/>
    <mergeCell ref="F433:G433"/>
    <mergeCell ref="A428:D428"/>
    <mergeCell ref="F428:G428"/>
    <mergeCell ref="I428:J428"/>
    <mergeCell ref="A429:D429"/>
    <mergeCell ref="F429:G429"/>
    <mergeCell ref="I429:J429"/>
    <mergeCell ref="A431:D431"/>
    <mergeCell ref="F431:G431"/>
    <mergeCell ref="I431:J431"/>
    <mergeCell ref="N436:R436"/>
    <mergeCell ref="A432:D432"/>
    <mergeCell ref="F432:G432"/>
    <mergeCell ref="I432:J432"/>
    <mergeCell ref="A430:D430"/>
    <mergeCell ref="F430:G430"/>
    <mergeCell ref="I430:J430"/>
    <mergeCell ref="B459:K459"/>
    <mergeCell ref="L459:M459"/>
    <mergeCell ref="B461:K461"/>
    <mergeCell ref="L461:M461"/>
    <mergeCell ref="L447:M447"/>
    <mergeCell ref="A438:M438"/>
    <mergeCell ref="A439:K439"/>
    <mergeCell ref="L439:M439"/>
    <mergeCell ref="I433:J433"/>
    <mergeCell ref="L436:M436"/>
    <mergeCell ref="A433:D433"/>
    <mergeCell ref="B440:K440"/>
    <mergeCell ref="L435:M435"/>
    <mergeCell ref="B441:K441"/>
    <mergeCell ref="L441:M441"/>
    <mergeCell ref="A444:K444"/>
    <mergeCell ref="L444:M444"/>
    <mergeCell ref="A435:K435"/>
    <mergeCell ref="A443:M443"/>
    <mergeCell ref="B436:K436"/>
    <mergeCell ref="B445:K445"/>
    <mergeCell ref="L445:M445"/>
    <mergeCell ref="L440:M440"/>
    <mergeCell ref="B449:K449"/>
    <mergeCell ref="B643:E643"/>
    <mergeCell ref="G643:H643"/>
    <mergeCell ref="J643:K643"/>
    <mergeCell ref="L643:N644"/>
    <mergeCell ref="M632:N632"/>
    <mergeCell ref="O632:Q632"/>
    <mergeCell ref="A633:E633"/>
    <mergeCell ref="G633:H633"/>
    <mergeCell ref="I633:Q634"/>
    <mergeCell ref="L454:M454"/>
    <mergeCell ref="B456:K456"/>
    <mergeCell ref="L456:M456"/>
    <mergeCell ref="A453:K453"/>
    <mergeCell ref="L453:M453"/>
    <mergeCell ref="B455:K455"/>
    <mergeCell ref="L455:M455"/>
    <mergeCell ref="B454:K454"/>
    <mergeCell ref="B457:K457"/>
    <mergeCell ref="L457:M457"/>
    <mergeCell ref="A612:E612"/>
    <mergeCell ref="M615:N615"/>
    <mergeCell ref="O615:Q615"/>
    <mergeCell ref="A616:E616"/>
    <mergeCell ref="G616:H616"/>
    <mergeCell ref="I616:Q619"/>
    <mergeCell ref="A617:E617"/>
    <mergeCell ref="G617:H617"/>
    <mergeCell ref="A618:E618"/>
    <mergeCell ref="J496:K496"/>
    <mergeCell ref="B496:I496"/>
    <mergeCell ref="B497:I497"/>
    <mergeCell ref="L502:M502"/>
    <mergeCell ref="F615:K615"/>
    <mergeCell ref="G618:H618"/>
    <mergeCell ref="A619:E619"/>
    <mergeCell ref="G619:H619"/>
    <mergeCell ref="B620:E620"/>
    <mergeCell ref="F620:H622"/>
    <mergeCell ref="G612:H612"/>
    <mergeCell ref="A613:E613"/>
    <mergeCell ref="G613:H613"/>
    <mergeCell ref="A630:E630"/>
    <mergeCell ref="G630:H630"/>
    <mergeCell ref="A631:E631"/>
    <mergeCell ref="G631:H631"/>
    <mergeCell ref="O643:Q643"/>
    <mergeCell ref="O644:Q644"/>
    <mergeCell ref="B644:E644"/>
    <mergeCell ref="G644:H644"/>
    <mergeCell ref="J644:K644"/>
    <mergeCell ref="O637:Q637"/>
    <mergeCell ref="A639:Q639"/>
    <mergeCell ref="A640:E640"/>
    <mergeCell ref="F640:H640"/>
    <mergeCell ref="I640:K640"/>
    <mergeCell ref="I641:K641"/>
    <mergeCell ref="B637:E637"/>
    <mergeCell ref="F637:K637"/>
    <mergeCell ref="B635:E635"/>
    <mergeCell ref="F635:K635"/>
    <mergeCell ref="A642:Q642"/>
    <mergeCell ref="B623:E623"/>
    <mergeCell ref="F623:K625"/>
    <mergeCell ref="M623:N623"/>
    <mergeCell ref="O623:Q625"/>
    <mergeCell ref="B624:E624"/>
    <mergeCell ref="M624:N624"/>
    <mergeCell ref="B625:E625"/>
    <mergeCell ref="M625:N625"/>
    <mergeCell ref="B628:E628"/>
    <mergeCell ref="F628:K628"/>
    <mergeCell ref="M628:N628"/>
    <mergeCell ref="O628:Q628"/>
    <mergeCell ref="A626:E626"/>
    <mergeCell ref="G626:H626"/>
    <mergeCell ref="I626:Q627"/>
    <mergeCell ref="A627:E627"/>
    <mergeCell ref="O611:Q611"/>
    <mergeCell ref="B522:K522"/>
    <mergeCell ref="L522:M522"/>
    <mergeCell ref="B520:K520"/>
    <mergeCell ref="L520:M520"/>
    <mergeCell ref="A525:K525"/>
    <mergeCell ref="L525:M525"/>
    <mergeCell ref="B521:K521"/>
    <mergeCell ref="L521:M521"/>
    <mergeCell ref="L533:M533"/>
    <mergeCell ref="A527:K527"/>
    <mergeCell ref="L527:M527"/>
    <mergeCell ref="L523:M523"/>
    <mergeCell ref="L524:M524"/>
    <mergeCell ref="B523:K523"/>
    <mergeCell ref="J620:K620"/>
    <mergeCell ref="B622:E622"/>
    <mergeCell ref="J622:K622"/>
    <mergeCell ref="B615:E615"/>
    <mergeCell ref="B467:K467"/>
    <mergeCell ref="L478:M478"/>
    <mergeCell ref="L473:M473"/>
    <mergeCell ref="L503:M503"/>
    <mergeCell ref="B502:K502"/>
    <mergeCell ref="B500:K500"/>
    <mergeCell ref="A504:K504"/>
    <mergeCell ref="L504:M504"/>
    <mergeCell ref="B505:K505"/>
    <mergeCell ref="L505:M505"/>
    <mergeCell ref="L500:M500"/>
    <mergeCell ref="L493:M494"/>
    <mergeCell ref="B499:K499"/>
    <mergeCell ref="L499:M499"/>
    <mergeCell ref="B490:I490"/>
    <mergeCell ref="J490:K490"/>
    <mergeCell ref="B489:K489"/>
    <mergeCell ref="B491:I491"/>
    <mergeCell ref="J491:K491"/>
    <mergeCell ref="L490:M491"/>
    <mergeCell ref="L498:M498"/>
    <mergeCell ref="L467:M467"/>
    <mergeCell ref="B479:K479"/>
    <mergeCell ref="B483:K483"/>
    <mergeCell ref="L481:M481"/>
    <mergeCell ref="L488:M488"/>
    <mergeCell ref="L469:M469"/>
    <mergeCell ref="L470:M470"/>
    <mergeCell ref="N488:R488"/>
    <mergeCell ref="A487:M487"/>
    <mergeCell ref="A488:K488"/>
    <mergeCell ref="B484:K484"/>
    <mergeCell ref="B480:K480"/>
    <mergeCell ref="A477:K477"/>
    <mergeCell ref="B519:K519"/>
    <mergeCell ref="L519:M519"/>
    <mergeCell ref="J494:K494"/>
    <mergeCell ref="B493:I493"/>
    <mergeCell ref="A508:M508"/>
    <mergeCell ref="A509:K509"/>
    <mergeCell ref="B498:K498"/>
    <mergeCell ref="B506:K506"/>
    <mergeCell ref="N511:R512"/>
    <mergeCell ref="N514:R515"/>
    <mergeCell ref="N517:R518"/>
    <mergeCell ref="J497:K497"/>
    <mergeCell ref="L517:M518"/>
    <mergeCell ref="B501:K501"/>
    <mergeCell ref="L501:M501"/>
    <mergeCell ref="L513:M513"/>
    <mergeCell ref="L506:M506"/>
    <mergeCell ref="J515:K515"/>
    <mergeCell ref="J514:K514"/>
    <mergeCell ref="B516:K516"/>
    <mergeCell ref="B526:K526"/>
    <mergeCell ref="L526:M526"/>
    <mergeCell ref="N527:R527"/>
    <mergeCell ref="B528:K528"/>
    <mergeCell ref="L528:M528"/>
    <mergeCell ref="N528:R528"/>
    <mergeCell ref="B529:K529"/>
    <mergeCell ref="L529:M529"/>
    <mergeCell ref="N529:R529"/>
    <mergeCell ref="N509:R509"/>
    <mergeCell ref="B511:I511"/>
    <mergeCell ref="J511:K511"/>
    <mergeCell ref="B510:K510"/>
    <mergeCell ref="L509:M509"/>
    <mergeCell ref="B513:K513"/>
    <mergeCell ref="L510:M510"/>
    <mergeCell ref="B515:I515"/>
    <mergeCell ref="J518:K518"/>
    <mergeCell ref="B517:I517"/>
    <mergeCell ref="B518:I518"/>
    <mergeCell ref="B512:I512"/>
    <mergeCell ref="J512:K512"/>
    <mergeCell ref="J517:K517"/>
    <mergeCell ref="L516:M516"/>
    <mergeCell ref="B514:I514"/>
    <mergeCell ref="L514:M515"/>
    <mergeCell ref="B524:K524"/>
    <mergeCell ref="B538:K538"/>
    <mergeCell ref="L538:M538"/>
    <mergeCell ref="N535:R535"/>
    <mergeCell ref="B536:K536"/>
    <mergeCell ref="L536:M536"/>
    <mergeCell ref="A531:M531"/>
    <mergeCell ref="A532:K532"/>
    <mergeCell ref="L532:M532"/>
    <mergeCell ref="N532:R532"/>
    <mergeCell ref="B533:K533"/>
    <mergeCell ref="B534:K534"/>
    <mergeCell ref="L534:M534"/>
    <mergeCell ref="A535:K535"/>
    <mergeCell ref="L535:M535"/>
    <mergeCell ref="B537:K537"/>
    <mergeCell ref="L537:M537"/>
    <mergeCell ref="N539:R539"/>
    <mergeCell ref="B540:K540"/>
    <mergeCell ref="L540:M540"/>
    <mergeCell ref="B541:K541"/>
    <mergeCell ref="L541:M541"/>
    <mergeCell ref="B542:K542"/>
    <mergeCell ref="L542:M542"/>
    <mergeCell ref="A539:K539"/>
    <mergeCell ref="L539:M539"/>
    <mergeCell ref="L546:M546"/>
    <mergeCell ref="B547:K547"/>
    <mergeCell ref="L547:M547"/>
    <mergeCell ref="B548:K548"/>
    <mergeCell ref="N544:R544"/>
    <mergeCell ref="B545:K545"/>
    <mergeCell ref="L545:M545"/>
    <mergeCell ref="N556:R556"/>
    <mergeCell ref="L555:M555"/>
    <mergeCell ref="A556:K556"/>
    <mergeCell ref="L556:M556"/>
    <mergeCell ref="B543:K543"/>
    <mergeCell ref="L543:M543"/>
    <mergeCell ref="A544:K544"/>
    <mergeCell ref="L544:M544"/>
    <mergeCell ref="L552:M552"/>
    <mergeCell ref="B546:K546"/>
    <mergeCell ref="N554:R554"/>
    <mergeCell ref="A552:K552"/>
    <mergeCell ref="B555:K555"/>
    <mergeCell ref="L548:M548"/>
    <mergeCell ref="B549:K549"/>
    <mergeCell ref="L549:M549"/>
    <mergeCell ref="B550:K550"/>
    <mergeCell ref="L550:M550"/>
    <mergeCell ref="B561:K561"/>
    <mergeCell ref="L561:M561"/>
    <mergeCell ref="B562:K562"/>
    <mergeCell ref="B557:K557"/>
    <mergeCell ref="L557:M557"/>
    <mergeCell ref="N552:R552"/>
    <mergeCell ref="B553:K553"/>
    <mergeCell ref="L553:M553"/>
    <mergeCell ref="A554:K554"/>
    <mergeCell ref="L554:M554"/>
    <mergeCell ref="B558:K558"/>
    <mergeCell ref="L558:M558"/>
    <mergeCell ref="B559:K559"/>
    <mergeCell ref="L559:M559"/>
    <mergeCell ref="B560:K560"/>
    <mergeCell ref="L560:M560"/>
    <mergeCell ref="L562:M562"/>
    <mergeCell ref="B569:K569"/>
    <mergeCell ref="L569:M569"/>
    <mergeCell ref="N563:R563"/>
    <mergeCell ref="B564:K564"/>
    <mergeCell ref="L564:M564"/>
    <mergeCell ref="B565:K565"/>
    <mergeCell ref="L565:M565"/>
    <mergeCell ref="B566:K566"/>
    <mergeCell ref="L566:M566"/>
    <mergeCell ref="A563:K563"/>
    <mergeCell ref="B567:K567"/>
    <mergeCell ref="L567:M567"/>
    <mergeCell ref="B568:K568"/>
    <mergeCell ref="L568:M568"/>
    <mergeCell ref="A576:K576"/>
    <mergeCell ref="L576:M576"/>
    <mergeCell ref="A574:M575"/>
    <mergeCell ref="L563:M563"/>
    <mergeCell ref="N576:R576"/>
    <mergeCell ref="A571:K571"/>
    <mergeCell ref="L571:M571"/>
    <mergeCell ref="N571:R571"/>
    <mergeCell ref="B572:K572"/>
    <mergeCell ref="L572:M572"/>
    <mergeCell ref="N572:R572"/>
    <mergeCell ref="B573:K573"/>
    <mergeCell ref="L573:M573"/>
    <mergeCell ref="N573:R573"/>
    <mergeCell ref="A577:E577"/>
    <mergeCell ref="F577:I577"/>
    <mergeCell ref="J577:M577"/>
    <mergeCell ref="A578:E578"/>
    <mergeCell ref="F578:I578"/>
    <mergeCell ref="J578:M578"/>
    <mergeCell ref="A584:O584"/>
    <mergeCell ref="P584:Q584"/>
    <mergeCell ref="A579:E579"/>
    <mergeCell ref="F579:I579"/>
    <mergeCell ref="J579:M579"/>
    <mergeCell ref="A580:E580"/>
    <mergeCell ref="F580:I580"/>
    <mergeCell ref="J580:M580"/>
    <mergeCell ref="A581:E581"/>
    <mergeCell ref="F581:I581"/>
    <mergeCell ref="J581:M581"/>
    <mergeCell ref="A583:Q583"/>
    <mergeCell ref="R584:V584"/>
    <mergeCell ref="O585:Q585"/>
    <mergeCell ref="B586:E586"/>
    <mergeCell ref="G586:H586"/>
    <mergeCell ref="J586:K586"/>
    <mergeCell ref="M586:N586"/>
    <mergeCell ref="P586:Q586"/>
    <mergeCell ref="B585:E585"/>
    <mergeCell ref="F585:H585"/>
    <mergeCell ref="I585:K585"/>
    <mergeCell ref="L585:N585"/>
    <mergeCell ref="P587:Q587"/>
    <mergeCell ref="B588:E588"/>
    <mergeCell ref="G588:H588"/>
    <mergeCell ref="M588:N588"/>
    <mergeCell ref="P588:Q588"/>
    <mergeCell ref="B587:E587"/>
    <mergeCell ref="G587:H587"/>
    <mergeCell ref="J587:K587"/>
    <mergeCell ref="M587:N587"/>
    <mergeCell ref="P589:Q589"/>
    <mergeCell ref="P592:Q592"/>
    <mergeCell ref="B593:E593"/>
    <mergeCell ref="G593:H593"/>
    <mergeCell ref="B590:E590"/>
    <mergeCell ref="G590:H590"/>
    <mergeCell ref="M590:N590"/>
    <mergeCell ref="B592:E592"/>
    <mergeCell ref="G592:H592"/>
    <mergeCell ref="M592:N592"/>
    <mergeCell ref="B589:E589"/>
    <mergeCell ref="G589:H589"/>
    <mergeCell ref="M589:N589"/>
    <mergeCell ref="P590:Q590"/>
    <mergeCell ref="B591:E591"/>
    <mergeCell ref="G591:H591"/>
    <mergeCell ref="M591:N591"/>
    <mergeCell ref="M593:N593"/>
    <mergeCell ref="P593:Q593"/>
    <mergeCell ref="M596:N596"/>
    <mergeCell ref="P596:Q596"/>
    <mergeCell ref="P594:Q594"/>
    <mergeCell ref="J594:K594"/>
    <mergeCell ref="M594:N594"/>
    <mergeCell ref="B596:E596"/>
    <mergeCell ref="G596:H596"/>
    <mergeCell ref="B597:E597"/>
    <mergeCell ref="G597:H597"/>
    <mergeCell ref="B594:E594"/>
    <mergeCell ref="G594:H594"/>
    <mergeCell ref="B595:E595"/>
    <mergeCell ref="G595:H595"/>
    <mergeCell ref="P597:Q597"/>
    <mergeCell ref="P600:Q600"/>
    <mergeCell ref="B598:E598"/>
    <mergeCell ref="G598:H598"/>
    <mergeCell ref="M598:N598"/>
    <mergeCell ref="P598:Q598"/>
    <mergeCell ref="B599:E599"/>
    <mergeCell ref="G599:H599"/>
    <mergeCell ref="P599:Q599"/>
    <mergeCell ref="B600:E600"/>
    <mergeCell ref="J600:K600"/>
    <mergeCell ref="M600:N600"/>
    <mergeCell ref="G604:H604"/>
    <mergeCell ref="B605:E605"/>
    <mergeCell ref="G605:H605"/>
    <mergeCell ref="A603:K603"/>
    <mergeCell ref="L603:M603"/>
    <mergeCell ref="N603:R603"/>
    <mergeCell ref="G600:H600"/>
    <mergeCell ref="A602:M602"/>
    <mergeCell ref="J621:K621"/>
    <mergeCell ref="F641:H641"/>
    <mergeCell ref="B632:E632"/>
    <mergeCell ref="F632:K632"/>
    <mergeCell ref="A629:E629"/>
    <mergeCell ref="G629:H629"/>
    <mergeCell ref="I629:Q631"/>
    <mergeCell ref="O641:Q641"/>
    <mergeCell ref="A636:E636"/>
    <mergeCell ref="G636:H636"/>
    <mergeCell ref="B606:E606"/>
    <mergeCell ref="G606:H606"/>
    <mergeCell ref="B604:E604"/>
    <mergeCell ref="I636:Q636"/>
    <mergeCell ref="L640:N640"/>
    <mergeCell ref="O640:Q640"/>
    <mergeCell ref="A634:E634"/>
    <mergeCell ref="G634:H634"/>
    <mergeCell ref="O635:Q635"/>
    <mergeCell ref="M635:N635"/>
    <mergeCell ref="L620:Q622"/>
    <mergeCell ref="G627:H627"/>
    <mergeCell ref="A614:E614"/>
    <mergeCell ref="G614:H614"/>
    <mergeCell ref="N756:R756"/>
    <mergeCell ref="B757:K757"/>
    <mergeCell ref="L757:M757"/>
    <mergeCell ref="B758:K758"/>
    <mergeCell ref="A753:M753"/>
    <mergeCell ref="A754:K754"/>
    <mergeCell ref="L754:M754"/>
    <mergeCell ref="A755:A756"/>
    <mergeCell ref="B755:K756"/>
    <mergeCell ref="L758:M758"/>
    <mergeCell ref="A759:M759"/>
    <mergeCell ref="P763:Q763"/>
    <mergeCell ref="A760:Q761"/>
    <mergeCell ref="A762:O762"/>
    <mergeCell ref="P762:Q762"/>
    <mergeCell ref="N757:R758"/>
    <mergeCell ref="R762:V762"/>
    <mergeCell ref="G763:H763"/>
    <mergeCell ref="J763:K763"/>
    <mergeCell ref="M763:N763"/>
    <mergeCell ref="N754:R755"/>
    <mergeCell ref="N759:V759"/>
    <mergeCell ref="M766:N766"/>
    <mergeCell ref="P765:Q765"/>
    <mergeCell ref="A764:E764"/>
    <mergeCell ref="G764:H764"/>
    <mergeCell ref="J764:K764"/>
    <mergeCell ref="M764:N764"/>
    <mergeCell ref="P764:Q764"/>
    <mergeCell ref="B765:E765"/>
    <mergeCell ref="G765:H765"/>
    <mergeCell ref="J765:K765"/>
    <mergeCell ref="M765:N765"/>
    <mergeCell ref="P766:Q766"/>
    <mergeCell ref="B767:E767"/>
    <mergeCell ref="G767:H767"/>
    <mergeCell ref="J767:K767"/>
    <mergeCell ref="M767:N767"/>
    <mergeCell ref="P767:Q767"/>
    <mergeCell ref="B766:E766"/>
    <mergeCell ref="G766:H766"/>
    <mergeCell ref="J766:K766"/>
    <mergeCell ref="P768:Q768"/>
    <mergeCell ref="B769:E769"/>
    <mergeCell ref="G769:H769"/>
    <mergeCell ref="J769:K769"/>
    <mergeCell ref="M769:N769"/>
    <mergeCell ref="P769:Q769"/>
    <mergeCell ref="B768:E768"/>
    <mergeCell ref="G768:H768"/>
    <mergeCell ref="J768:K768"/>
    <mergeCell ref="M768:N768"/>
    <mergeCell ref="P770:Q770"/>
    <mergeCell ref="B771:E771"/>
    <mergeCell ref="G771:H771"/>
    <mergeCell ref="J771:K771"/>
    <mergeCell ref="M771:N771"/>
    <mergeCell ref="P771:Q771"/>
    <mergeCell ref="B770:E770"/>
    <mergeCell ref="G770:H770"/>
    <mergeCell ref="J770:K770"/>
    <mergeCell ref="M770:N770"/>
    <mergeCell ref="P772:Q772"/>
    <mergeCell ref="B773:E773"/>
    <mergeCell ref="G773:H773"/>
    <mergeCell ref="J773:K773"/>
    <mergeCell ref="M773:N773"/>
    <mergeCell ref="P773:Q773"/>
    <mergeCell ref="B772:E772"/>
    <mergeCell ref="G772:H772"/>
    <mergeCell ref="J772:K772"/>
    <mergeCell ref="M772:N772"/>
    <mergeCell ref="P774:Q774"/>
    <mergeCell ref="B775:E775"/>
    <mergeCell ref="G775:H775"/>
    <mergeCell ref="J775:K775"/>
    <mergeCell ref="M775:N775"/>
    <mergeCell ref="P775:Q775"/>
    <mergeCell ref="B774:E774"/>
    <mergeCell ref="G774:H774"/>
    <mergeCell ref="J774:K774"/>
    <mergeCell ref="M774:N774"/>
    <mergeCell ref="B777:E777"/>
    <mergeCell ref="G777:H777"/>
    <mergeCell ref="J777:K777"/>
    <mergeCell ref="M777:N777"/>
    <mergeCell ref="P777:Q777"/>
    <mergeCell ref="B776:E776"/>
    <mergeCell ref="G776:H776"/>
    <mergeCell ref="J776:K776"/>
    <mergeCell ref="M776:N776"/>
    <mergeCell ref="P778:Q778"/>
    <mergeCell ref="C779:E779"/>
    <mergeCell ref="G779:H779"/>
    <mergeCell ref="J779:K779"/>
    <mergeCell ref="M779:N779"/>
    <mergeCell ref="P779:Q779"/>
    <mergeCell ref="C778:E778"/>
    <mergeCell ref="G778:H778"/>
    <mergeCell ref="J778:K778"/>
    <mergeCell ref="M778:N778"/>
    <mergeCell ref="C781:E781"/>
    <mergeCell ref="G781:H781"/>
    <mergeCell ref="J781:K781"/>
    <mergeCell ref="M781:N781"/>
    <mergeCell ref="P781:Q781"/>
    <mergeCell ref="C780:E780"/>
    <mergeCell ref="G780:H780"/>
    <mergeCell ref="J780:K780"/>
    <mergeCell ref="J784:K784"/>
    <mergeCell ref="J783:K783"/>
    <mergeCell ref="M783:N783"/>
    <mergeCell ref="P783:Q783"/>
    <mergeCell ref="A782:E782"/>
    <mergeCell ref="G782:H782"/>
    <mergeCell ref="J782:K782"/>
    <mergeCell ref="M782:N782"/>
    <mergeCell ref="B783:E783"/>
    <mergeCell ref="P782:Q782"/>
    <mergeCell ref="G783:H783"/>
    <mergeCell ref="P784:Q784"/>
    <mergeCell ref="B785:E785"/>
    <mergeCell ref="G785:H785"/>
    <mergeCell ref="J785:K785"/>
    <mergeCell ref="M785:N785"/>
    <mergeCell ref="P785:Q785"/>
    <mergeCell ref="B784:E784"/>
    <mergeCell ref="G784:H784"/>
    <mergeCell ref="M784:N784"/>
    <mergeCell ref="C795:K795"/>
    <mergeCell ref="A791:M791"/>
    <mergeCell ref="A792:B792"/>
    <mergeCell ref="C792:K792"/>
    <mergeCell ref="L792:M793"/>
    <mergeCell ref="C793:K793"/>
    <mergeCell ref="L794:M794"/>
    <mergeCell ref="C794:K794"/>
    <mergeCell ref="C796:K796"/>
    <mergeCell ref="A786:E786"/>
    <mergeCell ref="G786:H786"/>
    <mergeCell ref="J786:K786"/>
    <mergeCell ref="A788:M789"/>
    <mergeCell ref="C797:K797"/>
    <mergeCell ref="C802:K802"/>
    <mergeCell ref="C803:K803"/>
    <mergeCell ref="C800:K800"/>
    <mergeCell ref="C801:K801"/>
    <mergeCell ref="C798:K798"/>
    <mergeCell ref="C799:K799"/>
    <mergeCell ref="C808:K808"/>
    <mergeCell ref="L808:M808"/>
    <mergeCell ref="C809:K809"/>
    <mergeCell ref="C817:K817"/>
    <mergeCell ref="C814:K814"/>
    <mergeCell ref="C815:K815"/>
    <mergeCell ref="C816:K816"/>
    <mergeCell ref="L810:M810"/>
    <mergeCell ref="C811:K811"/>
    <mergeCell ref="L811:M811"/>
    <mergeCell ref="C812:K812"/>
    <mergeCell ref="C813:K813"/>
    <mergeCell ref="C806:K806"/>
    <mergeCell ref="C807:K807"/>
    <mergeCell ref="C810:K810"/>
    <mergeCell ref="C804:K804"/>
    <mergeCell ref="C805:K805"/>
    <mergeCell ref="L803:M803"/>
    <mergeCell ref="L802:M802"/>
    <mergeCell ref="L801:M801"/>
    <mergeCell ref="L800:M800"/>
    <mergeCell ref="N459:R460"/>
    <mergeCell ref="N461:R461"/>
    <mergeCell ref="N453:R453"/>
    <mergeCell ref="N454:R454"/>
    <mergeCell ref="N455:R455"/>
    <mergeCell ref="L464:M464"/>
    <mergeCell ref="N97:R97"/>
    <mergeCell ref="N233:R233"/>
    <mergeCell ref="N128:R128"/>
    <mergeCell ref="L817:M817"/>
    <mergeCell ref="L815:M815"/>
    <mergeCell ref="L814:M814"/>
    <mergeCell ref="L807:M807"/>
    <mergeCell ref="L809:M809"/>
    <mergeCell ref="L804:M804"/>
    <mergeCell ref="N266:Q273"/>
    <mergeCell ref="L805:M805"/>
    <mergeCell ref="L816:M816"/>
    <mergeCell ref="L812:M812"/>
    <mergeCell ref="L813:M813"/>
    <mergeCell ref="L806:M806"/>
    <mergeCell ref="L468:M468"/>
    <mergeCell ref="R786:V786"/>
    <mergeCell ref="L511:M512"/>
    <mergeCell ref="M780:N780"/>
    <mergeCell ref="N477:R477"/>
    <mergeCell ref="N463:R463"/>
    <mergeCell ref="P780:Q780"/>
    <mergeCell ref="P776:Q776"/>
    <mergeCell ref="N478:R478"/>
    <mergeCell ref="N447:R447"/>
    <mergeCell ref="L463:M463"/>
    <mergeCell ref="A609:G609"/>
    <mergeCell ref="R609:V609"/>
    <mergeCell ref="I605:M605"/>
    <mergeCell ref="I606:M606"/>
    <mergeCell ref="M786:N786"/>
    <mergeCell ref="A787:B787"/>
    <mergeCell ref="J787:K787"/>
    <mergeCell ref="O787:Q787"/>
    <mergeCell ref="P786:Q786"/>
    <mergeCell ref="F787:G787"/>
    <mergeCell ref="N451:R451"/>
    <mergeCell ref="N109:R109"/>
    <mergeCell ref="N121:R121"/>
    <mergeCell ref="N398:R398"/>
    <mergeCell ref="N396:R396"/>
    <mergeCell ref="R265:R277"/>
    <mergeCell ref="N265:Q265"/>
    <mergeCell ref="N110:R110"/>
    <mergeCell ref="N416:R416"/>
    <mergeCell ref="N221:R221"/>
    <mergeCell ref="B503:K503"/>
    <mergeCell ref="B492:K492"/>
    <mergeCell ref="L492:M492"/>
    <mergeCell ref="B495:K495"/>
    <mergeCell ref="L495:M495"/>
    <mergeCell ref="J372:K372"/>
    <mergeCell ref="J493:K493"/>
    <mergeCell ref="B494:I494"/>
    <mergeCell ref="L466:M466"/>
    <mergeCell ref="L465:M465"/>
    <mergeCell ref="N464:R464"/>
    <mergeCell ref="A463:K463"/>
    <mergeCell ref="N222:R222"/>
    <mergeCell ref="A448:K448"/>
    <mergeCell ref="L98:M98"/>
    <mergeCell ref="L99:M99"/>
    <mergeCell ref="B98:K98"/>
    <mergeCell ref="B99:K99"/>
    <mergeCell ref="B223:I223"/>
    <mergeCell ref="J223:K223"/>
    <mergeCell ref="L221:M221"/>
    <mergeCell ref="L217:M218"/>
    <mergeCell ref="J207:K207"/>
    <mergeCell ref="B217:I217"/>
    <mergeCell ref="N370:R370"/>
    <mergeCell ref="B370:I370"/>
    <mergeCell ref="N98:R98"/>
    <mergeCell ref="B230:K230"/>
    <mergeCell ref="L230:M230"/>
    <mergeCell ref="B231:I231"/>
    <mergeCell ref="J231:K231"/>
    <mergeCell ref="B365:K365"/>
    <mergeCell ref="L365:M365"/>
    <mergeCell ref="N99:R99"/>
    <mergeCell ref="N227:R227"/>
    <mergeCell ref="N226:R226"/>
    <mergeCell ref="J218:K218"/>
    <mergeCell ref="B220:K220"/>
    <mergeCell ref="L231:M232"/>
    <mergeCell ref="L369:M372"/>
    <mergeCell ref="J370:K370"/>
    <mergeCell ref="N435:R435"/>
    <mergeCell ref="N440:R441"/>
    <mergeCell ref="A421:D421"/>
  </mergeCells>
  <phoneticPr fontId="20" type="noConversion"/>
  <conditionalFormatting sqref="N12:R12">
    <cfRule type="expression" dxfId="136" priority="17" stopIfTrue="1">
      <formula>IF(AND(NOT(ISBLANK(L12)),L12&lt;&gt;12),TRUE,FALSE)</formula>
    </cfRule>
  </conditionalFormatting>
  <conditionalFormatting sqref="M731:N731">
    <cfRule type="expression" dxfId="135" priority="19" stopIfTrue="1">
      <formula>IF(LEFT(G730)="2",TRUE,FALSE)</formula>
    </cfRule>
  </conditionalFormatting>
  <conditionalFormatting sqref="K686:K687">
    <cfRule type="expression" dxfId="134" priority="20" stopIfTrue="1">
      <formula>IF(R707&gt;=1,TRUE,FALSE)</formula>
    </cfRule>
  </conditionalFormatting>
  <conditionalFormatting sqref="K646:K648 K678:K680 K653:K655 K660:K662 K667:K668">
    <cfRule type="expression" dxfId="133" priority="21" stopIfTrue="1">
      <formula>IF(R658&gt;=1,TRUE,FALSE)</formula>
    </cfRule>
  </conditionalFormatting>
  <conditionalFormatting sqref="F646:J648 F678:J680 F653:J655 F660:J662 F685:J685 F667:J667">
    <cfRule type="expression" dxfId="132" priority="22" stopIfTrue="1">
      <formula>IF(M648&gt;=1,TRUE,FALSE)</formula>
    </cfRule>
  </conditionalFormatting>
  <conditionalFormatting sqref="K669">
    <cfRule type="expression" dxfId="131" priority="23" stopIfTrue="1">
      <formula>IF(R682&gt;=1,TRUE,FALSE)</formula>
    </cfRule>
  </conditionalFormatting>
  <conditionalFormatting sqref="J670">
    <cfRule type="expression" dxfId="130" priority="24" stopIfTrue="1">
      <formula>IF(R683&gt;=1,TRUE,FALSE)</formula>
    </cfRule>
  </conditionalFormatting>
  <conditionalFormatting sqref="F669:G670 H669:J669">
    <cfRule type="expression" dxfId="129" priority="25" stopIfTrue="1">
      <formula>IF(M672&gt;=1,TRUE,FALSE)</formula>
    </cfRule>
  </conditionalFormatting>
  <conditionalFormatting sqref="H670:I670">
    <cfRule type="expression" dxfId="128" priority="26" stopIfTrue="1">
      <formula>IF(P673&gt;=1,TRUE,FALSE)</formula>
    </cfRule>
  </conditionalFormatting>
  <conditionalFormatting sqref="M615:N615 M628:N628 M632:N632 M635:N635 M637:N637 M691:N691 M694:N694 M719:N719 M729:N729 M733:N733 M735:N735">
    <cfRule type="expression" dxfId="127" priority="27" stopIfTrue="1">
      <formula>IF(OR(LEFT(G614)="2",LEFT(G614)="4"),TRUE,FALSE)</formula>
    </cfRule>
  </conditionalFormatting>
  <conditionalFormatting sqref="J620:K620">
    <cfRule type="expression" dxfId="126" priority="28" stopIfTrue="1">
      <formula>IF(OR(LEFT(G619)="2",LEFT(G619)="4"),TRUE,FALSE)</formula>
    </cfRule>
  </conditionalFormatting>
  <conditionalFormatting sqref="J621:K621">
    <cfRule type="expression" dxfId="125" priority="29" stopIfTrue="1">
      <formula>IF(OR(LEFT(G619)="2",LEFT(G619)="4"),TRUE,FALSE)</formula>
    </cfRule>
  </conditionalFormatting>
  <conditionalFormatting sqref="M623:N623 M738:N738">
    <cfRule type="expression" dxfId="124" priority="30" stopIfTrue="1">
      <formula>IF(OR(LEFT(G619)="2",LEFT(G619)="4"),TRUE,FALSE)</formula>
    </cfRule>
  </conditionalFormatting>
  <conditionalFormatting sqref="M624:N624 M739:N739">
    <cfRule type="expression" dxfId="123" priority="31" stopIfTrue="1">
      <formula>IF(OR(LEFT(G619)="2",LEFT(G619)="4"),TRUE,FALSE)</formula>
    </cfRule>
  </conditionalFormatting>
  <conditionalFormatting sqref="J643:K644 J650:K651 J657:K658 J664:K665 J675:K676 J682:K683">
    <cfRule type="expression" dxfId="122" priority="32" stopIfTrue="1">
      <formula>IF(OR((G643)="2=Not available",LEFT(G643)="4"),TRUE,FALSE)</formula>
    </cfRule>
  </conditionalFormatting>
  <conditionalFormatting sqref="O643:Q644 O650:Q651 O657:Q658 O664:Q665 O675:Q676 O682:Q683">
    <cfRule type="expression" dxfId="121" priority="33" stopIfTrue="1">
      <formula>IF(OR(G643="2=Not available",LEFT(G643)="4"),TRUE,FALSE)</formula>
    </cfRule>
  </conditionalFormatting>
  <conditionalFormatting sqref="M646:N646 M653:N653 M660:N660 M667:N667 M678:N678 M685:N685">
    <cfRule type="expression" dxfId="120" priority="34" stopIfTrue="1">
      <formula>IF(AND((OR(LEFT(G643)="2",LEFT(G643)="4")),(OR(LEFT(G644)="2",LEFT(G644)="4"))),TRUE,FALSE)</formula>
    </cfRule>
  </conditionalFormatting>
  <conditionalFormatting sqref="M647:N647 M654:N654 M661:N661 M668:N668 M679:N679 M686:N686">
    <cfRule type="expression" dxfId="119" priority="35" stopIfTrue="1">
      <formula>IF(AND((OR(LEFT(G643)="2",LEFT(G643)="4")),(OR(LEFT(G644)="2",LEFT(G644)="4"))),TRUE,FALSE)</formula>
    </cfRule>
  </conditionalFormatting>
  <conditionalFormatting sqref="M695:N695 M720:N720 M736:N736">
    <cfRule type="expression" dxfId="118" priority="36" stopIfTrue="1">
      <formula>IF(OR(LEFT(G693)="2",LEFT(G693)="4"),TRUE,FALSE)</formula>
    </cfRule>
  </conditionalFormatting>
  <conditionalFormatting sqref="J700:K700 J704:K704 J708:K708">
    <cfRule type="expression" dxfId="117" priority="37" stopIfTrue="1">
      <formula>IF(OR((G699)="2=Not available",LEFT(G699)="4"),TRUE,FALSE)</formula>
    </cfRule>
  </conditionalFormatting>
  <conditionalFormatting sqref="M701:N701 M705:N705 M709:N709">
    <cfRule type="expression" dxfId="116" priority="38" stopIfTrue="1">
      <formula>IF(OR((G699)="2=Not available",LEFT(G699)="4"),TRUE,FALSE)</formula>
    </cfRule>
  </conditionalFormatting>
  <conditionalFormatting sqref="M702:N702 M706:N706 M710:N710">
    <cfRule type="expression" dxfId="115" priority="39" stopIfTrue="1">
      <formula>IF(OR((G699)="2=Not available",LEFT(G699)="4"),TRUE,FALSE)</formula>
    </cfRule>
  </conditionalFormatting>
  <conditionalFormatting sqref="M737:N737">
    <cfRule type="expression" dxfId="114" priority="40" stopIfTrue="1">
      <formula>IF(OR(LEFT(G734)="2",LEFT(G734)="4"),TRUE,FALSE)</formula>
    </cfRule>
  </conditionalFormatting>
  <conditionalFormatting sqref="M740:N740">
    <cfRule type="expression" dxfId="113" priority="41" stopIfTrue="1">
      <formula>IF(OR(LEFT(G734)="2",LEFT(G734)="4"),TRUE,FALSE)</formula>
    </cfRule>
  </conditionalFormatting>
  <conditionalFormatting sqref="R609:V609 N603:R603 R584:V584 N571:R571 N576:R576 N436:R436 N65:R65 N113:R113">
    <cfRule type="expression" dxfId="112" priority="42" stopIfTrue="1">
      <formula>IF($D$5&gt;=200,TRUE,FALSE)</formula>
    </cfRule>
  </conditionalFormatting>
  <conditionalFormatting sqref="O646:Q647 O653:Q654 O660:Q661 O667:Q668 O678:Q679 O685:Q686">
    <cfRule type="expression" dxfId="111" priority="43" stopIfTrue="1">
      <formula>IF(O643=$R$662,TRUE,FALSE)</formula>
    </cfRule>
  </conditionalFormatting>
  <conditionalFormatting sqref="N754:R754 R762:V762 N527:R527 N563:R563 N556:R556 N554:R554 N552:R552 N544:R544 N539:R539 N535:R535 N532:R532 N509:R509 N488:R488 N477:R478 N447:R447 N453:R453 N463:R464 N435:R435 N416:R416 N396:R396 N376:R376 N110:R110">
    <cfRule type="expression" dxfId="110" priority="44" stopIfTrue="1">
      <formula>IF($D$5&gt;=200,TRUE,FALSE)</formula>
    </cfRule>
  </conditionalFormatting>
  <conditionalFormatting sqref="L757:M758 J764:K764 M764:N764 G764:H764">
    <cfRule type="expression" dxfId="109" priority="45" stopIfTrue="1">
      <formula>IF(ISBLANK($M$814),FALSE,TRUE)</formula>
    </cfRule>
  </conditionalFormatting>
  <conditionalFormatting sqref="J765:K786 M765:N786 G765:H786">
    <cfRule type="expression" dxfId="108" priority="46" stopIfTrue="1">
      <formula>IF(ISBLANK($M$756),FALSE,TRUE)</formula>
    </cfRule>
  </conditionalFormatting>
  <conditionalFormatting sqref="F433:G433">
    <cfRule type="expression" dxfId="107" priority="48" stopIfTrue="1">
      <formula>IF($D$5&gt;=200,TRUE,FALSE)</formula>
    </cfRule>
  </conditionalFormatting>
  <conditionalFormatting sqref="L273:M273">
    <cfRule type="expression" dxfId="106" priority="49" stopIfTrue="1">
      <formula>IF(ISBLANK($L$94),FALSE,IF($L$94&gt;=50,FALSE,TRUE))</formula>
    </cfRule>
  </conditionalFormatting>
  <conditionalFormatting sqref="L111:M111">
    <cfRule type="expression" dxfId="105" priority="50" stopIfTrue="1">
      <formula>IF($D$5 &lt;200, TRUE,FALSE)</formula>
    </cfRule>
  </conditionalFormatting>
  <conditionalFormatting sqref="D5:M5">
    <cfRule type="expression" dxfId="104" priority="51" stopIfTrue="1">
      <formula>$D$5&gt;=200</formula>
    </cfRule>
  </conditionalFormatting>
  <conditionalFormatting sqref="N72:R73">
    <cfRule type="expression" dxfId="103" priority="52" stopIfTrue="1">
      <formula>IF(NOT(ISBLANK($L$72)),TRUE,FALSE)</formula>
    </cfRule>
  </conditionalFormatting>
  <conditionalFormatting sqref="L450:M451">
    <cfRule type="expression" dxfId="102" priority="53" stopIfTrue="1">
      <formula>IF(ISBLANK($M$449),FALSE,TRUE)</formula>
    </cfRule>
  </conditionalFormatting>
  <conditionalFormatting sqref="N266">
    <cfRule type="expression" dxfId="101" priority="54" stopIfTrue="1">
      <formula>IF(AND(NOT(ISBLANK(#REF!)),#REF!&lt;50),TRUE,FALSE)</formula>
    </cfRule>
  </conditionalFormatting>
  <conditionalFormatting sqref="K685">
    <cfRule type="expression" dxfId="100" priority="55" stopIfTrue="1">
      <formula>IF(#REF!&gt;=1,TRUE,FALSE)</formula>
    </cfRule>
  </conditionalFormatting>
  <conditionalFormatting sqref="F686:J687">
    <cfRule type="expression" dxfId="99" priority="56" stopIfTrue="1">
      <formula>IF(#REF!&gt;=1,TRUE,FALSE)</formula>
    </cfRule>
  </conditionalFormatting>
  <conditionalFormatting sqref="F668:J668">
    <cfRule type="expression" dxfId="98" priority="57" stopIfTrue="1">
      <formula>IF(#REF!&gt;=1,TRUE,FALSE)</formula>
    </cfRule>
  </conditionalFormatting>
  <conditionalFormatting sqref="N27:R27">
    <cfRule type="expression" dxfId="97" priority="59" stopIfTrue="1">
      <formula>IF(S27&lt;&gt;0,TRUE,FALSE)</formula>
    </cfRule>
  </conditionalFormatting>
  <conditionalFormatting sqref="N76:R76">
    <cfRule type="containsText" dxfId="96" priority="15" stopIfTrue="1" operator="containsText" text="Any clinic included in 0208 needs to be listed on Offsite Locations tab.">
      <formula>NOT(ISERROR(SEARCH("Any clinic included in 0208 needs to be listed on Offsite Locations tab.",N76)))</formula>
    </cfRule>
  </conditionalFormatting>
  <conditionalFormatting sqref="N189">
    <cfRule type="expression" dxfId="95" priority="60" stopIfTrue="1">
      <formula>IF(AND(ISBLANK(H189),ISBLANK(#REF!),ISBLANK(H190)),TRUE,FALSE)</formula>
    </cfRule>
  </conditionalFormatting>
  <conditionalFormatting sqref="L452:M452">
    <cfRule type="expression" dxfId="94" priority="204" stopIfTrue="1">
      <formula>IF(ISBLANK($M$766),FALSE,TRUE)</formula>
    </cfRule>
  </conditionalFormatting>
  <conditionalFormatting sqref="A266:K273">
    <cfRule type="expression" dxfId="93" priority="205" stopIfTrue="1">
      <formula>IF(OR(AND(ISBLANK($L$572),$S$572&lt;50), AND(NOT(ISBLANK($L$572)),$L$572&lt;50)),TRUE,FALSE)</formula>
    </cfRule>
  </conditionalFormatting>
  <conditionalFormatting sqref="N192">
    <cfRule type="expression" dxfId="92" priority="14" stopIfTrue="1">
      <formula>IF(AND(ISBLANK(H192),ISBLANK(#REF!),ISBLANK(H193)),TRUE,FALSE)</formula>
    </cfRule>
  </conditionalFormatting>
  <conditionalFormatting sqref="N195">
    <cfRule type="expression" dxfId="91" priority="13" stopIfTrue="1">
      <formula>IF(AND(ISBLANK(H195),ISBLANK(#REF!),ISBLANK(H196)),TRUE,FALSE)</formula>
    </cfRule>
  </conditionalFormatting>
  <conditionalFormatting sqref="N214">
    <cfRule type="expression" dxfId="90" priority="12" stopIfTrue="1">
      <formula>IF(AND(ISBLANK(H214),ISBLANK(#REF!),ISBLANK(H215)),TRUE,FALSE)</formula>
    </cfRule>
  </conditionalFormatting>
  <conditionalFormatting sqref="N217">
    <cfRule type="expression" dxfId="89" priority="11" stopIfTrue="1">
      <formula>IF(AND(ISBLANK(H217),ISBLANK(#REF!),ISBLANK(H218)),TRUE,FALSE)</formula>
    </cfRule>
  </conditionalFormatting>
  <conditionalFormatting sqref="N493">
    <cfRule type="expression" dxfId="88" priority="10" stopIfTrue="1">
      <formula>IF(AND(ISBLANK(H493),ISBLANK(#REF!),ISBLANK(H494)),TRUE,FALSE)</formula>
    </cfRule>
  </conditionalFormatting>
  <conditionalFormatting sqref="N496">
    <cfRule type="expression" dxfId="87" priority="9" stopIfTrue="1">
      <formula>IF(AND(ISBLANK(H496),ISBLANK(#REF!),ISBLANK(H497)),TRUE,FALSE)</formula>
    </cfRule>
  </conditionalFormatting>
  <conditionalFormatting sqref="N490">
    <cfRule type="expression" dxfId="86" priority="8" stopIfTrue="1">
      <formula>IF(AND(ISBLANK(H490),ISBLANK(#REF!),ISBLANK(H491)),TRUE,FALSE)</formula>
    </cfRule>
  </conditionalFormatting>
  <conditionalFormatting sqref="N511">
    <cfRule type="expression" dxfId="85" priority="7" stopIfTrue="1">
      <formula>IF(AND(ISBLANK(H511),ISBLANK(#REF!),ISBLANK(H512)),TRUE,FALSE)</formula>
    </cfRule>
  </conditionalFormatting>
  <conditionalFormatting sqref="N514">
    <cfRule type="expression" dxfId="84" priority="6" stopIfTrue="1">
      <formula>IF(AND(ISBLANK(H514),ISBLANK(#REF!),ISBLANK(H515)),TRUE,FALSE)</formula>
    </cfRule>
  </conditionalFormatting>
  <conditionalFormatting sqref="N517">
    <cfRule type="expression" dxfId="83" priority="5" stopIfTrue="1">
      <formula>IF(AND(ISBLANK(H517),ISBLANK(#REF!),ISBLANK(H518)),TRUE,FALSE)</formula>
    </cfRule>
  </conditionalFormatting>
  <conditionalFormatting sqref="L266:M272">
    <cfRule type="expression" dxfId="82" priority="2" stopIfTrue="1">
      <formula>IF(OR(AND(ISBLANK($L$572),$S$572&lt;50), AND(NOT(ISBLANK($L$572)),$L$572&lt;50)),TRUE,FALSE)</formula>
    </cfRule>
  </conditionalFormatting>
  <conditionalFormatting sqref="F432:G432">
    <cfRule type="expression" dxfId="81" priority="1" stopIfTrue="1">
      <formula>IF($D$5&gt;=200,TRUE,FALSE)</formula>
    </cfRule>
  </conditionalFormatting>
  <dataValidations count="3">
    <dataValidation type="list" allowBlank="1" showInputMessage="1" showErrorMessage="1" prompt="Plese select availibity of service from drop down list." sqref="G751:H751 G612:H614 G616:H619 G626:H627 G629:H631 G633:H634 G636:H636 G643:H644 G650:H651 G657:H658 G664:H665 G675:H676 G682:H683 G690:H690 G692:H693 G699:H699 G703:H703 G707:H707 G715:H718 G723:H725 G728:H728 G730:H730 G732:H732 G734:H734 G744:H748" xr:uid="{00000000-0002-0000-0100-000000000000}">
      <formula1>$S$652:$S$655</formula1>
    </dataValidation>
    <dataValidation type="list" allowBlank="1" showInputMessage="1" showErrorMessage="1" prompt="Please select owner of equipment from drop down list." sqref="O682:Q683 O643:Q644 O650:Q651 O657:Q658 O664:Q665 O675:Q676" xr:uid="{00000000-0002-0000-0100-000001000000}">
      <formula1>$R$653:$R$666</formula1>
    </dataValidation>
    <dataValidation type="list" showInputMessage="1" showErrorMessage="1" sqref="D19:I19" xr:uid="{00000000-0002-0000-0100-000002000000}">
      <formula1>$Z$13:$Z$25</formula1>
    </dataValidation>
  </dataValidations>
  <hyperlinks>
    <hyperlink ref="N108:R108" location="Explanation_of_Adjustments" display="Explanation_of_Adjustments" xr:uid="{00000000-0004-0000-0100-000000000000}"/>
    <hyperlink ref="N120:R120" location="Explanation_of_Adjustments" display="Explanation_of_Adjustments" xr:uid="{00000000-0004-0000-0100-000001000000}"/>
    <hyperlink ref="N125:R125" location="Explanation_of_Adjustments" display="Explanation_of_Adjustments" xr:uid="{00000000-0004-0000-0100-000002000000}"/>
    <hyperlink ref="I152" location="'2007 HAR'!A863" display="'2007 HAR'!A863" xr:uid="{00000000-0004-0000-0100-000003000000}"/>
    <hyperlink ref="N166:R166" location="'Audit Checks'!A3" display="Audit Check" xr:uid="{00000000-0004-0000-0100-000004000000}"/>
    <hyperlink ref="N184:R184" location="'Audit Checks'!A3" display="Audit Check" xr:uid="{00000000-0004-0000-0100-000005000000}"/>
    <hyperlink ref="B199:K199" location="def_0847" display="Other Payers: Patient Charges (Champus, Workers' Comp, Auto, etc.)" xr:uid="{00000000-0004-0000-0100-000006000000}"/>
    <hyperlink ref="B222:K222" location="def_0762" display="Charity Care Adjustments" xr:uid="{00000000-0004-0000-0100-000007000000}"/>
    <hyperlink ref="B220:K220" location="def_7410" display="Self Pay Discounts" xr:uid="{00000000-0004-0000-0100-000008000000}"/>
    <hyperlink ref="B233:K233" location="def_0751" display="Other Payers: Adjustments and Uncollectibles (Champus, Workman's Comp, Auto, and includes small balance write offs)" xr:uid="{00000000-0004-0000-0100-000009000000}"/>
    <hyperlink ref="N205:R205" location="'Audit Checks'!A3" display="Audit Check" xr:uid="{00000000-0004-0000-0100-00000A000000}"/>
    <hyperlink ref="B227:I227" location="def_7575" display="Average Partial Charity Care Discount (percent)" xr:uid="{00000000-0004-0000-0100-00000B000000}"/>
    <hyperlink ref="B225:G226" location="def_7573_7574" display="Full Charity Care Discount Applied" xr:uid="{00000000-0004-0000-0100-00000C000000}"/>
    <hyperlink ref="B274:K274" location="def_0630" display="Total Administrative Expenses" xr:uid="{00000000-0004-0000-0100-00000D000000}"/>
    <hyperlink ref="B278:K278" location="def_0637" display="Total Cost of Regulatory and Compliance Reporting" xr:uid="{00000000-0004-0000-0100-00000E000000}"/>
    <hyperlink ref="B282:K282" location="def_0650" display="Total Management Information Systems Expenses" xr:uid="{00000000-0004-0000-0100-00000F000000}"/>
    <hyperlink ref="B283:K283" location="def_0655" display="Total Plant, Equipment, and Occupancy Expenses" xr:uid="{00000000-0004-0000-0100-000010000000}"/>
    <hyperlink ref="B288:G288" location="def_7310" display="Community Care. Calculation: (0600/(0740+0770))*absolute value of (0762)" xr:uid="{00000000-0004-0000-0100-000011000000}"/>
    <hyperlink ref="B289:G290" location="def_7577" display="Underpayment for Services Provided under State Health Care Programs.  Calculation: (((0843+0854)*(0600/(0740+0770)))-(0843+0854+0744+0743))" xr:uid="{00000000-0004-0000-0100-000012000000}"/>
    <hyperlink ref="B291:G291" location="def_7578" display="Cost of Operating Subsidized Services" xr:uid="{00000000-0004-0000-0100-000013000000}"/>
    <hyperlink ref="B292:G292" location="def_7579" display="Education Cost" xr:uid="{00000000-0004-0000-0100-000014000000}"/>
    <hyperlink ref="B293:G293" location="def_7580" display="Research Cost" xr:uid="{00000000-0004-0000-0100-000015000000}"/>
    <hyperlink ref="B294:G294" location="def_7581" display="Community Health Services Cost" xr:uid="{00000000-0004-0000-0100-000016000000}"/>
    <hyperlink ref="B295:G295" location="def_7582" display="Financial and In-Kind Contributions" xr:uid="{00000000-0004-0000-0100-000017000000}"/>
    <hyperlink ref="B296:G296" location="def_7583" display="Cost of Community Building Activities" xr:uid="{00000000-0004-0000-0100-000018000000}"/>
    <hyperlink ref="B297:G297" location="def_7584" display="Cost of Community Benefit Operations" xr:uid="{00000000-0004-0000-0100-000019000000}"/>
    <hyperlink ref="B307:K307" location="def_7576" display="Purchased Charity Care Services" xr:uid="{00000000-0004-0000-0100-00001A000000}"/>
    <hyperlink ref="N378:R378" location="'Audit Checks'!A3" display="Audit Check" xr:uid="{00000000-0004-0000-0100-00001B000000}"/>
    <hyperlink ref="N436:R436" location="'2012 HAR'!L442" display="'2012 HAR'!L442" xr:uid="{00000000-0004-0000-0100-00001C000000}"/>
    <hyperlink ref="N454:R454" location="'Audit Checks'!A3" display="Audit Check" xr:uid="{00000000-0004-0000-0100-00001D000000}"/>
    <hyperlink ref="B500:K500" location="def_4344" display="Other Payers: Admissions (Champus, Workman's Comp, Auto, etc.)" xr:uid="{00000000-0004-0000-0100-00001E000000}"/>
    <hyperlink ref="B521:K521" location="def_4026" display="Other Payers: Patient Days (Champus, Workman's Comp, Auto, etc.)" xr:uid="{00000000-0004-0000-0100-00001F000000}"/>
    <hyperlink ref="B600:E600" location="def_7082" display="Total Available Beds" xr:uid="{00000000-0004-0000-0100-000020000000}"/>
    <hyperlink ref="B755:K756" location="def_7594" display="Did your Facility have any Major Capital Expenditure Commitments in FY 2008 that were over $1 million dollars each?" xr:uid="{00000000-0004-0000-0100-000021000000}"/>
    <hyperlink ref="A5:C5" location="HCCIS_ID!A1" display="HCCIS ID" xr:uid="{00000000-0004-0000-0100-000022000000}"/>
    <hyperlink ref="A6:C6" location="def_NPI" display="NPI" xr:uid="{00000000-0004-0000-0100-000023000000}"/>
    <hyperlink ref="N65:R65" location="Code_0780" display="Code_0780" xr:uid="{00000000-0004-0000-0100-000024000000}"/>
    <hyperlink ref="N91:Q91" location="'2007 HAR'!A869" display="Page_32" xr:uid="{00000000-0004-0000-0100-000025000000}"/>
    <hyperlink ref="N91:R91" location="Explanation_of_Adjustments" display="Explanation_of_Adjustments" xr:uid="{00000000-0004-0000-0100-000026000000}"/>
    <hyperlink ref="N135:R136" location="Code_7689" display="Code_7689" xr:uid="{00000000-0004-0000-0100-000027000000}"/>
    <hyperlink ref="N473:R474" location="DRGs" display="DRGs" xr:uid="{00000000-0004-0000-0100-000028000000}"/>
    <hyperlink ref="N757:R758" location="'Capital Expend Project Specific'!A1" display="'Capital Expend Project Specific'!A1" xr:uid="{00000000-0004-0000-0100-000029000000}"/>
    <hyperlink ref="N59:R59" location="Code_7594" display="Click here to go to the Capital Expenditure Section" xr:uid="{00000000-0004-0000-0100-00002A000000}"/>
    <hyperlink ref="N60:R60" location="'Capital Expend Project Specific'!A1" display="Click here to go the the Capital Expenditure Project Specific Tab" xr:uid="{00000000-0004-0000-0100-00002B000000}"/>
    <hyperlink ref="N464:R464" location="Code_7691" display="Code_7691" xr:uid="{00000000-0004-0000-0100-00002C000000}"/>
    <hyperlink ref="N478:R478" location="Code_7690" display="Code_7690" xr:uid="{00000000-0004-0000-0100-00002D000000}"/>
    <hyperlink ref="N265:Q265" location="'Audit Checks'!A1" display="Audit Check" xr:uid="{00000000-0004-0000-0100-00002E000000}"/>
    <hyperlink ref="A787:B787" location="'2014 HAR'!A1" display="Start of formset" xr:uid="{00000000-0004-0000-0100-00002F000000}"/>
    <hyperlink ref="F787:G787" location="'Audit Checks'!A1" display="Audit Check" xr:uid="{00000000-0004-0000-0100-000030000000}"/>
    <hyperlink ref="J787:K787" location="'Service Line Data'!A1" display="Service Line Data" xr:uid="{00000000-0004-0000-0100-000031000000}"/>
    <hyperlink ref="O787:Q787" location="'Capital Expend Project Specific'!A1" display="Capital Exenditure Detail" xr:uid="{00000000-0004-0000-0100-000032000000}"/>
    <hyperlink ref="B259:K259" location="def_7567" display="Bad Debt Write Offs" xr:uid="{00000000-0004-0000-0100-000033000000}"/>
    <hyperlink ref="N759:V759" location="Cap_Expend_Name" display="The Capital Expenditure Contact information has NOT been provided.  Click here to go to Capital Expenditure Contact Section to fill in this information now." xr:uid="{00000000-0004-0000-0100-000034000000}"/>
    <hyperlink ref="N113:R113" location="Code_2031" display="Code_2031" xr:uid="{00000000-0004-0000-0100-000035000000}"/>
    <hyperlink ref="N27:R27" location="'Audit Checks'!A1" display="'Audit Checks'!A1" xr:uid="{00000000-0004-0000-0100-000036000000}"/>
    <hyperlink ref="N70:R71" location="'Offsite Locations'!A1" display="If there there are offsite locations operating under the hospital's license, please click here and provide more information on the sites" xr:uid="{00000000-0004-0000-0100-000037000000}"/>
    <hyperlink ref="G763:H763" location="def_medical_equip" display="Medical Equipment" xr:uid="{00000000-0004-0000-0100-000038000000}"/>
    <hyperlink ref="N12:R12" location="'2009 HAR'!A800" display="'2009 HAR'!A800" xr:uid="{00000000-0004-0000-0100-000039000000}"/>
    <hyperlink ref="N72:R73" location="'Offsite Locations'!Print_Area" display="'Offsite Locations'!Print_Area" xr:uid="{00000000-0004-0000-0100-00003A000000}"/>
    <hyperlink ref="N76:R76" location="'Offsite Locations'!Print_Area" display="'Offsite Locations'!Print_Area" xr:uid="{00000000-0004-0000-0100-00003B000000}"/>
    <hyperlink ref="B79:K79" location="def_8100" display="Provision for Bad Debts" xr:uid="{00000000-0004-0000-0100-00003C000000}"/>
    <hyperlink ref="B99:K99" location="def_8100" display="Provision for Bad Debts (ties to 0621)" xr:uid="{00000000-0004-0000-0100-00003D000000}"/>
    <hyperlink ref="B230:K230" location="def_8100" display="Provision for Bad Debts (Ties to 0739)" xr:uid="{00000000-0004-0000-0100-00003E000000}"/>
  </hyperlinks>
  <pageMargins left="0.75" right="0.75" top="1" bottom="1" header="0.5" footer="0.5"/>
  <pageSetup scale="61" orientation="portrait" r:id="rId1"/>
  <headerFooter alignWithMargins="0">
    <oddFooter xml:space="preserve">&amp;LMDH
http://health.state.mn.us/divs/hpsc/dap/hccis
Phone: 651-201-3572 
Fax: 651-201-5179
&amp;CPage &amp;P
2017 Hospital Annual Report
Health Care Cost  Information System (HCCIS)
&amp;RMHA
Jsanislo@mnhospitals.org
Phone: 651-641-1121 
Fax: 651-659-1477
</oddFooter>
  </headerFooter>
  <rowBreaks count="25" manualBreakCount="25">
    <brk id="32" max="16383" man="1"/>
    <brk id="65" max="16383" man="1"/>
    <brk id="93" max="17" man="1"/>
    <brk id="132" max="17" man="1"/>
    <brk id="171" max="17" man="1"/>
    <brk id="202" max="17" man="1"/>
    <brk id="241" max="17" man="1"/>
    <brk id="261" max="17" man="1"/>
    <brk id="283" max="17" man="1"/>
    <brk id="309" max="17" man="1"/>
    <brk id="344" max="17" man="1"/>
    <brk id="373" max="17" man="1"/>
    <brk id="413" max="17" man="1"/>
    <brk id="445" max="17" man="1"/>
    <brk id="461" max="17" man="1"/>
    <brk id="485" max="17" man="1"/>
    <brk id="506" max="17" man="1"/>
    <brk id="529" max="17" man="1"/>
    <brk id="569" max="17" man="1"/>
    <brk id="606" max="17" man="1"/>
    <brk id="637" max="17" man="1"/>
    <brk id="669" max="17" man="1"/>
    <brk id="710" max="17" man="1"/>
    <brk id="751" max="17" man="1"/>
    <brk id="789" max="17"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W85"/>
  <sheetViews>
    <sheetView view="pageBreakPreview" zoomScaleNormal="100" zoomScaleSheetLayoutView="100" workbookViewId="0"/>
  </sheetViews>
  <sheetFormatPr defaultColWidth="7.7265625" defaultRowHeight="25.5" customHeight="1" x14ac:dyDescent="0.25"/>
  <cols>
    <col min="1" max="16384" width="7.7265625" style="1"/>
  </cols>
  <sheetData>
    <row r="1" spans="1:23" s="2" customFormat="1" ht="25.5" customHeight="1" x14ac:dyDescent="0.3">
      <c r="A1" s="15" t="e">
        <f>'2017 HAR'!A33</f>
        <v>#N/A</v>
      </c>
      <c r="T1" s="337">
        <f>'2017 HAR'!$D$5</f>
        <v>0</v>
      </c>
      <c r="W1" s="287" t="str">
        <f>IF('2017 HAR'!L136&lt;&gt;"",'2017 HAR'!L136,"")</f>
        <v/>
      </c>
    </row>
    <row r="2" spans="1:23" ht="25.5" customHeight="1" x14ac:dyDescent="0.25">
      <c r="A2" s="787" t="s">
        <v>1526</v>
      </c>
      <c r="B2" s="674"/>
      <c r="C2" s="674"/>
      <c r="D2" s="674"/>
      <c r="E2" s="674"/>
      <c r="F2" s="674"/>
      <c r="G2" s="674"/>
      <c r="H2" s="674"/>
      <c r="I2" s="674"/>
      <c r="J2" s="674"/>
      <c r="K2" s="674"/>
      <c r="L2" s="674"/>
      <c r="M2" s="674"/>
      <c r="N2" s="674"/>
      <c r="O2" s="674"/>
      <c r="P2" s="674"/>
      <c r="Q2" s="674"/>
      <c r="R2" s="1260"/>
      <c r="S2" s="1260"/>
      <c r="T2" s="1260"/>
    </row>
    <row r="3" spans="1:23" s="2" customFormat="1" ht="25.5" customHeight="1" x14ac:dyDescent="0.25">
      <c r="A3" s="787" t="s">
        <v>1643</v>
      </c>
      <c r="B3" s="674"/>
      <c r="C3" s="674"/>
      <c r="D3" s="674"/>
      <c r="E3" s="674"/>
      <c r="F3" s="674"/>
      <c r="G3" s="674"/>
      <c r="H3" s="674"/>
      <c r="I3" s="674"/>
      <c r="J3" s="674"/>
      <c r="K3" s="674"/>
      <c r="L3" s="674"/>
      <c r="M3" s="674"/>
      <c r="N3" s="674"/>
      <c r="O3" s="674"/>
      <c r="P3" s="674"/>
      <c r="Q3" s="674"/>
      <c r="R3" s="1260"/>
      <c r="S3" s="1260"/>
      <c r="T3" s="1260"/>
    </row>
    <row r="4" spans="1:23" s="2" customFormat="1" ht="25.5" customHeight="1" x14ac:dyDescent="0.25">
      <c r="A4" s="1281" t="s">
        <v>1913</v>
      </c>
      <c r="B4" s="1260"/>
      <c r="C4" s="1260"/>
      <c r="D4" s="1260"/>
      <c r="E4" s="1260"/>
      <c r="F4" s="1260"/>
      <c r="G4" s="1260"/>
      <c r="H4" s="1260"/>
      <c r="I4" s="1260"/>
      <c r="J4" s="1260"/>
      <c r="K4" s="1260"/>
      <c r="L4" s="1260"/>
      <c r="M4" s="1260"/>
      <c r="N4" s="1260"/>
      <c r="O4" s="1260"/>
      <c r="P4" s="1260"/>
      <c r="Q4" s="1260"/>
      <c r="R4" s="684" t="s">
        <v>3614</v>
      </c>
      <c r="S4" s="1274"/>
      <c r="T4" s="1275"/>
    </row>
    <row r="5" spans="1:23" s="2" customFormat="1" ht="25.5" customHeight="1" x14ac:dyDescent="0.25">
      <c r="A5" s="34"/>
      <c r="B5" s="757" t="s">
        <v>42</v>
      </c>
      <c r="C5" s="757"/>
      <c r="D5" s="757"/>
      <c r="E5" s="757"/>
      <c r="F5" s="758" t="s">
        <v>761</v>
      </c>
      <c r="G5" s="758"/>
      <c r="H5" s="758"/>
      <c r="I5" s="756" t="s">
        <v>44</v>
      </c>
      <c r="J5" s="756"/>
      <c r="K5" s="678"/>
      <c r="L5" s="758" t="s">
        <v>45</v>
      </c>
      <c r="M5" s="758"/>
      <c r="N5" s="678"/>
      <c r="O5" s="756" t="s">
        <v>46</v>
      </c>
      <c r="P5" s="756"/>
      <c r="Q5" s="678"/>
      <c r="R5" s="756" t="s">
        <v>885</v>
      </c>
      <c r="S5" s="756"/>
      <c r="T5" s="678"/>
    </row>
    <row r="6" spans="1:23" s="2" customFormat="1" ht="25.5" customHeight="1" x14ac:dyDescent="0.25">
      <c r="A6" s="24"/>
      <c r="B6" s="694" t="s">
        <v>762</v>
      </c>
      <c r="C6" s="694"/>
      <c r="D6" s="694"/>
      <c r="E6" s="695"/>
      <c r="F6" s="441">
        <v>7689</v>
      </c>
      <c r="G6" s="633">
        <f>SUM(J6+M6+P6+S6)</f>
        <v>0</v>
      </c>
      <c r="H6" s="626"/>
      <c r="I6" s="441">
        <v>7549</v>
      </c>
      <c r="J6" s="1261"/>
      <c r="K6" s="1262"/>
      <c r="L6" s="441">
        <v>7554</v>
      </c>
      <c r="M6" s="1261"/>
      <c r="N6" s="1262"/>
      <c r="O6" s="441">
        <v>7560</v>
      </c>
      <c r="P6" s="1261"/>
      <c r="Q6" s="1262"/>
      <c r="R6" s="441">
        <v>8004</v>
      </c>
      <c r="S6" s="1261"/>
      <c r="T6" s="1262"/>
    </row>
    <row r="7" spans="1:23" s="2" customFormat="1" ht="25.5" customHeight="1" x14ac:dyDescent="0.25">
      <c r="A7" s="24"/>
      <c r="B7" s="694" t="s">
        <v>763</v>
      </c>
      <c r="C7" s="694"/>
      <c r="D7" s="694"/>
      <c r="E7" s="695"/>
      <c r="F7" s="441">
        <v>7236</v>
      </c>
      <c r="G7" s="633">
        <f>SUM(J7+M7+P7+S7)</f>
        <v>0</v>
      </c>
      <c r="H7" s="626"/>
      <c r="I7" s="441">
        <v>7548</v>
      </c>
      <c r="J7" s="1261"/>
      <c r="K7" s="1262"/>
      <c r="L7" s="441">
        <v>7552</v>
      </c>
      <c r="M7" s="1261"/>
      <c r="N7" s="1262"/>
      <c r="O7" s="441">
        <v>7561</v>
      </c>
      <c r="P7" s="1261"/>
      <c r="Q7" s="1262"/>
      <c r="R7" s="441">
        <v>8005</v>
      </c>
      <c r="S7" s="1261"/>
      <c r="T7" s="1262"/>
    </row>
    <row r="8" spans="1:23" s="2" customFormat="1" ht="25.5" customHeight="1" x14ac:dyDescent="0.25">
      <c r="A8" s="24"/>
      <c r="B8" s="694" t="s">
        <v>764</v>
      </c>
      <c r="C8" s="694"/>
      <c r="D8" s="694"/>
      <c r="E8" s="695"/>
      <c r="F8" s="441">
        <v>721</v>
      </c>
      <c r="G8" s="633">
        <f>SUM(J8+M8+P8+S8)</f>
        <v>0</v>
      </c>
      <c r="H8" s="626"/>
      <c r="I8" s="441">
        <v>7997</v>
      </c>
      <c r="J8" s="1261"/>
      <c r="K8" s="1262"/>
      <c r="L8" s="441">
        <v>7553</v>
      </c>
      <c r="M8" s="1261"/>
      <c r="N8" s="1262"/>
      <c r="O8" s="441">
        <v>7562</v>
      </c>
      <c r="P8" s="1261"/>
      <c r="Q8" s="1262"/>
      <c r="R8" s="441">
        <v>8006</v>
      </c>
      <c r="S8" s="1261"/>
      <c r="T8" s="1262"/>
    </row>
    <row r="9" spans="1:23" s="2" customFormat="1" ht="25.5" customHeight="1" x14ac:dyDescent="0.25">
      <c r="A9" s="24"/>
      <c r="B9" s="694" t="s">
        <v>765</v>
      </c>
      <c r="C9" s="694"/>
      <c r="D9" s="694"/>
      <c r="E9" s="695"/>
      <c r="F9" s="441">
        <v>727</v>
      </c>
      <c r="G9" s="633">
        <f>SUM(J9+M9+P9+S9)</f>
        <v>0</v>
      </c>
      <c r="H9" s="626"/>
      <c r="I9" s="441">
        <v>7998</v>
      </c>
      <c r="J9" s="1261"/>
      <c r="K9" s="1262"/>
      <c r="L9" s="441">
        <v>7555</v>
      </c>
      <c r="M9" s="1261"/>
      <c r="N9" s="1262"/>
      <c r="O9" s="441">
        <v>7563</v>
      </c>
      <c r="P9" s="1261"/>
      <c r="Q9" s="1262"/>
      <c r="R9" s="441">
        <v>8059</v>
      </c>
      <c r="S9" s="1261"/>
      <c r="T9" s="1262"/>
    </row>
    <row r="10" spans="1:23" s="2" customFormat="1" ht="25.5" customHeight="1" x14ac:dyDescent="0.25">
      <c r="A10" s="24"/>
      <c r="B10" s="694" t="s">
        <v>766</v>
      </c>
      <c r="C10" s="694"/>
      <c r="D10" s="694"/>
      <c r="E10" s="695"/>
      <c r="F10" s="441">
        <v>7240</v>
      </c>
      <c r="G10" s="633">
        <f>SUM(J10+M10+P10+S10)</f>
        <v>0</v>
      </c>
      <c r="H10" s="626"/>
      <c r="I10" s="441">
        <v>7999</v>
      </c>
      <c r="J10" s="1261"/>
      <c r="K10" s="1262"/>
      <c r="L10" s="441">
        <v>7556</v>
      </c>
      <c r="M10" s="1261"/>
      <c r="N10" s="1262"/>
      <c r="O10" s="441">
        <v>7565</v>
      </c>
      <c r="P10" s="1261"/>
      <c r="Q10" s="1262"/>
      <c r="R10" s="441">
        <v>8007</v>
      </c>
      <c r="S10" s="1261"/>
      <c r="T10" s="1262"/>
    </row>
    <row r="11" spans="1:23" s="2" customFormat="1" ht="25.5" customHeight="1" x14ac:dyDescent="0.25">
      <c r="A11" s="24"/>
      <c r="B11" s="694" t="s">
        <v>767</v>
      </c>
      <c r="C11" s="694"/>
      <c r="D11" s="694"/>
      <c r="E11" s="695"/>
      <c r="F11" s="441">
        <v>714</v>
      </c>
      <c r="G11" s="1261"/>
      <c r="H11" s="1262"/>
      <c r="I11" s="25"/>
      <c r="J11" s="26"/>
      <c r="K11" s="26"/>
      <c r="L11" s="223"/>
      <c r="M11" s="1263"/>
      <c r="N11" s="1264"/>
      <c r="O11" s="223"/>
      <c r="P11" s="1276"/>
      <c r="Q11" s="1278"/>
      <c r="R11" s="224"/>
      <c r="S11" s="1276"/>
      <c r="T11" s="1277"/>
    </row>
    <row r="12" spans="1:23" s="2" customFormat="1" ht="25.5" customHeight="1" x14ac:dyDescent="0.25">
      <c r="A12" s="24"/>
      <c r="B12" s="694" t="s">
        <v>768</v>
      </c>
      <c r="C12" s="694"/>
      <c r="D12" s="694"/>
      <c r="E12" s="695"/>
      <c r="F12" s="441">
        <v>7546</v>
      </c>
      <c r="G12" s="633">
        <f>J12+M12+P12</f>
        <v>0</v>
      </c>
      <c r="H12" s="626"/>
      <c r="I12" s="441">
        <v>8050</v>
      </c>
      <c r="J12" s="1261"/>
      <c r="K12" s="1262"/>
      <c r="L12" s="441">
        <v>8051</v>
      </c>
      <c r="M12" s="1261"/>
      <c r="N12" s="1262"/>
      <c r="O12" s="441">
        <v>8052</v>
      </c>
      <c r="P12" s="1261"/>
      <c r="Q12" s="1262"/>
      <c r="R12" s="223"/>
      <c r="S12" s="225"/>
      <c r="T12" s="226"/>
    </row>
    <row r="13" spans="1:23" s="2" customFormat="1" ht="25.5" customHeight="1" x14ac:dyDescent="0.25">
      <c r="A13" s="24"/>
      <c r="B13" s="694" t="s">
        <v>769</v>
      </c>
      <c r="C13" s="694"/>
      <c r="D13" s="694"/>
      <c r="E13" s="695"/>
      <c r="F13" s="441">
        <v>7238</v>
      </c>
      <c r="G13" s="633">
        <f>SUM(J13+M13+P13+S13)</f>
        <v>0</v>
      </c>
      <c r="H13" s="626"/>
      <c r="I13" s="441">
        <v>8000</v>
      </c>
      <c r="J13" s="1261"/>
      <c r="K13" s="1262"/>
      <c r="L13" s="441">
        <v>7557</v>
      </c>
      <c r="M13" s="1261"/>
      <c r="N13" s="1262"/>
      <c r="O13" s="441">
        <v>7566</v>
      </c>
      <c r="P13" s="1261"/>
      <c r="Q13" s="1262"/>
      <c r="R13" s="441">
        <v>8009</v>
      </c>
      <c r="S13" s="1261"/>
      <c r="T13" s="1262"/>
    </row>
    <row r="14" spans="1:23" s="2" customFormat="1" ht="25.5" customHeight="1" x14ac:dyDescent="0.25">
      <c r="A14" s="24"/>
      <c r="B14" s="694" t="s">
        <v>770</v>
      </c>
      <c r="C14" s="694"/>
      <c r="D14" s="694"/>
      <c r="E14" s="695"/>
      <c r="F14" s="441">
        <v>724</v>
      </c>
      <c r="G14" s="633">
        <f>SUM(J14+M14+P14+S14)</f>
        <v>0</v>
      </c>
      <c r="H14" s="626"/>
      <c r="I14" s="441">
        <v>8001</v>
      </c>
      <c r="J14" s="1261"/>
      <c r="K14" s="1262"/>
      <c r="L14" s="441">
        <v>7558</v>
      </c>
      <c r="M14" s="1261"/>
      <c r="N14" s="1262"/>
      <c r="O14" s="441">
        <v>7704</v>
      </c>
      <c r="P14" s="1261"/>
      <c r="Q14" s="1262"/>
      <c r="R14" s="441">
        <v>8010</v>
      </c>
      <c r="S14" s="1261"/>
      <c r="T14" s="1262"/>
    </row>
    <row r="15" spans="1:23" s="2" customFormat="1" ht="25.5" customHeight="1" x14ac:dyDescent="0.25">
      <c r="A15" s="24"/>
      <c r="B15" s="694" t="s">
        <v>771</v>
      </c>
      <c r="C15" s="694"/>
      <c r="D15" s="694"/>
      <c r="E15" s="695"/>
      <c r="F15" s="441">
        <v>7132</v>
      </c>
      <c r="G15" s="633">
        <f>SUM(J15+M15+P15+S15)</f>
        <v>0</v>
      </c>
      <c r="H15" s="626"/>
      <c r="I15" s="441">
        <v>7550</v>
      </c>
      <c r="J15" s="1268"/>
      <c r="K15" s="1269"/>
      <c r="L15" s="441">
        <v>7559</v>
      </c>
      <c r="M15" s="1268"/>
      <c r="N15" s="1269"/>
      <c r="O15" s="441">
        <v>7705</v>
      </c>
      <c r="P15" s="1268"/>
      <c r="Q15" s="1269"/>
      <c r="R15" s="441">
        <v>8011</v>
      </c>
      <c r="S15" s="1268"/>
      <c r="T15" s="1269"/>
    </row>
    <row r="16" spans="1:23" s="2" customFormat="1" ht="25.5" customHeight="1" x14ac:dyDescent="0.25">
      <c r="A16" s="23"/>
      <c r="B16" s="723" t="s">
        <v>776</v>
      </c>
      <c r="C16" s="723"/>
      <c r="D16" s="723"/>
      <c r="E16" s="724"/>
      <c r="F16" s="441">
        <v>8064</v>
      </c>
      <c r="G16" s="1251">
        <f>SUM(G6:H15)</f>
        <v>0</v>
      </c>
      <c r="H16" s="1252"/>
      <c r="I16" s="1239" t="s">
        <v>3620</v>
      </c>
      <c r="J16" s="1240"/>
      <c r="K16" s="1240"/>
      <c r="L16" s="1240"/>
      <c r="M16" s="1240"/>
      <c r="N16" s="1240"/>
      <c r="O16" s="1241"/>
      <c r="P16" s="1241"/>
      <c r="Q16" s="1241"/>
      <c r="R16" s="1241"/>
      <c r="S16" s="1241"/>
      <c r="T16" s="1241"/>
    </row>
    <row r="17" spans="1:22" s="2" customFormat="1" ht="25.5" customHeight="1" x14ac:dyDescent="0.25">
      <c r="A17" s="24"/>
      <c r="B17" s="694" t="s">
        <v>775</v>
      </c>
      <c r="C17" s="694"/>
      <c r="D17" s="694"/>
      <c r="E17" s="695"/>
      <c r="F17" s="441">
        <v>7996</v>
      </c>
      <c r="G17" s="1251">
        <f>G18-G16</f>
        <v>0</v>
      </c>
      <c r="H17" s="1252"/>
      <c r="I17" s="1242"/>
      <c r="J17" s="1243"/>
      <c r="K17" s="1243"/>
      <c r="L17" s="1243"/>
      <c r="M17" s="1243"/>
      <c r="N17" s="1243"/>
      <c r="O17" s="1243"/>
      <c r="P17" s="1243"/>
      <c r="Q17" s="1243"/>
      <c r="R17" s="1243"/>
      <c r="S17" s="1243"/>
      <c r="T17" s="1243"/>
    </row>
    <row r="18" spans="1:22" s="2" customFormat="1" ht="25.5" customHeight="1" x14ac:dyDescent="0.25">
      <c r="A18" s="23"/>
      <c r="B18" s="723" t="s">
        <v>777</v>
      </c>
      <c r="C18" s="723"/>
      <c r="D18" s="723"/>
      <c r="E18" s="724"/>
      <c r="F18" s="441">
        <v>8065</v>
      </c>
      <c r="G18" s="1251">
        <f>Code_7133</f>
        <v>0</v>
      </c>
      <c r="H18" s="1273"/>
      <c r="I18" s="1244"/>
      <c r="J18" s="1245"/>
      <c r="K18" s="1245"/>
      <c r="L18" s="1245"/>
      <c r="M18" s="1245"/>
      <c r="N18" s="1245"/>
      <c r="O18" s="1245"/>
      <c r="P18" s="1245"/>
      <c r="Q18" s="1245"/>
      <c r="R18" s="1245"/>
      <c r="S18" s="1245"/>
      <c r="T18" s="1245"/>
    </row>
    <row r="19" spans="1:22" s="2" customFormat="1" ht="25.5" customHeight="1" x14ac:dyDescent="0.25">
      <c r="A19" s="28"/>
      <c r="B19" s="752" t="s">
        <v>886</v>
      </c>
      <c r="C19" s="752"/>
      <c r="D19" s="752"/>
      <c r="E19" s="753"/>
      <c r="F19" s="441">
        <v>8066</v>
      </c>
      <c r="G19" s="586">
        <f>Code_0730</f>
        <v>0</v>
      </c>
      <c r="H19" s="587">
        <f>SUM(H3:H18)</f>
        <v>0</v>
      </c>
      <c r="I19" s="441">
        <v>7692</v>
      </c>
      <c r="J19" s="586">
        <f>SUM(J6:K10,J12:K15)</f>
        <v>0</v>
      </c>
      <c r="K19" s="587">
        <f>SUM(K3:K18)</f>
        <v>0</v>
      </c>
      <c r="L19" s="441">
        <v>7693</v>
      </c>
      <c r="M19" s="586">
        <f>SUM(M6:N10,M12:N15)+Code_0717+Code_0715+Code_7134</f>
        <v>0</v>
      </c>
      <c r="N19" s="587">
        <f>SUM(N3:N18)</f>
        <v>0</v>
      </c>
      <c r="O19" s="441">
        <v>7694</v>
      </c>
      <c r="P19" s="586">
        <f>SUM(P6:Q10,P12:Q15)</f>
        <v>0</v>
      </c>
      <c r="Q19" s="587">
        <f>SUM(Q3:Q18)</f>
        <v>0</v>
      </c>
      <c r="R19" s="441">
        <v>8013</v>
      </c>
      <c r="S19" s="586">
        <f>SUM(S6:T10,S13:T15,G11)+Code_0711</f>
        <v>0</v>
      </c>
      <c r="T19" s="587">
        <f>SUM(T3:T18)</f>
        <v>0</v>
      </c>
    </row>
    <row r="20" spans="1:22" s="2" customFormat="1" ht="25.5" customHeight="1" x14ac:dyDescent="0.3">
      <c r="A20" s="15" t="e">
        <f>'2017 HAR'!A33</f>
        <v>#N/A</v>
      </c>
    </row>
    <row r="21" spans="1:22" ht="25.5" customHeight="1" x14ac:dyDescent="0.25">
      <c r="A21" s="787" t="s">
        <v>1526</v>
      </c>
      <c r="B21" s="674"/>
      <c r="C21" s="674"/>
      <c r="D21" s="674"/>
      <c r="E21" s="674"/>
      <c r="F21" s="674"/>
      <c r="G21" s="674"/>
      <c r="H21" s="674"/>
      <c r="I21" s="674"/>
      <c r="J21" s="674"/>
      <c r="K21" s="674"/>
      <c r="L21" s="674"/>
      <c r="M21" s="674"/>
      <c r="N21" s="674"/>
      <c r="O21" s="674"/>
      <c r="P21" s="674"/>
      <c r="Q21" s="674"/>
      <c r="R21" s="1260"/>
      <c r="S21" s="1260"/>
      <c r="T21" s="1260"/>
    </row>
    <row r="22" spans="1:22" s="2" customFormat="1" ht="25.5" customHeight="1" x14ac:dyDescent="0.25">
      <c r="A22" s="787" t="s">
        <v>1643</v>
      </c>
      <c r="B22" s="600"/>
      <c r="C22" s="600"/>
      <c r="D22" s="600"/>
      <c r="E22" s="600"/>
      <c r="F22" s="600"/>
      <c r="G22" s="600"/>
      <c r="H22" s="600"/>
      <c r="I22" s="600"/>
      <c r="J22" s="600"/>
      <c r="K22" s="600"/>
      <c r="L22" s="600"/>
      <c r="M22" s="600"/>
      <c r="N22" s="600"/>
      <c r="O22" s="600"/>
      <c r="P22" s="1246" t="str">
        <f>IF('2017 HAR'!$D$5&gt;=200,"This section is REQUIRED for Pyschiatric and Specialty hospitals.","")</f>
        <v/>
      </c>
      <c r="Q22" s="1246"/>
      <c r="R22" s="1246"/>
      <c r="S22" s="1246"/>
      <c r="T22" s="1246"/>
    </row>
    <row r="23" spans="1:22" s="2" customFormat="1" ht="25.5" customHeight="1" x14ac:dyDescent="0.25">
      <c r="A23" s="777" t="s">
        <v>1914</v>
      </c>
      <c r="B23" s="777"/>
      <c r="C23" s="777"/>
      <c r="D23" s="777"/>
      <c r="E23" s="777"/>
      <c r="F23" s="1265"/>
      <c r="G23" s="1265"/>
      <c r="H23" s="1265"/>
      <c r="I23" s="1265"/>
      <c r="J23" s="1265"/>
      <c r="K23" s="1265"/>
      <c r="L23" s="1265"/>
      <c r="M23" s="1265"/>
      <c r="N23" s="1265"/>
      <c r="O23" s="1266"/>
      <c r="P23" s="1267" t="s">
        <v>274</v>
      </c>
      <c r="Q23" s="1267"/>
      <c r="R23" s="684" t="s">
        <v>3614</v>
      </c>
      <c r="S23" s="1274"/>
      <c r="T23" s="1275"/>
      <c r="U23" s="22"/>
      <c r="V23" s="22"/>
    </row>
    <row r="24" spans="1:22" s="2" customFormat="1" ht="25.5" customHeight="1" x14ac:dyDescent="0.25">
      <c r="A24" s="34"/>
      <c r="B24" s="757" t="s">
        <v>42</v>
      </c>
      <c r="C24" s="757"/>
      <c r="D24" s="757"/>
      <c r="E24" s="757"/>
      <c r="F24" s="758" t="s">
        <v>773</v>
      </c>
      <c r="G24" s="758"/>
      <c r="H24" s="758"/>
      <c r="I24" s="756" t="s">
        <v>44</v>
      </c>
      <c r="J24" s="756"/>
      <c r="K24" s="678"/>
      <c r="L24" s="758" t="s">
        <v>45</v>
      </c>
      <c r="M24" s="758"/>
      <c r="N24" s="678"/>
      <c r="O24" s="756" t="s">
        <v>46</v>
      </c>
      <c r="P24" s="756"/>
      <c r="Q24" s="678"/>
      <c r="R24" s="756" t="s">
        <v>885</v>
      </c>
      <c r="S24" s="756"/>
      <c r="T24" s="678"/>
    </row>
    <row r="25" spans="1:22" s="2" customFormat="1" ht="25.5" customHeight="1" x14ac:dyDescent="0.25">
      <c r="A25" s="24"/>
      <c r="B25" s="694" t="s">
        <v>1122</v>
      </c>
      <c r="C25" s="694"/>
      <c r="D25" s="694"/>
      <c r="E25" s="695"/>
      <c r="F25" s="441">
        <v>7691</v>
      </c>
      <c r="G25" s="745">
        <f>SUM(J25+M25+P25+S25)</f>
        <v>0</v>
      </c>
      <c r="H25" s="746"/>
      <c r="I25" s="441">
        <v>7526</v>
      </c>
      <c r="J25" s="692"/>
      <c r="K25" s="754"/>
      <c r="L25" s="441">
        <v>7531</v>
      </c>
      <c r="M25" s="692"/>
      <c r="N25" s="754"/>
      <c r="O25" s="441">
        <v>7540</v>
      </c>
      <c r="P25" s="692"/>
      <c r="Q25" s="754"/>
      <c r="R25" s="441">
        <v>8040</v>
      </c>
      <c r="S25" s="692"/>
      <c r="T25" s="754"/>
    </row>
    <row r="26" spans="1:22" s="2" customFormat="1" ht="25.5" customHeight="1" x14ac:dyDescent="0.25">
      <c r="A26" s="24"/>
      <c r="B26" s="694" t="s">
        <v>1123</v>
      </c>
      <c r="C26" s="694"/>
      <c r="D26" s="694"/>
      <c r="E26" s="695"/>
      <c r="F26" s="441">
        <v>7268</v>
      </c>
      <c r="G26" s="745">
        <f>SUM(J26+M26+P26+S26)</f>
        <v>0</v>
      </c>
      <c r="H26" s="746"/>
      <c r="I26" s="441">
        <v>7525</v>
      </c>
      <c r="J26" s="692"/>
      <c r="K26" s="754"/>
      <c r="L26" s="441">
        <v>7529</v>
      </c>
      <c r="M26" s="692"/>
      <c r="N26" s="754"/>
      <c r="O26" s="441">
        <v>7538</v>
      </c>
      <c r="P26" s="692"/>
      <c r="Q26" s="754"/>
      <c r="R26" s="441">
        <v>8041</v>
      </c>
      <c r="S26" s="692"/>
      <c r="T26" s="754"/>
    </row>
    <row r="27" spans="1:22" s="2" customFormat="1" ht="25.5" customHeight="1" x14ac:dyDescent="0.25">
      <c r="A27" s="24"/>
      <c r="B27" s="694" t="s">
        <v>1124</v>
      </c>
      <c r="C27" s="694"/>
      <c r="D27" s="694"/>
      <c r="E27" s="695"/>
      <c r="F27" s="441">
        <v>4304</v>
      </c>
      <c r="G27" s="745">
        <f>SUM(J27+M27+P27+S27)</f>
        <v>0</v>
      </c>
      <c r="H27" s="746"/>
      <c r="I27" s="441">
        <v>8033</v>
      </c>
      <c r="J27" s="692"/>
      <c r="K27" s="754"/>
      <c r="L27" s="441">
        <v>7530</v>
      </c>
      <c r="M27" s="692"/>
      <c r="N27" s="754"/>
      <c r="O27" s="441">
        <v>7539</v>
      </c>
      <c r="P27" s="692"/>
      <c r="Q27" s="754"/>
      <c r="R27" s="441">
        <v>8042</v>
      </c>
      <c r="S27" s="692"/>
      <c r="T27" s="754"/>
    </row>
    <row r="28" spans="1:22" s="2" customFormat="1" ht="25.5" customHeight="1" x14ac:dyDescent="0.25">
      <c r="A28" s="24"/>
      <c r="B28" s="694" t="s">
        <v>1125</v>
      </c>
      <c r="C28" s="694"/>
      <c r="D28" s="694"/>
      <c r="E28" s="695"/>
      <c r="F28" s="441">
        <v>4307</v>
      </c>
      <c r="G28" s="745">
        <f>SUM(J28+M28+P28+S28)</f>
        <v>0</v>
      </c>
      <c r="H28" s="746"/>
      <c r="I28" s="441">
        <v>8034</v>
      </c>
      <c r="J28" s="692"/>
      <c r="K28" s="754"/>
      <c r="L28" s="441">
        <v>7532</v>
      </c>
      <c r="M28" s="692"/>
      <c r="N28" s="754"/>
      <c r="O28" s="441">
        <v>7541</v>
      </c>
      <c r="P28" s="692"/>
      <c r="Q28" s="754"/>
      <c r="R28" s="441">
        <v>8061</v>
      </c>
      <c r="S28" s="692"/>
      <c r="T28" s="754"/>
    </row>
    <row r="29" spans="1:22" s="2" customFormat="1" ht="25.5" customHeight="1" x14ac:dyDescent="0.25">
      <c r="A29" s="24"/>
      <c r="B29" s="694" t="s">
        <v>1126</v>
      </c>
      <c r="C29" s="694"/>
      <c r="D29" s="694"/>
      <c r="E29" s="695"/>
      <c r="F29" s="441">
        <v>7274</v>
      </c>
      <c r="G29" s="745">
        <f>SUM(J29+M29+P29+S29)</f>
        <v>0</v>
      </c>
      <c r="H29" s="746"/>
      <c r="I29" s="441">
        <v>8035</v>
      </c>
      <c r="J29" s="692"/>
      <c r="K29" s="754"/>
      <c r="L29" s="441">
        <v>7533</v>
      </c>
      <c r="M29" s="692"/>
      <c r="N29" s="754"/>
      <c r="O29" s="441">
        <v>7542</v>
      </c>
      <c r="P29" s="692"/>
      <c r="Q29" s="754"/>
      <c r="R29" s="441">
        <v>8043</v>
      </c>
      <c r="S29" s="692"/>
      <c r="T29" s="754"/>
    </row>
    <row r="30" spans="1:22" s="2" customFormat="1" ht="25.5" customHeight="1" x14ac:dyDescent="0.25">
      <c r="A30" s="24"/>
      <c r="B30" s="694" t="s">
        <v>1127</v>
      </c>
      <c r="C30" s="694"/>
      <c r="D30" s="694"/>
      <c r="E30" s="695"/>
      <c r="F30" s="441">
        <v>4334</v>
      </c>
      <c r="G30" s="692"/>
      <c r="H30" s="754"/>
      <c r="I30" s="29"/>
      <c r="J30" s="26"/>
      <c r="K30" s="26"/>
      <c r="L30" s="26"/>
      <c r="M30" s="739"/>
      <c r="N30" s="1257"/>
      <c r="O30" s="58"/>
      <c r="P30" s="1270"/>
      <c r="Q30" s="1272"/>
      <c r="R30" s="57"/>
      <c r="S30" s="1270"/>
      <c r="T30" s="1271"/>
    </row>
    <row r="31" spans="1:22" s="2" customFormat="1" ht="25.5" customHeight="1" x14ac:dyDescent="0.25">
      <c r="A31" s="24"/>
      <c r="B31" s="694" t="s">
        <v>1128</v>
      </c>
      <c r="C31" s="694"/>
      <c r="D31" s="694"/>
      <c r="E31" s="695"/>
      <c r="F31" s="441">
        <v>7523</v>
      </c>
      <c r="G31" s="745">
        <f>J31+M31+P31</f>
        <v>0</v>
      </c>
      <c r="H31" s="746"/>
      <c r="I31" s="441">
        <v>8056</v>
      </c>
      <c r="J31" s="692"/>
      <c r="K31" s="754"/>
      <c r="L31" s="441">
        <v>8057</v>
      </c>
      <c r="M31" s="692"/>
      <c r="N31" s="754"/>
      <c r="O31" s="441">
        <v>8058</v>
      </c>
      <c r="P31" s="692"/>
      <c r="Q31" s="754"/>
      <c r="R31" s="58"/>
      <c r="S31" s="58"/>
      <c r="T31" s="75"/>
    </row>
    <row r="32" spans="1:22" s="2" customFormat="1" ht="25.5" customHeight="1" x14ac:dyDescent="0.25">
      <c r="A32" s="24"/>
      <c r="B32" s="694" t="s">
        <v>1129</v>
      </c>
      <c r="C32" s="694"/>
      <c r="D32" s="694"/>
      <c r="E32" s="695"/>
      <c r="F32" s="441">
        <v>7271</v>
      </c>
      <c r="G32" s="745">
        <f>SUM(J32+M32+P32+S32)</f>
        <v>0</v>
      </c>
      <c r="H32" s="746"/>
      <c r="I32" s="441">
        <v>8036</v>
      </c>
      <c r="J32" s="692"/>
      <c r="K32" s="754"/>
      <c r="L32" s="441">
        <v>7534</v>
      </c>
      <c r="M32" s="692"/>
      <c r="N32" s="754"/>
      <c r="O32" s="441">
        <v>7543</v>
      </c>
      <c r="P32" s="692"/>
      <c r="Q32" s="754"/>
      <c r="R32" s="441">
        <v>8045</v>
      </c>
      <c r="S32" s="692"/>
      <c r="T32" s="754"/>
    </row>
    <row r="33" spans="1:20" s="2" customFormat="1" ht="25.5" customHeight="1" x14ac:dyDescent="0.25">
      <c r="A33" s="24"/>
      <c r="B33" s="694" t="s">
        <v>1130</v>
      </c>
      <c r="C33" s="694"/>
      <c r="D33" s="694"/>
      <c r="E33" s="695"/>
      <c r="F33" s="441">
        <v>4309</v>
      </c>
      <c r="G33" s="745">
        <f>SUM(J33+M33+P33+S33)</f>
        <v>0</v>
      </c>
      <c r="H33" s="746"/>
      <c r="I33" s="441">
        <v>8037</v>
      </c>
      <c r="J33" s="692"/>
      <c r="K33" s="754"/>
      <c r="L33" s="441">
        <v>7535</v>
      </c>
      <c r="M33" s="692"/>
      <c r="N33" s="754"/>
      <c r="O33" s="441">
        <v>7544</v>
      </c>
      <c r="P33" s="692"/>
      <c r="Q33" s="754"/>
      <c r="R33" s="441">
        <v>8046</v>
      </c>
      <c r="S33" s="692"/>
      <c r="T33" s="754"/>
    </row>
    <row r="34" spans="1:20" s="2" customFormat="1" ht="25.5" customHeight="1" x14ac:dyDescent="0.25">
      <c r="A34" s="24"/>
      <c r="B34" s="694" t="s">
        <v>1131</v>
      </c>
      <c r="C34" s="694"/>
      <c r="D34" s="694"/>
      <c r="E34" s="695"/>
      <c r="F34" s="441">
        <v>7175</v>
      </c>
      <c r="G34" s="745">
        <f>SUM(J34+M34+P34+S34)</f>
        <v>0</v>
      </c>
      <c r="H34" s="746"/>
      <c r="I34" s="441">
        <v>7527</v>
      </c>
      <c r="J34" s="742"/>
      <c r="K34" s="743"/>
      <c r="L34" s="441">
        <v>7536</v>
      </c>
      <c r="M34" s="742"/>
      <c r="N34" s="743"/>
      <c r="O34" s="441">
        <v>7545</v>
      </c>
      <c r="P34" s="742"/>
      <c r="Q34" s="743"/>
      <c r="R34" s="441">
        <v>8047</v>
      </c>
      <c r="S34" s="742"/>
      <c r="T34" s="743"/>
    </row>
    <row r="35" spans="1:20" s="2" customFormat="1" ht="25.5" customHeight="1" x14ac:dyDescent="0.25">
      <c r="A35" s="23"/>
      <c r="B35" s="723" t="s">
        <v>1132</v>
      </c>
      <c r="C35" s="723"/>
      <c r="D35" s="723"/>
      <c r="E35" s="724"/>
      <c r="F35" s="441">
        <v>8070</v>
      </c>
      <c r="G35" s="1249">
        <f>SUM(G25:H34)</f>
        <v>0</v>
      </c>
      <c r="H35" s="1250"/>
      <c r="I35" s="1239" t="s">
        <v>3621</v>
      </c>
      <c r="J35" s="1240"/>
      <c r="K35" s="1240"/>
      <c r="L35" s="1240"/>
      <c r="M35" s="1240"/>
      <c r="N35" s="1240"/>
      <c r="O35" s="1241"/>
      <c r="P35" s="1241"/>
      <c r="Q35" s="1241"/>
      <c r="R35" s="1241"/>
      <c r="S35" s="1241"/>
      <c r="T35" s="1241"/>
    </row>
    <row r="36" spans="1:20" s="2" customFormat="1" ht="25.5" customHeight="1" x14ac:dyDescent="0.25">
      <c r="A36" s="24"/>
      <c r="B36" s="694" t="s">
        <v>774</v>
      </c>
      <c r="C36" s="694"/>
      <c r="D36" s="694"/>
      <c r="E36" s="695"/>
      <c r="F36" s="441">
        <v>8032</v>
      </c>
      <c r="G36" s="1253">
        <f>G37-G35</f>
        <v>0</v>
      </c>
      <c r="H36" s="1229"/>
      <c r="I36" s="1242"/>
      <c r="J36" s="1243"/>
      <c r="K36" s="1243"/>
      <c r="L36" s="1243"/>
      <c r="M36" s="1243"/>
      <c r="N36" s="1243"/>
      <c r="O36" s="1243"/>
      <c r="P36" s="1243"/>
      <c r="Q36" s="1243"/>
      <c r="R36" s="1243"/>
      <c r="S36" s="1243"/>
      <c r="T36" s="1243"/>
    </row>
    <row r="37" spans="1:20" s="2" customFormat="1" ht="25.5" customHeight="1" x14ac:dyDescent="0.25">
      <c r="A37" s="23"/>
      <c r="B37" s="752" t="s">
        <v>1148</v>
      </c>
      <c r="C37" s="752"/>
      <c r="D37" s="752"/>
      <c r="E37" s="753"/>
      <c r="F37" s="441">
        <v>8071</v>
      </c>
      <c r="G37" s="1249">
        <f>Code_4340</f>
        <v>0</v>
      </c>
      <c r="H37" s="1250"/>
      <c r="I37" s="1244"/>
      <c r="J37" s="1245"/>
      <c r="K37" s="1245"/>
      <c r="L37" s="1245"/>
      <c r="M37" s="1245"/>
      <c r="N37" s="1245"/>
      <c r="O37" s="1245"/>
      <c r="P37" s="1245"/>
      <c r="Q37" s="1245"/>
      <c r="R37" s="1245"/>
      <c r="S37" s="1245"/>
      <c r="T37" s="1245"/>
    </row>
    <row r="38" spans="1:20" s="2" customFormat="1" ht="25.5" customHeight="1" x14ac:dyDescent="0.25">
      <c r="A38" s="28"/>
      <c r="B38" s="723" t="s">
        <v>1133</v>
      </c>
      <c r="C38" s="723"/>
      <c r="D38" s="723"/>
      <c r="E38" s="724"/>
      <c r="F38" s="441">
        <v>8072</v>
      </c>
      <c r="G38" s="698">
        <f>Code_7176</f>
        <v>0</v>
      </c>
      <c r="H38" s="699">
        <f>SUM(H46:H64)</f>
        <v>0</v>
      </c>
      <c r="I38" s="441">
        <v>7528</v>
      </c>
      <c r="J38" s="698">
        <f>SUM(J25:K29,J31:K34)</f>
        <v>0</v>
      </c>
      <c r="K38" s="699">
        <f>SUM(K46:K64)</f>
        <v>0</v>
      </c>
      <c r="L38" s="441">
        <v>7537</v>
      </c>
      <c r="M38" s="698">
        <f>SUM(M25:N29,M31:N34)+Code_7177+Code_7178+Code_7179</f>
        <v>0</v>
      </c>
      <c r="N38" s="699">
        <f>SUM(N46:N64)</f>
        <v>0</v>
      </c>
      <c r="O38" s="441">
        <v>7524</v>
      </c>
      <c r="P38" s="698">
        <f>SUM(P25:Q29,P31:Q34)</f>
        <v>0</v>
      </c>
      <c r="Q38" s="699">
        <f>SUM(Q46:Q64)</f>
        <v>0</v>
      </c>
      <c r="R38" s="441">
        <v>8049</v>
      </c>
      <c r="S38" s="1247">
        <f>SUM(S25:T29,S32:T34)+G30+Code_4331</f>
        <v>0</v>
      </c>
      <c r="T38" s="1248">
        <f>SUM(T22:T37)</f>
        <v>0</v>
      </c>
    </row>
    <row r="40" spans="1:20" ht="25.5" customHeight="1" x14ac:dyDescent="0.25">
      <c r="A40" s="787" t="s">
        <v>1526</v>
      </c>
      <c r="B40" s="600"/>
      <c r="C40" s="600"/>
      <c r="D40" s="600"/>
      <c r="E40" s="600"/>
      <c r="F40" s="600"/>
      <c r="G40" s="600"/>
      <c r="H40" s="600"/>
      <c r="I40" s="600"/>
      <c r="J40" s="600"/>
      <c r="K40" s="600"/>
      <c r="L40" s="600"/>
      <c r="M40" s="600"/>
      <c r="N40" s="247"/>
      <c r="O40" s="247"/>
      <c r="P40" s="247"/>
      <c r="Q40" s="247"/>
      <c r="R40" s="248"/>
      <c r="S40" s="248"/>
      <c r="T40" s="248"/>
    </row>
    <row r="41" spans="1:20" s="2" customFormat="1" ht="25.5" customHeight="1" x14ac:dyDescent="0.25">
      <c r="A41" s="581" t="s">
        <v>1915</v>
      </c>
      <c r="B41" s="527"/>
      <c r="C41" s="527"/>
      <c r="D41" s="527"/>
      <c r="E41" s="527"/>
      <c r="F41" s="527"/>
      <c r="G41" s="527"/>
      <c r="H41" s="527"/>
      <c r="I41" s="527"/>
      <c r="J41" s="527"/>
      <c r="K41" s="528"/>
      <c r="L41" s="757" t="s">
        <v>3614</v>
      </c>
      <c r="M41" s="636"/>
      <c r="N41" s="1246" t="str">
        <f>IF('2017 HAR'!$D$5&gt;=200,"This section is REQUIRED for Pyschiatric and Specialty hospitals.","")</f>
        <v/>
      </c>
      <c r="O41" s="1246"/>
      <c r="P41" s="1246"/>
      <c r="Q41" s="1246"/>
      <c r="R41" s="1246"/>
    </row>
    <row r="42" spans="1:20" s="2" customFormat="1" ht="25.5" customHeight="1" x14ac:dyDescent="0.25">
      <c r="A42" s="20">
        <v>7261</v>
      </c>
      <c r="B42" s="531" t="s">
        <v>1425</v>
      </c>
      <c r="C42" s="532"/>
      <c r="D42" s="532"/>
      <c r="E42" s="532"/>
      <c r="F42" s="532"/>
      <c r="G42" s="532"/>
      <c r="H42" s="532"/>
      <c r="I42" s="532"/>
      <c r="J42" s="532"/>
      <c r="K42" s="533"/>
      <c r="L42" s="1228">
        <f>J38+M38</f>
        <v>0</v>
      </c>
      <c r="M42" s="1229"/>
      <c r="N42" s="596" t="str">
        <f>IF(ISBLANK(L42),"This item can not be left blank. Please review instructions.","")</f>
        <v/>
      </c>
      <c r="O42" s="597"/>
      <c r="P42" s="597"/>
      <c r="Q42" s="597"/>
      <c r="R42" s="598"/>
    </row>
    <row r="43" spans="1:20" s="2" customFormat="1" ht="25.5" customHeight="1" x14ac:dyDescent="0.25">
      <c r="A43" s="20">
        <v>7264</v>
      </c>
      <c r="B43" s="531" t="s">
        <v>1426</v>
      </c>
      <c r="C43" s="532"/>
      <c r="D43" s="532"/>
      <c r="E43" s="532"/>
      <c r="F43" s="532"/>
      <c r="G43" s="532"/>
      <c r="H43" s="532"/>
      <c r="I43" s="532"/>
      <c r="J43" s="532"/>
      <c r="K43" s="533"/>
      <c r="L43" s="1228">
        <f>P38+S38</f>
        <v>0</v>
      </c>
      <c r="M43" s="1229"/>
      <c r="N43" s="596" t="str">
        <f>IF(ISBLANK(L43),"This item can not be left blank. Please review instructions.","")</f>
        <v/>
      </c>
      <c r="O43" s="597"/>
      <c r="P43" s="597"/>
      <c r="Q43" s="597"/>
      <c r="R43" s="598"/>
    </row>
    <row r="44" spans="1:20" s="2" customFormat="1" ht="25.5" customHeight="1" x14ac:dyDescent="0.25">
      <c r="A44" s="20">
        <v>8032</v>
      </c>
      <c r="B44" s="531" t="s">
        <v>1527</v>
      </c>
      <c r="C44" s="532"/>
      <c r="D44" s="532"/>
      <c r="E44" s="532"/>
      <c r="F44" s="532"/>
      <c r="G44" s="532"/>
      <c r="H44" s="532"/>
      <c r="I44" s="532"/>
      <c r="J44" s="532"/>
      <c r="K44" s="533"/>
      <c r="L44" s="1228">
        <f>G36</f>
        <v>0</v>
      </c>
      <c r="M44" s="1229"/>
      <c r="N44" s="227"/>
      <c r="O44" s="5"/>
      <c r="P44" s="5"/>
      <c r="Q44" s="5"/>
      <c r="R44" s="84"/>
    </row>
    <row r="45" spans="1:20" s="2" customFormat="1" ht="25.5" customHeight="1" x14ac:dyDescent="0.25">
      <c r="A45" s="21">
        <v>7267</v>
      </c>
      <c r="B45" s="611" t="s">
        <v>1419</v>
      </c>
      <c r="C45" s="612"/>
      <c r="D45" s="612"/>
      <c r="E45" s="612"/>
      <c r="F45" s="612"/>
      <c r="G45" s="612"/>
      <c r="H45" s="612"/>
      <c r="I45" s="612"/>
      <c r="J45" s="612"/>
      <c r="K45" s="613"/>
      <c r="L45" s="698">
        <f>G38</f>
        <v>0</v>
      </c>
      <c r="M45" s="699"/>
      <c r="N45" s="596"/>
      <c r="O45" s="597"/>
      <c r="P45" s="597"/>
      <c r="Q45" s="597"/>
      <c r="R45" s="597"/>
    </row>
    <row r="46" spans="1:20" s="2" customFormat="1" ht="25.5" customHeight="1" x14ac:dyDescent="0.3">
      <c r="A46" s="15" t="e">
        <f>'2017 HAR'!A33</f>
        <v>#N/A</v>
      </c>
      <c r="B46" s="76"/>
      <c r="C46" s="76"/>
      <c r="D46" s="76"/>
      <c r="E46" s="76"/>
      <c r="F46" s="82"/>
      <c r="G46" s="280"/>
      <c r="H46" s="281"/>
      <c r="I46" s="82"/>
      <c r="J46" s="282"/>
      <c r="K46" s="283"/>
      <c r="L46" s="82"/>
      <c r="M46" s="282"/>
      <c r="N46" s="283"/>
      <c r="O46" s="82"/>
      <c r="P46" s="282"/>
      <c r="Q46" s="283"/>
      <c r="R46" s="77"/>
    </row>
    <row r="47" spans="1:20" ht="25.5" customHeight="1" x14ac:dyDescent="0.25">
      <c r="A47" s="787" t="s">
        <v>1526</v>
      </c>
      <c r="B47" s="674"/>
      <c r="C47" s="674"/>
      <c r="D47" s="674"/>
      <c r="E47" s="674"/>
      <c r="F47" s="674"/>
      <c r="G47" s="674"/>
      <c r="H47" s="674"/>
      <c r="I47" s="674"/>
      <c r="J47" s="674"/>
      <c r="K47" s="674"/>
      <c r="L47" s="674"/>
      <c r="M47" s="674"/>
      <c r="N47" s="674"/>
      <c r="O47" s="674"/>
      <c r="P47" s="674"/>
      <c r="Q47" s="674"/>
      <c r="R47" s="1260"/>
      <c r="S47" s="1260"/>
      <c r="T47" s="1260"/>
    </row>
    <row r="48" spans="1:20" s="2" customFormat="1" ht="25.5" customHeight="1" x14ac:dyDescent="0.25">
      <c r="A48" s="787" t="s">
        <v>1643</v>
      </c>
      <c r="B48" s="787"/>
      <c r="C48" s="787"/>
      <c r="D48" s="787"/>
      <c r="E48" s="787"/>
      <c r="F48" s="787"/>
      <c r="G48" s="787"/>
      <c r="H48" s="787"/>
      <c r="I48" s="787"/>
      <c r="J48" s="787"/>
      <c r="K48" s="787"/>
      <c r="L48" s="787"/>
      <c r="M48" s="787"/>
      <c r="N48" s="787"/>
      <c r="O48" s="787"/>
      <c r="P48" s="1246" t="str">
        <f>IF('2017 HAR'!$D$5&gt;=200,"This section is REQUIRED for Pyschiatric and Specialty hospitals.","")</f>
        <v/>
      </c>
      <c r="Q48" s="1246"/>
      <c r="R48" s="1246"/>
      <c r="S48" s="1246"/>
      <c r="T48" s="1246"/>
    </row>
    <row r="49" spans="1:22" s="2" customFormat="1" ht="25.5" customHeight="1" x14ac:dyDescent="0.25">
      <c r="A49" s="777" t="s">
        <v>1916</v>
      </c>
      <c r="B49" s="777"/>
      <c r="C49" s="777"/>
      <c r="D49" s="777"/>
      <c r="E49" s="777"/>
      <c r="F49" s="1265"/>
      <c r="G49" s="1265"/>
      <c r="H49" s="1265"/>
      <c r="I49" s="1265"/>
      <c r="J49" s="1265"/>
      <c r="K49" s="1265"/>
      <c r="L49" s="1265"/>
      <c r="M49" s="1265"/>
      <c r="N49" s="1265"/>
      <c r="O49" s="1266"/>
      <c r="P49" s="1267"/>
      <c r="Q49" s="1267"/>
      <c r="R49" s="684" t="s">
        <v>3614</v>
      </c>
      <c r="S49" s="1274"/>
      <c r="T49" s="1275"/>
      <c r="U49" s="22"/>
      <c r="V49" s="22"/>
    </row>
    <row r="50" spans="1:22" s="2" customFormat="1" ht="25.5" customHeight="1" x14ac:dyDescent="0.25">
      <c r="A50" s="34"/>
      <c r="B50" s="757" t="s">
        <v>42</v>
      </c>
      <c r="C50" s="757"/>
      <c r="D50" s="757"/>
      <c r="E50" s="757"/>
      <c r="F50" s="758" t="s">
        <v>772</v>
      </c>
      <c r="G50" s="758"/>
      <c r="H50" s="758"/>
      <c r="I50" s="756" t="s">
        <v>44</v>
      </c>
      <c r="J50" s="756"/>
      <c r="K50" s="678"/>
      <c r="L50" s="758" t="s">
        <v>45</v>
      </c>
      <c r="M50" s="758"/>
      <c r="N50" s="678"/>
      <c r="O50" s="756" t="s">
        <v>46</v>
      </c>
      <c r="P50" s="756"/>
      <c r="Q50" s="678"/>
      <c r="R50" s="756" t="s">
        <v>885</v>
      </c>
      <c r="S50" s="756"/>
      <c r="T50" s="678"/>
    </row>
    <row r="51" spans="1:22" s="2" customFormat="1" ht="25.5" customHeight="1" x14ac:dyDescent="0.25">
      <c r="A51" s="24"/>
      <c r="B51" s="694" t="s">
        <v>1134</v>
      </c>
      <c r="C51" s="694"/>
      <c r="D51" s="694"/>
      <c r="E51" s="695"/>
      <c r="F51" s="441">
        <v>7690</v>
      </c>
      <c r="G51" s="745">
        <f>SUM(J51+M51+P51+S51)</f>
        <v>0</v>
      </c>
      <c r="H51" s="746"/>
      <c r="I51" s="441">
        <v>7503</v>
      </c>
      <c r="J51" s="692"/>
      <c r="K51" s="754"/>
      <c r="L51" s="441">
        <v>7508</v>
      </c>
      <c r="M51" s="692"/>
      <c r="N51" s="754"/>
      <c r="O51" s="441">
        <v>7517</v>
      </c>
      <c r="P51" s="692"/>
      <c r="Q51" s="754"/>
      <c r="R51" s="441">
        <v>8022</v>
      </c>
      <c r="S51" s="692"/>
      <c r="T51" s="754"/>
    </row>
    <row r="52" spans="1:22" s="2" customFormat="1" ht="25.5" customHeight="1" x14ac:dyDescent="0.25">
      <c r="A52" s="24"/>
      <c r="B52" s="694" t="s">
        <v>1135</v>
      </c>
      <c r="C52" s="694"/>
      <c r="D52" s="694"/>
      <c r="E52" s="695"/>
      <c r="F52" s="441">
        <v>7252</v>
      </c>
      <c r="G52" s="745">
        <f>SUM(J52+M52+P52+S52)</f>
        <v>0</v>
      </c>
      <c r="H52" s="746"/>
      <c r="I52" s="441">
        <v>7502</v>
      </c>
      <c r="J52" s="692"/>
      <c r="K52" s="754"/>
      <c r="L52" s="441">
        <v>7506</v>
      </c>
      <c r="M52" s="692"/>
      <c r="N52" s="754"/>
      <c r="O52" s="441">
        <v>7515</v>
      </c>
      <c r="P52" s="692"/>
      <c r="Q52" s="754"/>
      <c r="R52" s="441">
        <v>8023</v>
      </c>
      <c r="S52" s="692"/>
      <c r="T52" s="754"/>
    </row>
    <row r="53" spans="1:22" s="2" customFormat="1" ht="25.5" customHeight="1" x14ac:dyDescent="0.25">
      <c r="A53" s="24"/>
      <c r="B53" s="694" t="s">
        <v>1136</v>
      </c>
      <c r="C53" s="694"/>
      <c r="D53" s="694"/>
      <c r="E53" s="695"/>
      <c r="F53" s="441">
        <v>4011</v>
      </c>
      <c r="G53" s="745">
        <f>SUM(J53+M53+P53+S53)</f>
        <v>0</v>
      </c>
      <c r="H53" s="746"/>
      <c r="I53" s="441">
        <v>8015</v>
      </c>
      <c r="J53" s="692"/>
      <c r="K53" s="754"/>
      <c r="L53" s="441">
        <v>7507</v>
      </c>
      <c r="M53" s="692"/>
      <c r="N53" s="754"/>
      <c r="O53" s="441">
        <v>7516</v>
      </c>
      <c r="P53" s="692"/>
      <c r="Q53" s="754"/>
      <c r="R53" s="441">
        <v>8024</v>
      </c>
      <c r="S53" s="692"/>
      <c r="T53" s="754"/>
    </row>
    <row r="54" spans="1:22" s="2" customFormat="1" ht="25.5" customHeight="1" x14ac:dyDescent="0.25">
      <c r="A54" s="24"/>
      <c r="B54" s="694" t="s">
        <v>1137</v>
      </c>
      <c r="C54" s="694"/>
      <c r="D54" s="694"/>
      <c r="E54" s="695"/>
      <c r="F54" s="441">
        <v>4014</v>
      </c>
      <c r="G54" s="745">
        <f>SUM(J54+M54+P54+S54)</f>
        <v>0</v>
      </c>
      <c r="H54" s="746"/>
      <c r="I54" s="441">
        <v>8016</v>
      </c>
      <c r="J54" s="692"/>
      <c r="K54" s="754"/>
      <c r="L54" s="441">
        <v>7509</v>
      </c>
      <c r="M54" s="692"/>
      <c r="N54" s="754"/>
      <c r="O54" s="441">
        <v>7518</v>
      </c>
      <c r="P54" s="692"/>
      <c r="Q54" s="754"/>
      <c r="R54" s="441">
        <v>8060</v>
      </c>
      <c r="S54" s="692"/>
      <c r="T54" s="754"/>
    </row>
    <row r="55" spans="1:22" s="2" customFormat="1" ht="25.5" customHeight="1" x14ac:dyDescent="0.25">
      <c r="A55" s="24"/>
      <c r="B55" s="694" t="s">
        <v>1138</v>
      </c>
      <c r="C55" s="694"/>
      <c r="D55" s="694"/>
      <c r="E55" s="695"/>
      <c r="F55" s="441">
        <v>7258</v>
      </c>
      <c r="G55" s="745">
        <f>SUM(J55+M55+P55+S55)</f>
        <v>0</v>
      </c>
      <c r="H55" s="746"/>
      <c r="I55" s="441">
        <v>8017</v>
      </c>
      <c r="J55" s="692"/>
      <c r="K55" s="754"/>
      <c r="L55" s="441">
        <v>7510</v>
      </c>
      <c r="M55" s="692"/>
      <c r="N55" s="754"/>
      <c r="O55" s="441">
        <v>7519</v>
      </c>
      <c r="P55" s="692"/>
      <c r="Q55" s="754"/>
      <c r="R55" s="441">
        <v>8025</v>
      </c>
      <c r="S55" s="692"/>
      <c r="T55" s="754"/>
    </row>
    <row r="56" spans="1:22" s="2" customFormat="1" ht="25.5" customHeight="1" x14ac:dyDescent="0.25">
      <c r="A56" s="24"/>
      <c r="B56" s="694" t="s">
        <v>1139</v>
      </c>
      <c r="C56" s="694"/>
      <c r="D56" s="694"/>
      <c r="E56" s="695"/>
      <c r="F56" s="441">
        <v>4044</v>
      </c>
      <c r="G56" s="692"/>
      <c r="H56" s="754"/>
      <c r="I56" s="29"/>
      <c r="J56" s="26"/>
      <c r="K56" s="26"/>
      <c r="L56" s="26"/>
      <c r="M56" s="1254"/>
      <c r="N56" s="1255"/>
      <c r="O56" s="26"/>
      <c r="P56" s="1256">
        <f>G56</f>
        <v>0</v>
      </c>
      <c r="Q56" s="1257"/>
      <c r="R56" s="60"/>
      <c r="S56" s="1256"/>
      <c r="T56" s="1279"/>
    </row>
    <row r="57" spans="1:22" s="2" customFormat="1" ht="25.5" customHeight="1" x14ac:dyDescent="0.25">
      <c r="A57" s="24"/>
      <c r="B57" s="694" t="s">
        <v>1140</v>
      </c>
      <c r="C57" s="694"/>
      <c r="D57" s="694"/>
      <c r="E57" s="695"/>
      <c r="F57" s="441">
        <v>7500</v>
      </c>
      <c r="G57" s="745">
        <f>SUM(J57+M57+P57)</f>
        <v>0</v>
      </c>
      <c r="H57" s="746"/>
      <c r="I57" s="441">
        <v>8053</v>
      </c>
      <c r="J57" s="692"/>
      <c r="K57" s="754"/>
      <c r="L57" s="441">
        <v>8054</v>
      </c>
      <c r="M57" s="692"/>
      <c r="N57" s="754"/>
      <c r="O57" s="441">
        <v>8055</v>
      </c>
      <c r="P57" s="692"/>
      <c r="Q57" s="754"/>
      <c r="R57" s="26"/>
      <c r="S57" s="1280"/>
      <c r="T57" s="751"/>
    </row>
    <row r="58" spans="1:22" s="2" customFormat="1" ht="25.5" customHeight="1" x14ac:dyDescent="0.25">
      <c r="A58" s="24"/>
      <c r="B58" s="694" t="s">
        <v>1141</v>
      </c>
      <c r="C58" s="694"/>
      <c r="D58" s="694"/>
      <c r="E58" s="695"/>
      <c r="F58" s="441">
        <v>7255</v>
      </c>
      <c r="G58" s="745">
        <f>SUM(J58+M58+P58+S58)</f>
        <v>0</v>
      </c>
      <c r="H58" s="746"/>
      <c r="I58" s="441">
        <v>8018</v>
      </c>
      <c r="J58" s="692"/>
      <c r="K58" s="754"/>
      <c r="L58" s="441">
        <v>7511</v>
      </c>
      <c r="M58" s="692"/>
      <c r="N58" s="754"/>
      <c r="O58" s="441">
        <v>7520</v>
      </c>
      <c r="P58" s="692"/>
      <c r="Q58" s="754"/>
      <c r="R58" s="441">
        <v>8027</v>
      </c>
      <c r="S58" s="692"/>
      <c r="T58" s="754"/>
    </row>
    <row r="59" spans="1:22" s="2" customFormat="1" ht="25.5" customHeight="1" x14ac:dyDescent="0.25">
      <c r="A59" s="24"/>
      <c r="B59" s="694" t="s">
        <v>1142</v>
      </c>
      <c r="C59" s="694"/>
      <c r="D59" s="694"/>
      <c r="E59" s="695"/>
      <c r="F59" s="441">
        <v>4017</v>
      </c>
      <c r="G59" s="745">
        <f>SUM(J59+M59+P59+S59)</f>
        <v>0</v>
      </c>
      <c r="H59" s="746"/>
      <c r="I59" s="441">
        <v>8019</v>
      </c>
      <c r="J59" s="692"/>
      <c r="K59" s="754"/>
      <c r="L59" s="441">
        <v>7512</v>
      </c>
      <c r="M59" s="692"/>
      <c r="N59" s="754"/>
      <c r="O59" s="441">
        <v>7521</v>
      </c>
      <c r="P59" s="692"/>
      <c r="Q59" s="754"/>
      <c r="R59" s="441">
        <v>8028</v>
      </c>
      <c r="S59" s="692"/>
      <c r="T59" s="754"/>
    </row>
    <row r="60" spans="1:22" s="2" customFormat="1" ht="25.5" customHeight="1" x14ac:dyDescent="0.25">
      <c r="A60" s="24"/>
      <c r="B60" s="694" t="s">
        <v>1143</v>
      </c>
      <c r="C60" s="694"/>
      <c r="D60" s="694"/>
      <c r="E60" s="695"/>
      <c r="F60" s="441">
        <v>7154</v>
      </c>
      <c r="G60" s="745">
        <f>SUM(J60+M60+P60+S60)</f>
        <v>0</v>
      </c>
      <c r="H60" s="746"/>
      <c r="I60" s="441">
        <v>7504</v>
      </c>
      <c r="J60" s="742"/>
      <c r="K60" s="743"/>
      <c r="L60" s="441">
        <v>7513</v>
      </c>
      <c r="M60" s="742"/>
      <c r="N60" s="743"/>
      <c r="O60" s="441">
        <v>7522</v>
      </c>
      <c r="P60" s="742"/>
      <c r="Q60" s="743"/>
      <c r="R60" s="441">
        <v>8029</v>
      </c>
      <c r="S60" s="742"/>
      <c r="T60" s="743"/>
    </row>
    <row r="61" spans="1:22" s="2" customFormat="1" ht="25.5" customHeight="1" x14ac:dyDescent="0.25">
      <c r="A61" s="23"/>
      <c r="B61" s="723" t="s">
        <v>1144</v>
      </c>
      <c r="C61" s="723"/>
      <c r="D61" s="723"/>
      <c r="E61" s="724"/>
      <c r="F61" s="441">
        <v>8067</v>
      </c>
      <c r="G61" s="1249">
        <f>SUM(G51:H60)</f>
        <v>0</v>
      </c>
      <c r="H61" s="1259"/>
      <c r="I61" s="1239" t="s">
        <v>3622</v>
      </c>
      <c r="J61" s="1240"/>
      <c r="K61" s="1240"/>
      <c r="L61" s="1240"/>
      <c r="M61" s="1240"/>
      <c r="N61" s="1240"/>
      <c r="O61" s="1241"/>
      <c r="P61" s="1241"/>
      <c r="Q61" s="1241"/>
      <c r="R61" s="1241"/>
      <c r="S61" s="1241"/>
      <c r="T61" s="1241"/>
    </row>
    <row r="62" spans="1:22" s="2" customFormat="1" ht="25.5" customHeight="1" x14ac:dyDescent="0.25">
      <c r="A62" s="24"/>
      <c r="B62" s="694" t="s">
        <v>1145</v>
      </c>
      <c r="C62" s="694"/>
      <c r="D62" s="694"/>
      <c r="E62" s="695"/>
      <c r="F62" s="441">
        <v>8014</v>
      </c>
      <c r="G62" s="1249">
        <f>G63-G61</f>
        <v>0</v>
      </c>
      <c r="H62" s="1259"/>
      <c r="I62" s="1242"/>
      <c r="J62" s="1243"/>
      <c r="K62" s="1243"/>
      <c r="L62" s="1243"/>
      <c r="M62" s="1243"/>
      <c r="N62" s="1243"/>
      <c r="O62" s="1243"/>
      <c r="P62" s="1243"/>
      <c r="Q62" s="1243"/>
      <c r="R62" s="1243"/>
      <c r="S62" s="1243"/>
      <c r="T62" s="1243"/>
    </row>
    <row r="63" spans="1:22" s="2" customFormat="1" ht="25.5" customHeight="1" x14ac:dyDescent="0.25">
      <c r="A63" s="23"/>
      <c r="B63" s="1258" t="s">
        <v>1147</v>
      </c>
      <c r="C63" s="752"/>
      <c r="D63" s="752"/>
      <c r="E63" s="753"/>
      <c r="F63" s="441">
        <v>8068</v>
      </c>
      <c r="G63" s="1249">
        <f>Code_4030</f>
        <v>0</v>
      </c>
      <c r="H63" s="1259"/>
      <c r="I63" s="1244"/>
      <c r="J63" s="1245"/>
      <c r="K63" s="1245"/>
      <c r="L63" s="1245"/>
      <c r="M63" s="1245"/>
      <c r="N63" s="1245"/>
      <c r="O63" s="1245"/>
      <c r="P63" s="1245"/>
      <c r="Q63" s="1245"/>
      <c r="R63" s="1245"/>
      <c r="S63" s="1245"/>
      <c r="T63" s="1245"/>
    </row>
    <row r="64" spans="1:22" s="2" customFormat="1" ht="25.5" customHeight="1" x14ac:dyDescent="0.25">
      <c r="A64" s="28"/>
      <c r="B64" s="723" t="s">
        <v>1146</v>
      </c>
      <c r="C64" s="723"/>
      <c r="D64" s="723"/>
      <c r="E64" s="724"/>
      <c r="F64" s="441">
        <v>8069</v>
      </c>
      <c r="G64" s="698">
        <f>Code_7244</f>
        <v>0</v>
      </c>
      <c r="H64" s="699"/>
      <c r="I64" s="441">
        <v>7505</v>
      </c>
      <c r="J64" s="698">
        <f>SUM(J57:K60,J51:K55)</f>
        <v>0</v>
      </c>
      <c r="K64" s="699"/>
      <c r="L64" s="441">
        <v>7514</v>
      </c>
      <c r="M64" s="698">
        <f>SUM(M51:N60)+Code_7156+Code_7157+Code_7158</f>
        <v>0</v>
      </c>
      <c r="N64" s="699"/>
      <c r="O64" s="441">
        <v>7249</v>
      </c>
      <c r="P64" s="698">
        <f>SUM(P57:Q60,P51:Q55)</f>
        <v>0</v>
      </c>
      <c r="Q64" s="699"/>
      <c r="R64" s="441">
        <v>8031</v>
      </c>
      <c r="S64" s="1247">
        <f>SUM(S51:T55,S58:T60,G56)+Code_4041</f>
        <v>0</v>
      </c>
      <c r="T64" s="1248">
        <f>SUM(T20:T63)</f>
        <v>0</v>
      </c>
    </row>
    <row r="65" spans="1:23" s="2" customFormat="1" ht="25.5" customHeight="1" x14ac:dyDescent="0.25">
      <c r="A65" s="42"/>
    </row>
    <row r="66" spans="1:23" ht="25.5" customHeight="1" x14ac:dyDescent="0.25">
      <c r="A66" s="787" t="s">
        <v>1526</v>
      </c>
      <c r="B66" s="600"/>
      <c r="C66" s="600"/>
      <c r="D66" s="600"/>
      <c r="E66" s="600"/>
      <c r="F66" s="600"/>
      <c r="G66" s="600"/>
      <c r="H66" s="600"/>
      <c r="I66" s="600"/>
      <c r="J66" s="600"/>
      <c r="K66" s="600"/>
      <c r="L66" s="600"/>
      <c r="M66" s="600"/>
      <c r="N66" s="247"/>
      <c r="O66" s="247"/>
      <c r="P66" s="247"/>
      <c r="Q66" s="247"/>
      <c r="R66" s="248"/>
      <c r="S66" s="248"/>
      <c r="T66" s="248"/>
    </row>
    <row r="67" spans="1:23" s="2" customFormat="1" ht="25.5" customHeight="1" x14ac:dyDescent="0.25">
      <c r="A67" s="581" t="s">
        <v>1917</v>
      </c>
      <c r="B67" s="527"/>
      <c r="C67" s="527"/>
      <c r="D67" s="527"/>
      <c r="E67" s="527"/>
      <c r="F67" s="527"/>
      <c r="G67" s="527"/>
      <c r="H67" s="527"/>
      <c r="I67" s="527"/>
      <c r="J67" s="527"/>
      <c r="K67" s="528"/>
      <c r="L67" s="757" t="s">
        <v>3614</v>
      </c>
      <c r="M67" s="636"/>
      <c r="N67" s="1227" t="str">
        <f>IF('2017 HAR'!$D$5&gt;=200,"This section is REQUIRED for Pyschiatric and Specialty hospitals.","")</f>
        <v/>
      </c>
      <c r="O67" s="1227"/>
      <c r="P67" s="1227"/>
      <c r="Q67" s="1227"/>
      <c r="R67" s="1227"/>
    </row>
    <row r="68" spans="1:23" s="2" customFormat="1" ht="25.5" customHeight="1" x14ac:dyDescent="0.25">
      <c r="A68" s="20">
        <v>7245</v>
      </c>
      <c r="B68" s="531" t="s">
        <v>1427</v>
      </c>
      <c r="C68" s="532"/>
      <c r="D68" s="532"/>
      <c r="E68" s="532"/>
      <c r="F68" s="532"/>
      <c r="G68" s="532"/>
      <c r="H68" s="532"/>
      <c r="I68" s="532"/>
      <c r="J68" s="532"/>
      <c r="K68" s="533"/>
      <c r="L68" s="1228">
        <f>J64+M64</f>
        <v>0</v>
      </c>
      <c r="M68" s="1229"/>
      <c r="N68" s="596" t="str">
        <f>IF(ISBLANK(L68),"This item can not be left blank. Please review instructions.","")</f>
        <v/>
      </c>
      <c r="O68" s="597"/>
      <c r="P68" s="597"/>
      <c r="Q68" s="597"/>
      <c r="R68" s="598"/>
    </row>
    <row r="69" spans="1:23" s="2" customFormat="1" ht="25.5" customHeight="1" x14ac:dyDescent="0.25">
      <c r="A69" s="20">
        <v>7248</v>
      </c>
      <c r="B69" s="531" t="s">
        <v>1428</v>
      </c>
      <c r="C69" s="532"/>
      <c r="D69" s="532"/>
      <c r="E69" s="532"/>
      <c r="F69" s="532"/>
      <c r="G69" s="532"/>
      <c r="H69" s="532"/>
      <c r="I69" s="532"/>
      <c r="J69" s="532"/>
      <c r="K69" s="533"/>
      <c r="L69" s="1228">
        <f>P64+S64</f>
        <v>0</v>
      </c>
      <c r="M69" s="1229"/>
      <c r="N69" s="596" t="str">
        <f>IF(ISBLANK(L69),"This item can not be left blank. Please review instructions.","")</f>
        <v/>
      </c>
      <c r="O69" s="597"/>
      <c r="P69" s="597"/>
      <c r="Q69" s="597"/>
      <c r="R69" s="598"/>
    </row>
    <row r="70" spans="1:23" s="2" customFormat="1" ht="25.5" customHeight="1" x14ac:dyDescent="0.25">
      <c r="A70" s="20">
        <v>8014</v>
      </c>
      <c r="B70" s="531" t="s">
        <v>1528</v>
      </c>
      <c r="C70" s="532"/>
      <c r="D70" s="532"/>
      <c r="E70" s="532"/>
      <c r="F70" s="532"/>
      <c r="G70" s="532"/>
      <c r="H70" s="532"/>
      <c r="I70" s="532"/>
      <c r="J70" s="532"/>
      <c r="K70" s="533"/>
      <c r="L70" s="1228">
        <f>G62</f>
        <v>0</v>
      </c>
      <c r="M70" s="1229"/>
      <c r="N70" s="227"/>
      <c r="O70" s="5"/>
      <c r="P70" s="5"/>
      <c r="Q70" s="5"/>
      <c r="R70" s="84"/>
    </row>
    <row r="71" spans="1:23" s="2" customFormat="1" ht="25.5" customHeight="1" x14ac:dyDescent="0.25">
      <c r="A71" s="21">
        <v>7251</v>
      </c>
      <c r="B71" s="611" t="s">
        <v>1420</v>
      </c>
      <c r="C71" s="612"/>
      <c r="D71" s="612"/>
      <c r="E71" s="612"/>
      <c r="F71" s="612"/>
      <c r="G71" s="612"/>
      <c r="H71" s="612"/>
      <c r="I71" s="612"/>
      <c r="J71" s="612"/>
      <c r="K71" s="613"/>
      <c r="L71" s="698">
        <f>G64</f>
        <v>0</v>
      </c>
      <c r="M71" s="699"/>
      <c r="N71" s="596"/>
      <c r="O71" s="597"/>
      <c r="P71" s="597"/>
      <c r="Q71" s="597"/>
      <c r="R71" s="597"/>
    </row>
    <row r="72" spans="1:23" ht="25.5" customHeight="1" x14ac:dyDescent="0.3">
      <c r="A72" s="15" t="e">
        <f>'2017 HAR'!A33</f>
        <v>#N/A</v>
      </c>
      <c r="W72" s="274" t="str">
        <f>IF('2017 HAR'!L475&lt;&gt;"",'2017 HAR'!L475,"")</f>
        <v/>
      </c>
    </row>
    <row r="73" spans="1:23" ht="25.5" customHeight="1" x14ac:dyDescent="0.25">
      <c r="A73" s="787" t="s">
        <v>1526</v>
      </c>
      <c r="B73" s="600"/>
      <c r="C73" s="600"/>
      <c r="D73" s="600"/>
      <c r="E73" s="600"/>
      <c r="F73" s="600"/>
      <c r="G73" s="600"/>
      <c r="H73" s="600"/>
      <c r="I73" s="600"/>
      <c r="J73" s="600"/>
      <c r="K73" s="600"/>
      <c r="L73" s="600"/>
      <c r="M73" s="600"/>
      <c r="N73" s="1230" t="s">
        <v>3625</v>
      </c>
      <c r="O73" s="1231"/>
      <c r="P73" s="1231"/>
      <c r="Q73" s="1231"/>
      <c r="R73" s="1231"/>
      <c r="S73" s="1231"/>
      <c r="T73" s="1231"/>
    </row>
    <row r="74" spans="1:23" s="2" customFormat="1" ht="25.5" customHeight="1" x14ac:dyDescent="0.25">
      <c r="A74" s="1235" t="s">
        <v>1918</v>
      </c>
      <c r="B74" s="1236"/>
      <c r="C74" s="1236"/>
      <c r="D74" s="1236"/>
      <c r="E74" s="1236"/>
      <c r="F74" s="1236"/>
      <c r="G74" s="1236"/>
      <c r="H74" s="1236"/>
      <c r="I74" s="1236"/>
      <c r="J74" s="1236"/>
      <c r="K74" s="1237"/>
      <c r="L74" s="1238" t="s">
        <v>3614</v>
      </c>
      <c r="M74" s="696"/>
      <c r="N74" s="1231"/>
      <c r="O74" s="1231"/>
      <c r="P74" s="1231"/>
      <c r="Q74" s="1231"/>
      <c r="R74" s="1231"/>
      <c r="S74" s="1231"/>
      <c r="T74" s="1231"/>
    </row>
    <row r="75" spans="1:23" s="2" customFormat="1" ht="25.5" customHeight="1" x14ac:dyDescent="0.25">
      <c r="A75" s="1232" t="s">
        <v>778</v>
      </c>
      <c r="B75" s="1233"/>
      <c r="C75" s="898" t="s">
        <v>779</v>
      </c>
      <c r="D75" s="898"/>
      <c r="E75" s="898"/>
      <c r="F75" s="898"/>
      <c r="G75" s="898"/>
      <c r="H75" s="1234"/>
      <c r="I75" s="1234"/>
      <c r="J75" s="898" t="s">
        <v>3623</v>
      </c>
      <c r="K75" s="868"/>
      <c r="L75" s="898" t="s">
        <v>3624</v>
      </c>
      <c r="M75" s="868"/>
      <c r="N75" s="22"/>
      <c r="O75" s="22"/>
      <c r="P75" s="22"/>
      <c r="Q75" s="22"/>
      <c r="R75" s="22"/>
    </row>
    <row r="76" spans="1:23" s="2" customFormat="1" ht="25.5" customHeight="1" x14ac:dyDescent="0.25">
      <c r="A76" s="78">
        <v>1</v>
      </c>
      <c r="B76" s="79"/>
      <c r="C76" s="1224"/>
      <c r="D76" s="1225"/>
      <c r="E76" s="1225"/>
      <c r="F76" s="1225"/>
      <c r="G76" s="1225"/>
      <c r="H76" s="1225"/>
      <c r="I76" s="1226"/>
      <c r="J76" s="616"/>
      <c r="K76" s="617"/>
      <c r="L76" s="616"/>
      <c r="M76" s="617"/>
      <c r="N76" s="596"/>
      <c r="O76" s="597"/>
      <c r="P76" s="597"/>
      <c r="Q76" s="597"/>
      <c r="R76" s="597"/>
    </row>
    <row r="77" spans="1:23" s="2" customFormat="1" ht="25.5" customHeight="1" x14ac:dyDescent="0.25">
      <c r="A77" s="78">
        <v>2</v>
      </c>
      <c r="B77" s="79"/>
      <c r="C77" s="1224"/>
      <c r="D77" s="1225"/>
      <c r="E77" s="1225"/>
      <c r="F77" s="1225"/>
      <c r="G77" s="1225"/>
      <c r="H77" s="1225"/>
      <c r="I77" s="1226"/>
      <c r="J77" s="616"/>
      <c r="K77" s="617"/>
      <c r="L77" s="616"/>
      <c r="M77" s="617"/>
      <c r="N77" s="596"/>
      <c r="O77" s="597"/>
      <c r="P77" s="597"/>
      <c r="Q77" s="597"/>
      <c r="R77" s="597"/>
    </row>
    <row r="78" spans="1:23" s="2" customFormat="1" ht="25.5" customHeight="1" x14ac:dyDescent="0.25">
      <c r="A78" s="78">
        <v>3</v>
      </c>
      <c r="B78" s="79"/>
      <c r="C78" s="1224"/>
      <c r="D78" s="1225"/>
      <c r="E78" s="1225"/>
      <c r="F78" s="1225"/>
      <c r="G78" s="1225"/>
      <c r="H78" s="1225"/>
      <c r="I78" s="1226"/>
      <c r="J78" s="616"/>
      <c r="K78" s="617"/>
      <c r="L78" s="616"/>
      <c r="M78" s="617"/>
      <c r="N78" s="596"/>
      <c r="O78" s="597"/>
      <c r="P78" s="597"/>
      <c r="Q78" s="597"/>
      <c r="R78" s="597"/>
    </row>
    <row r="79" spans="1:23" s="2" customFormat="1" ht="25.5" customHeight="1" x14ac:dyDescent="0.25">
      <c r="A79" s="78">
        <v>4</v>
      </c>
      <c r="B79" s="79"/>
      <c r="C79" s="1224"/>
      <c r="D79" s="1225"/>
      <c r="E79" s="1225"/>
      <c r="F79" s="1225"/>
      <c r="G79" s="1225"/>
      <c r="H79" s="1225"/>
      <c r="I79" s="1226"/>
      <c r="J79" s="616"/>
      <c r="K79" s="617"/>
      <c r="L79" s="616"/>
      <c r="M79" s="617"/>
      <c r="N79" s="596"/>
      <c r="O79" s="597"/>
      <c r="P79" s="597"/>
      <c r="Q79" s="597"/>
      <c r="R79" s="597"/>
    </row>
    <row r="80" spans="1:23" s="2" customFormat="1" ht="25.5" customHeight="1" x14ac:dyDescent="0.25">
      <c r="A80" s="78">
        <v>5</v>
      </c>
      <c r="B80" s="79"/>
      <c r="C80" s="1224"/>
      <c r="D80" s="1225"/>
      <c r="E80" s="1225"/>
      <c r="F80" s="1225"/>
      <c r="G80" s="1225"/>
      <c r="H80" s="1225"/>
      <c r="I80" s="1226"/>
      <c r="J80" s="616"/>
      <c r="K80" s="617"/>
      <c r="L80" s="616"/>
      <c r="M80" s="617"/>
      <c r="N80" s="596"/>
      <c r="O80" s="597"/>
      <c r="P80" s="597"/>
      <c r="Q80" s="597"/>
      <c r="R80" s="597"/>
    </row>
    <row r="81" spans="1:18" s="2" customFormat="1" ht="25.5" customHeight="1" x14ac:dyDescent="0.25">
      <c r="A81" s="78">
        <v>6</v>
      </c>
      <c r="B81" s="79"/>
      <c r="C81" s="1224"/>
      <c r="D81" s="1225"/>
      <c r="E81" s="1225"/>
      <c r="F81" s="1225"/>
      <c r="G81" s="1225"/>
      <c r="H81" s="1225"/>
      <c r="I81" s="1226"/>
      <c r="J81" s="616"/>
      <c r="K81" s="617"/>
      <c r="L81" s="616"/>
      <c r="M81" s="617"/>
      <c r="N81" s="596"/>
      <c r="O81" s="597"/>
      <c r="P81" s="597"/>
      <c r="Q81" s="597"/>
      <c r="R81" s="597"/>
    </row>
    <row r="82" spans="1:18" s="2" customFormat="1" ht="25.5" customHeight="1" x14ac:dyDescent="0.25">
      <c r="A82" s="78">
        <v>7</v>
      </c>
      <c r="B82" s="79"/>
      <c r="C82" s="1224"/>
      <c r="D82" s="1225"/>
      <c r="E82" s="1225"/>
      <c r="F82" s="1225"/>
      <c r="G82" s="1225"/>
      <c r="H82" s="1225"/>
      <c r="I82" s="1226"/>
      <c r="J82" s="616"/>
      <c r="K82" s="617"/>
      <c r="L82" s="616"/>
      <c r="M82" s="617"/>
      <c r="N82" s="596"/>
      <c r="O82" s="597"/>
      <c r="P82" s="597"/>
      <c r="Q82" s="597"/>
      <c r="R82" s="597"/>
    </row>
    <row r="83" spans="1:18" s="2" customFormat="1" ht="25.5" customHeight="1" x14ac:dyDescent="0.25">
      <c r="A83" s="78">
        <v>8</v>
      </c>
      <c r="B83" s="79"/>
      <c r="C83" s="1224"/>
      <c r="D83" s="1225"/>
      <c r="E83" s="1225"/>
      <c r="F83" s="1225"/>
      <c r="G83" s="1225"/>
      <c r="H83" s="1225"/>
      <c r="I83" s="1226"/>
      <c r="J83" s="616"/>
      <c r="K83" s="617"/>
      <c r="L83" s="616"/>
      <c r="M83" s="617"/>
      <c r="N83" s="596"/>
      <c r="O83" s="597"/>
      <c r="P83" s="597"/>
      <c r="Q83" s="597"/>
      <c r="R83" s="597"/>
    </row>
    <row r="84" spans="1:18" s="2" customFormat="1" ht="25.5" customHeight="1" x14ac:dyDescent="0.25">
      <c r="A84" s="78">
        <v>9</v>
      </c>
      <c r="B84" s="79"/>
      <c r="C84" s="1224"/>
      <c r="D84" s="1225"/>
      <c r="E84" s="1225"/>
      <c r="F84" s="1225"/>
      <c r="G84" s="1225"/>
      <c r="H84" s="1225"/>
      <c r="I84" s="1226"/>
      <c r="J84" s="616"/>
      <c r="K84" s="617"/>
      <c r="L84" s="616"/>
      <c r="M84" s="617"/>
      <c r="N84" s="596"/>
      <c r="O84" s="597"/>
      <c r="P84" s="597"/>
      <c r="Q84" s="597"/>
      <c r="R84" s="597"/>
    </row>
    <row r="85" spans="1:18" s="2" customFormat="1" ht="25.5" customHeight="1" x14ac:dyDescent="0.25">
      <c r="A85" s="78">
        <v>10</v>
      </c>
      <c r="B85" s="79"/>
      <c r="C85" s="1224"/>
      <c r="D85" s="1225"/>
      <c r="E85" s="1225"/>
      <c r="F85" s="1225"/>
      <c r="G85" s="1225"/>
      <c r="H85" s="1225"/>
      <c r="I85" s="1226"/>
      <c r="J85" s="616"/>
      <c r="K85" s="617"/>
      <c r="L85" s="616"/>
      <c r="M85" s="617"/>
      <c r="N85" s="596"/>
      <c r="O85" s="597"/>
      <c r="P85" s="597"/>
      <c r="Q85" s="597"/>
      <c r="R85" s="597"/>
    </row>
  </sheetData>
  <sheetProtection algorithmName="SHA-512" hashValue="7l62E0PuOBRPYJ9EnjdRxsU8SoRJrQD+ndyQBRqyjNvpzw7x6QsFj2kZKPifhiQ8PEa4Tfbs38+CSsH23W7SkQ==" saltValue="VQuiN8iO1ori+vrG2jsQ6g==" spinCount="100000" sheet="1" objects="1" scenarios="1"/>
  <mergeCells count="315">
    <mergeCell ref="B10:E10"/>
    <mergeCell ref="S58:T58"/>
    <mergeCell ref="S59:T59"/>
    <mergeCell ref="S55:T55"/>
    <mergeCell ref="S56:T56"/>
    <mergeCell ref="S60:T60"/>
    <mergeCell ref="S54:T54"/>
    <mergeCell ref="S57:T57"/>
    <mergeCell ref="A2:T2"/>
    <mergeCell ref="R50:T50"/>
    <mergeCell ref="S51:T51"/>
    <mergeCell ref="S52:T52"/>
    <mergeCell ref="R4:T4"/>
    <mergeCell ref="A4:Q4"/>
    <mergeCell ref="R49:T49"/>
    <mergeCell ref="R5:T5"/>
    <mergeCell ref="A49:Q49"/>
    <mergeCell ref="S19:T19"/>
    <mergeCell ref="S7:T7"/>
    <mergeCell ref="S15:T15"/>
    <mergeCell ref="S8:T8"/>
    <mergeCell ref="S9:T9"/>
    <mergeCell ref="S27:T27"/>
    <mergeCell ref="S26:T26"/>
    <mergeCell ref="J14:K14"/>
    <mergeCell ref="B11:E11"/>
    <mergeCell ref="G11:H11"/>
    <mergeCell ref="J12:K12"/>
    <mergeCell ref="B14:E14"/>
    <mergeCell ref="G14:H14"/>
    <mergeCell ref="J13:K13"/>
    <mergeCell ref="S11:T11"/>
    <mergeCell ref="P11:Q11"/>
    <mergeCell ref="M12:N12"/>
    <mergeCell ref="P12:Q12"/>
    <mergeCell ref="S13:T13"/>
    <mergeCell ref="S14:T14"/>
    <mergeCell ref="S25:T25"/>
    <mergeCell ref="S6:T6"/>
    <mergeCell ref="P19:Q19"/>
    <mergeCell ref="M19:N19"/>
    <mergeCell ref="P13:Q13"/>
    <mergeCell ref="P14:Q14"/>
    <mergeCell ref="M13:N13"/>
    <mergeCell ref="M14:N14"/>
    <mergeCell ref="S10:T10"/>
    <mergeCell ref="M15:N15"/>
    <mergeCell ref="R23:T23"/>
    <mergeCell ref="R24:T24"/>
    <mergeCell ref="J15:K15"/>
    <mergeCell ref="P15:Q15"/>
    <mergeCell ref="B15:E15"/>
    <mergeCell ref="S29:T29"/>
    <mergeCell ref="S30:T30"/>
    <mergeCell ref="M30:N30"/>
    <mergeCell ref="G15:H15"/>
    <mergeCell ref="G25:H25"/>
    <mergeCell ref="J25:K25"/>
    <mergeCell ref="A21:T21"/>
    <mergeCell ref="M25:N25"/>
    <mergeCell ref="P26:Q26"/>
    <mergeCell ref="M27:N27"/>
    <mergeCell ref="P27:Q27"/>
    <mergeCell ref="G30:H30"/>
    <mergeCell ref="P30:Q30"/>
    <mergeCell ref="M29:N29"/>
    <mergeCell ref="P29:Q29"/>
    <mergeCell ref="B18:E18"/>
    <mergeCell ref="G18:H18"/>
    <mergeCell ref="A22:O22"/>
    <mergeCell ref="P22:T22"/>
    <mergeCell ref="S28:T28"/>
    <mergeCell ref="I16:T18"/>
    <mergeCell ref="G10:H10"/>
    <mergeCell ref="B13:E13"/>
    <mergeCell ref="G13:H13"/>
    <mergeCell ref="M11:N11"/>
    <mergeCell ref="B35:E35"/>
    <mergeCell ref="G35:H35"/>
    <mergeCell ref="J10:K10"/>
    <mergeCell ref="A23:Q23"/>
    <mergeCell ref="B12:E12"/>
    <mergeCell ref="G12:H12"/>
    <mergeCell ref="M10:N10"/>
    <mergeCell ref="P10:Q10"/>
    <mergeCell ref="B30:E30"/>
    <mergeCell ref="O24:Q24"/>
    <mergeCell ref="J32:K32"/>
    <mergeCell ref="G26:H26"/>
    <mergeCell ref="J26:K26"/>
    <mergeCell ref="B31:E31"/>
    <mergeCell ref="G31:H31"/>
    <mergeCell ref="B28:E28"/>
    <mergeCell ref="P25:Q25"/>
    <mergeCell ref="M28:N28"/>
    <mergeCell ref="P28:Q28"/>
    <mergeCell ref="M26:N26"/>
    <mergeCell ref="A3:T3"/>
    <mergeCell ref="B6:E6"/>
    <mergeCell ref="G6:H6"/>
    <mergeCell ref="J6:K6"/>
    <mergeCell ref="M6:N6"/>
    <mergeCell ref="P6:Q6"/>
    <mergeCell ref="B5:E5"/>
    <mergeCell ref="F5:H5"/>
    <mergeCell ref="I5:K5"/>
    <mergeCell ref="L5:N5"/>
    <mergeCell ref="O5:Q5"/>
    <mergeCell ref="B7:E7"/>
    <mergeCell ref="G7:H7"/>
    <mergeCell ref="J7:K7"/>
    <mergeCell ref="M7:N7"/>
    <mergeCell ref="B8:E8"/>
    <mergeCell ref="G8:H8"/>
    <mergeCell ref="M8:N8"/>
    <mergeCell ref="P8:Q8"/>
    <mergeCell ref="J8:K8"/>
    <mergeCell ref="P7:Q7"/>
    <mergeCell ref="J58:K58"/>
    <mergeCell ref="J57:K57"/>
    <mergeCell ref="B9:E9"/>
    <mergeCell ref="G9:H9"/>
    <mergeCell ref="M9:N9"/>
    <mergeCell ref="P9:Q9"/>
    <mergeCell ref="J9:K9"/>
    <mergeCell ref="L24:N24"/>
    <mergeCell ref="G64:H64"/>
    <mergeCell ref="J64:K64"/>
    <mergeCell ref="A41:K41"/>
    <mergeCell ref="J27:K27"/>
    <mergeCell ref="G61:H61"/>
    <mergeCell ref="I61:T63"/>
    <mergeCell ref="B24:E24"/>
    <mergeCell ref="F24:H24"/>
    <mergeCell ref="I24:K24"/>
    <mergeCell ref="S64:T64"/>
    <mergeCell ref="B64:E64"/>
    <mergeCell ref="B62:E62"/>
    <mergeCell ref="G62:H62"/>
    <mergeCell ref="B61:E61"/>
    <mergeCell ref="J28:K28"/>
    <mergeCell ref="J34:K34"/>
    <mergeCell ref="B63:E63"/>
    <mergeCell ref="G63:H63"/>
    <mergeCell ref="B29:E29"/>
    <mergeCell ref="G29:H29"/>
    <mergeCell ref="B27:E27"/>
    <mergeCell ref="G27:H27"/>
    <mergeCell ref="B50:E50"/>
    <mergeCell ref="F50:H50"/>
    <mergeCell ref="B54:E54"/>
    <mergeCell ref="B51:E51"/>
    <mergeCell ref="G51:H51"/>
    <mergeCell ref="B52:E52"/>
    <mergeCell ref="G52:H52"/>
    <mergeCell ref="B53:E53"/>
    <mergeCell ref="G54:H54"/>
    <mergeCell ref="G57:H57"/>
    <mergeCell ref="B58:E58"/>
    <mergeCell ref="G58:H58"/>
    <mergeCell ref="B32:E32"/>
    <mergeCell ref="B33:E33"/>
    <mergeCell ref="A47:T47"/>
    <mergeCell ref="M34:N34"/>
    <mergeCell ref="J31:K31"/>
    <mergeCell ref="J29:K29"/>
    <mergeCell ref="B56:E56"/>
    <mergeCell ref="G56:H56"/>
    <mergeCell ref="M56:N56"/>
    <mergeCell ref="P56:Q56"/>
    <mergeCell ref="B55:E55"/>
    <mergeCell ref="G55:H55"/>
    <mergeCell ref="M55:N55"/>
    <mergeCell ref="P55:Q55"/>
    <mergeCell ref="J55:K55"/>
    <mergeCell ref="B17:E17"/>
    <mergeCell ref="G17:H17"/>
    <mergeCell ref="B16:E16"/>
    <mergeCell ref="G16:H16"/>
    <mergeCell ref="P38:Q38"/>
    <mergeCell ref="B36:E36"/>
    <mergeCell ref="G36:H36"/>
    <mergeCell ref="M54:N54"/>
    <mergeCell ref="M53:N53"/>
    <mergeCell ref="P53:Q53"/>
    <mergeCell ref="J53:K53"/>
    <mergeCell ref="J33:K33"/>
    <mergeCell ref="B25:E25"/>
    <mergeCell ref="J51:K51"/>
    <mergeCell ref="J52:K52"/>
    <mergeCell ref="B26:E26"/>
    <mergeCell ref="B37:E37"/>
    <mergeCell ref="G19:H19"/>
    <mergeCell ref="J19:K19"/>
    <mergeCell ref="B19:E19"/>
    <mergeCell ref="G28:H28"/>
    <mergeCell ref="P31:Q31"/>
    <mergeCell ref="M31:N31"/>
    <mergeCell ref="S53:T53"/>
    <mergeCell ref="S34:T34"/>
    <mergeCell ref="S38:T38"/>
    <mergeCell ref="S32:T32"/>
    <mergeCell ref="S33:T33"/>
    <mergeCell ref="N41:R41"/>
    <mergeCell ref="P54:Q54"/>
    <mergeCell ref="J54:K54"/>
    <mergeCell ref="G53:H53"/>
    <mergeCell ref="G37:H37"/>
    <mergeCell ref="I50:K50"/>
    <mergeCell ref="B45:K45"/>
    <mergeCell ref="B34:E34"/>
    <mergeCell ref="G34:H34"/>
    <mergeCell ref="P33:Q33"/>
    <mergeCell ref="G32:H32"/>
    <mergeCell ref="M32:N32"/>
    <mergeCell ref="P32:Q32"/>
    <mergeCell ref="P34:Q34"/>
    <mergeCell ref="M33:N33"/>
    <mergeCell ref="G33:H33"/>
    <mergeCell ref="L69:M69"/>
    <mergeCell ref="A48:O48"/>
    <mergeCell ref="B43:K43"/>
    <mergeCell ref="M64:N64"/>
    <mergeCell ref="M57:N57"/>
    <mergeCell ref="M58:N58"/>
    <mergeCell ref="B44:K44"/>
    <mergeCell ref="L44:M44"/>
    <mergeCell ref="I35:T37"/>
    <mergeCell ref="A40:M40"/>
    <mergeCell ref="B42:K42"/>
    <mergeCell ref="L42:M42"/>
    <mergeCell ref="N42:R42"/>
    <mergeCell ref="B38:E38"/>
    <mergeCell ref="G38:H38"/>
    <mergeCell ref="J38:K38"/>
    <mergeCell ref="M38:N38"/>
    <mergeCell ref="G59:H59"/>
    <mergeCell ref="M59:N59"/>
    <mergeCell ref="B60:E60"/>
    <mergeCell ref="P48:T48"/>
    <mergeCell ref="L43:M43"/>
    <mergeCell ref="N43:R43"/>
    <mergeCell ref="L41:M41"/>
    <mergeCell ref="A75:B75"/>
    <mergeCell ref="C75:I75"/>
    <mergeCell ref="J75:K75"/>
    <mergeCell ref="L75:M75"/>
    <mergeCell ref="L45:M45"/>
    <mergeCell ref="N45:R45"/>
    <mergeCell ref="B59:E59"/>
    <mergeCell ref="P51:Q51"/>
    <mergeCell ref="O50:Q50"/>
    <mergeCell ref="P57:Q57"/>
    <mergeCell ref="L50:N50"/>
    <mergeCell ref="P64:Q64"/>
    <mergeCell ref="P60:Q60"/>
    <mergeCell ref="P52:Q52"/>
    <mergeCell ref="P58:Q58"/>
    <mergeCell ref="P59:Q59"/>
    <mergeCell ref="A66:M66"/>
    <mergeCell ref="B71:K71"/>
    <mergeCell ref="A74:K74"/>
    <mergeCell ref="L74:M74"/>
    <mergeCell ref="G60:H60"/>
    <mergeCell ref="J59:K59"/>
    <mergeCell ref="J60:K60"/>
    <mergeCell ref="B57:E57"/>
    <mergeCell ref="C76:I76"/>
    <mergeCell ref="J76:K76"/>
    <mergeCell ref="L76:M76"/>
    <mergeCell ref="N76:R85"/>
    <mergeCell ref="C77:I77"/>
    <mergeCell ref="J77:K77"/>
    <mergeCell ref="L77:M77"/>
    <mergeCell ref="C78:I78"/>
    <mergeCell ref="J78:K78"/>
    <mergeCell ref="L78:M78"/>
    <mergeCell ref="C79:I79"/>
    <mergeCell ref="J79:K79"/>
    <mergeCell ref="L79:M79"/>
    <mergeCell ref="C80:I80"/>
    <mergeCell ref="J80:K80"/>
    <mergeCell ref="L80:M80"/>
    <mergeCell ref="C81:I81"/>
    <mergeCell ref="J81:K81"/>
    <mergeCell ref="L81:M81"/>
    <mergeCell ref="C82:I82"/>
    <mergeCell ref="J82:K82"/>
    <mergeCell ref="L82:M82"/>
    <mergeCell ref="C85:I85"/>
    <mergeCell ref="J85:K85"/>
    <mergeCell ref="L85:M85"/>
    <mergeCell ref="C83:I83"/>
    <mergeCell ref="J83:K83"/>
    <mergeCell ref="L83:M83"/>
    <mergeCell ref="C84:I84"/>
    <mergeCell ref="J84:K84"/>
    <mergeCell ref="L84:M84"/>
    <mergeCell ref="M51:N51"/>
    <mergeCell ref="M52:N52"/>
    <mergeCell ref="M60:N60"/>
    <mergeCell ref="L71:M71"/>
    <mergeCell ref="N71:R71"/>
    <mergeCell ref="A67:K67"/>
    <mergeCell ref="L67:M67"/>
    <mergeCell ref="N67:R67"/>
    <mergeCell ref="B68:K68"/>
    <mergeCell ref="L68:M68"/>
    <mergeCell ref="N68:R68"/>
    <mergeCell ref="N69:R69"/>
    <mergeCell ref="B69:K69"/>
    <mergeCell ref="A73:M73"/>
    <mergeCell ref="N73:T74"/>
    <mergeCell ref="B70:K70"/>
    <mergeCell ref="L70:M70"/>
  </mergeCells>
  <phoneticPr fontId="20" type="noConversion"/>
  <conditionalFormatting sqref="A76:A85 C76:I85">
    <cfRule type="expression" dxfId="80" priority="43" stopIfTrue="1">
      <formula>IF(NOT(ISBLANK($L$488)),TRUE,FALSE)</formula>
    </cfRule>
  </conditionalFormatting>
  <conditionalFormatting sqref="N67:R67 N41:R41">
    <cfRule type="expression" dxfId="79" priority="44" stopIfTrue="1">
      <formula>IF($D$5&gt;=200,TRUE,FALSE)</formula>
    </cfRule>
  </conditionalFormatting>
  <conditionalFormatting sqref="U23:V23 U49:V49">
    <cfRule type="expression" dxfId="78" priority="45" stopIfTrue="1">
      <formula>IF($D$6&gt;=200,TRUE,FALSE)</formula>
    </cfRule>
  </conditionalFormatting>
  <conditionalFormatting sqref="A36:E36 A62:B62 B46:Q46 A17:E17 G36:H36">
    <cfRule type="expression" dxfId="77" priority="46" stopIfTrue="1">
      <formula>IF(ISBLANK($P$591),FALSE,TRUE)</formula>
    </cfRule>
  </conditionalFormatting>
  <conditionalFormatting sqref="P22:T22 P48:T48">
    <cfRule type="expression" dxfId="76" priority="47" stopIfTrue="1">
      <formula>IF($T$1&gt;=200,TRUE,FALSE)</formula>
    </cfRule>
  </conditionalFormatting>
  <conditionalFormatting sqref="S38:T38 A25:E34 I30:Q30 R30:T31">
    <cfRule type="expression" dxfId="75" priority="48" stopIfTrue="1">
      <formula>IF(ISBLANK($P$579),FALSE,TRUE)</formula>
    </cfRule>
  </conditionalFormatting>
  <conditionalFormatting sqref="R56:T57 A51:E60 I56:Q56">
    <cfRule type="expression" dxfId="74" priority="49" stopIfTrue="1">
      <formula>IF(ISBLANK($P$527),FALSE,TRUE)</formula>
    </cfRule>
  </conditionalFormatting>
  <conditionalFormatting sqref="S64:T64">
    <cfRule type="expression" dxfId="73" priority="50" stopIfTrue="1">
      <formula>IF(ISBLANK($P$526),FALSE,TRUE)</formula>
    </cfRule>
  </conditionalFormatting>
  <conditionalFormatting sqref="R11:T12 I11:Q11 A6:E15">
    <cfRule type="expression" dxfId="72" priority="51" stopIfTrue="1">
      <formula>IF(ISBLANK($P$234),FALSE,TRUE)</formula>
    </cfRule>
  </conditionalFormatting>
  <conditionalFormatting sqref="G51:H60 J57:K60 J51:K55 M51:N55 M57:N60 P57:Q60 P51:Q55 S51:T55 S58:T60 S32:T34 S25:T29 P25:Q29 P31:Q34 M31:N34 M25:N29 J31:K34 J25:K29 G25:H34 G6:H15 J12:K15 J6:K10 M6:N10 M12:N15 P12:Q15 P6:Q10 S6:T10 S13:T15">
    <cfRule type="expression" dxfId="71" priority="52" stopIfTrue="1">
      <formula>IF($W$1&lt;&gt;"",TRUE,FALSE)</formula>
    </cfRule>
  </conditionalFormatting>
  <conditionalFormatting sqref="B76:B85 J76:M85">
    <cfRule type="expression" dxfId="70" priority="53" stopIfTrue="1">
      <formula>IF($W$72&lt;&gt;"",TRUE,FALSE)</formula>
    </cfRule>
  </conditionalFormatting>
  <conditionalFormatting sqref="N41:R41">
    <cfRule type="expression" dxfId="69" priority="42" stopIfTrue="1">
      <formula>IF($T$1&gt;=200,TRUE,FALSE)</formula>
    </cfRule>
  </conditionalFormatting>
  <conditionalFormatting sqref="N67:R67">
    <cfRule type="expression" dxfId="68" priority="41" stopIfTrue="1">
      <formula>IF($T$1&gt;=200,TRUE,FALSE)</formula>
    </cfRule>
  </conditionalFormatting>
  <conditionalFormatting sqref="F6">
    <cfRule type="expression" dxfId="67" priority="40" stopIfTrue="1">
      <formula>IF(ISBLANK($P$234),FALSE,TRUE)</formula>
    </cfRule>
  </conditionalFormatting>
  <conditionalFormatting sqref="F7:F19">
    <cfRule type="expression" dxfId="66" priority="39" stopIfTrue="1">
      <formula>IF(ISBLANK($P$234),FALSE,TRUE)</formula>
    </cfRule>
  </conditionalFormatting>
  <conditionalFormatting sqref="I6:I10">
    <cfRule type="expression" dxfId="65" priority="38" stopIfTrue="1">
      <formula>IF(ISBLANK($P$234),FALSE,TRUE)</formula>
    </cfRule>
  </conditionalFormatting>
  <conditionalFormatting sqref="L6:L10">
    <cfRule type="expression" dxfId="64" priority="37" stopIfTrue="1">
      <formula>IF(ISBLANK($P$234),FALSE,TRUE)</formula>
    </cfRule>
  </conditionalFormatting>
  <conditionalFormatting sqref="O6:O10">
    <cfRule type="expression" dxfId="63" priority="36" stopIfTrue="1">
      <formula>IF(ISBLANK($P$234),FALSE,TRUE)</formula>
    </cfRule>
  </conditionalFormatting>
  <conditionalFormatting sqref="R6:R10">
    <cfRule type="expression" dxfId="62" priority="35" stopIfTrue="1">
      <formula>IF(ISBLANK($P$234),FALSE,TRUE)</formula>
    </cfRule>
  </conditionalFormatting>
  <conditionalFormatting sqref="I12:I15">
    <cfRule type="expression" dxfId="61" priority="34" stopIfTrue="1">
      <formula>IF(ISBLANK($P$234),FALSE,TRUE)</formula>
    </cfRule>
  </conditionalFormatting>
  <conditionalFormatting sqref="L12:L15">
    <cfRule type="expression" dxfId="60" priority="33" stopIfTrue="1">
      <formula>IF(ISBLANK($P$234),FALSE,TRUE)</formula>
    </cfRule>
  </conditionalFormatting>
  <conditionalFormatting sqref="O12:O15">
    <cfRule type="expression" dxfId="59" priority="32" stopIfTrue="1">
      <formula>IF(ISBLANK($P$234),FALSE,TRUE)</formula>
    </cfRule>
  </conditionalFormatting>
  <conditionalFormatting sqref="R13:R15">
    <cfRule type="expression" dxfId="58" priority="31" stopIfTrue="1">
      <formula>IF(ISBLANK($P$234),FALSE,TRUE)</formula>
    </cfRule>
  </conditionalFormatting>
  <conditionalFormatting sqref="I19">
    <cfRule type="expression" dxfId="57" priority="30" stopIfTrue="1">
      <formula>IF(ISBLANK($P$234),FALSE,TRUE)</formula>
    </cfRule>
  </conditionalFormatting>
  <conditionalFormatting sqref="L19">
    <cfRule type="expression" dxfId="56" priority="29" stopIfTrue="1">
      <formula>IF(ISBLANK($P$234),FALSE,TRUE)</formula>
    </cfRule>
  </conditionalFormatting>
  <conditionalFormatting sqref="O19">
    <cfRule type="expression" dxfId="55" priority="28" stopIfTrue="1">
      <formula>IF(ISBLANK($P$234),FALSE,TRUE)</formula>
    </cfRule>
  </conditionalFormatting>
  <conditionalFormatting sqref="R19">
    <cfRule type="expression" dxfId="54" priority="27" stopIfTrue="1">
      <formula>IF(ISBLANK($P$234),FALSE,TRUE)</formula>
    </cfRule>
  </conditionalFormatting>
  <conditionalFormatting sqref="I38">
    <cfRule type="expression" dxfId="53" priority="26" stopIfTrue="1">
      <formula>IF(ISBLANK($P$234),FALSE,TRUE)</formula>
    </cfRule>
  </conditionalFormatting>
  <conditionalFormatting sqref="L38">
    <cfRule type="expression" dxfId="52" priority="25" stopIfTrue="1">
      <formula>IF(ISBLANK($P$234),FALSE,TRUE)</formula>
    </cfRule>
  </conditionalFormatting>
  <conditionalFormatting sqref="O38">
    <cfRule type="expression" dxfId="51" priority="24" stopIfTrue="1">
      <formula>IF(ISBLANK($P$234),FALSE,TRUE)</formula>
    </cfRule>
  </conditionalFormatting>
  <conditionalFormatting sqref="R38">
    <cfRule type="expression" dxfId="50" priority="23" stopIfTrue="1">
      <formula>IF(ISBLANK($P$234),FALSE,TRUE)</formula>
    </cfRule>
  </conditionalFormatting>
  <conditionalFormatting sqref="I64">
    <cfRule type="expression" dxfId="49" priority="22" stopIfTrue="1">
      <formula>IF(ISBLANK($P$234),FALSE,TRUE)</formula>
    </cfRule>
  </conditionalFormatting>
  <conditionalFormatting sqref="L64">
    <cfRule type="expression" dxfId="48" priority="21" stopIfTrue="1">
      <formula>IF(ISBLANK($P$234),FALSE,TRUE)</formula>
    </cfRule>
  </conditionalFormatting>
  <conditionalFormatting sqref="O64">
    <cfRule type="expression" dxfId="47" priority="20" stopIfTrue="1">
      <formula>IF(ISBLANK($P$234),FALSE,TRUE)</formula>
    </cfRule>
  </conditionalFormatting>
  <conditionalFormatting sqref="R64">
    <cfRule type="expression" dxfId="46" priority="19" stopIfTrue="1">
      <formula>IF(ISBLANK($P$234),FALSE,TRUE)</formula>
    </cfRule>
  </conditionalFormatting>
  <conditionalFormatting sqref="F25:F38">
    <cfRule type="expression" dxfId="45" priority="18" stopIfTrue="1">
      <formula>IF(ISBLANK($P$234),FALSE,TRUE)</formula>
    </cfRule>
  </conditionalFormatting>
  <conditionalFormatting sqref="I25:I29">
    <cfRule type="expression" dxfId="44" priority="17" stopIfTrue="1">
      <formula>IF(ISBLANK($P$234),FALSE,TRUE)</formula>
    </cfRule>
  </conditionalFormatting>
  <conditionalFormatting sqref="L25:L29">
    <cfRule type="expression" dxfId="43" priority="16" stopIfTrue="1">
      <formula>IF(ISBLANK($P$234),FALSE,TRUE)</formula>
    </cfRule>
  </conditionalFormatting>
  <conditionalFormatting sqref="O25:O29">
    <cfRule type="expression" dxfId="42" priority="15" stopIfTrue="1">
      <formula>IF(ISBLANK($P$234),FALSE,TRUE)</formula>
    </cfRule>
  </conditionalFormatting>
  <conditionalFormatting sqref="R25:R29">
    <cfRule type="expression" dxfId="41" priority="14" stopIfTrue="1">
      <formula>IF(ISBLANK($P$234),FALSE,TRUE)</formula>
    </cfRule>
  </conditionalFormatting>
  <conditionalFormatting sqref="I31:I34">
    <cfRule type="expression" dxfId="40" priority="13" stopIfTrue="1">
      <formula>IF(ISBLANK($P$234),FALSE,TRUE)</formula>
    </cfRule>
  </conditionalFormatting>
  <conditionalFormatting sqref="L31:L34">
    <cfRule type="expression" dxfId="39" priority="12" stopIfTrue="1">
      <formula>IF(ISBLANK($P$234),FALSE,TRUE)</formula>
    </cfRule>
  </conditionalFormatting>
  <conditionalFormatting sqref="O31:O34">
    <cfRule type="expression" dxfId="38" priority="11" stopIfTrue="1">
      <formula>IF(ISBLANK($P$234),FALSE,TRUE)</formula>
    </cfRule>
  </conditionalFormatting>
  <conditionalFormatting sqref="R32:R34">
    <cfRule type="expression" dxfId="37" priority="10" stopIfTrue="1">
      <formula>IF(ISBLANK($P$234),FALSE,TRUE)</formula>
    </cfRule>
  </conditionalFormatting>
  <conditionalFormatting sqref="F51:F64">
    <cfRule type="expression" dxfId="36" priority="9" stopIfTrue="1">
      <formula>IF(ISBLANK($P$234),FALSE,TRUE)</formula>
    </cfRule>
  </conditionalFormatting>
  <conditionalFormatting sqref="I51:I55">
    <cfRule type="expression" dxfId="35" priority="8" stopIfTrue="1">
      <formula>IF(ISBLANK($P$234),FALSE,TRUE)</formula>
    </cfRule>
  </conditionalFormatting>
  <conditionalFormatting sqref="L51:L55">
    <cfRule type="expression" dxfId="34" priority="7" stopIfTrue="1">
      <formula>IF(ISBLANK($P$234),FALSE,TRUE)</formula>
    </cfRule>
  </conditionalFormatting>
  <conditionalFormatting sqref="O51:O55">
    <cfRule type="expression" dxfId="33" priority="6" stopIfTrue="1">
      <formula>IF(ISBLANK($P$234),FALSE,TRUE)</formula>
    </cfRule>
  </conditionalFormatting>
  <conditionalFormatting sqref="R51:R55">
    <cfRule type="expression" dxfId="32" priority="5" stopIfTrue="1">
      <formula>IF(ISBLANK($P$234),FALSE,TRUE)</formula>
    </cfRule>
  </conditionalFormatting>
  <conditionalFormatting sqref="I57:I60">
    <cfRule type="expression" dxfId="31" priority="4" stopIfTrue="1">
      <formula>IF(ISBLANK($P$234),FALSE,TRUE)</formula>
    </cfRule>
  </conditionalFormatting>
  <conditionalFormatting sqref="L57:L60">
    <cfRule type="expression" dxfId="30" priority="3" stopIfTrue="1">
      <formula>IF(ISBLANK($P$234),FALSE,TRUE)</formula>
    </cfRule>
  </conditionalFormatting>
  <conditionalFormatting sqref="O57:O60">
    <cfRule type="expression" dxfId="29" priority="2" stopIfTrue="1">
      <formula>IF(ISBLANK($P$234),FALSE,TRUE)</formula>
    </cfRule>
  </conditionalFormatting>
  <conditionalFormatting sqref="R58:R60">
    <cfRule type="expression" dxfId="28" priority="1" stopIfTrue="1">
      <formula>IF(ISBLANK($P$234),FALSE,TRUE)</formula>
    </cfRule>
  </conditionalFormatting>
  <hyperlinks>
    <hyperlink ref="B19:E19" location="Code_0730" display="Routine Care Charges (ties to account 730)" xr:uid="{00000000-0004-0000-0200-000000000000}"/>
    <hyperlink ref="B63:E63" location="Code_4320" display="Code_4320" xr:uid="{00000000-0004-0000-0200-000001000000}"/>
    <hyperlink ref="B37:E37" location="Code_4320" display="Code_4320" xr:uid="{00000000-0004-0000-0200-000002000000}"/>
    <hyperlink ref="I16:T18" location="Code_7133" display="Click Here to return to the Charge Summary Section in the 2008 HAR" xr:uid="{00000000-0004-0000-0200-000003000000}"/>
    <hyperlink ref="I61:T63" location="Code_4030" display="Click here to return to the Patient Days Summary Section in the 2008 HAR." xr:uid="{00000000-0004-0000-0200-000004000000}"/>
    <hyperlink ref="N73:T74" location="Code_4030" display="Click here to return to the next section in the 2008 HAR." xr:uid="{00000000-0004-0000-0200-000005000000}"/>
    <hyperlink ref="I35:T37" location="Code_4320" display="Click Here to return to the Charge Summary Section in the 2008 HAR" xr:uid="{00000000-0004-0000-0200-000006000000}"/>
  </hyperlinks>
  <pageMargins left="0.75" right="0.75" top="1" bottom="1" header="0.5" footer="0.5"/>
  <pageSetup scale="56" orientation="landscape" r:id="rId1"/>
  <headerFooter alignWithMargins="0">
    <oddFooter xml:space="preserve">&amp;LMDH
http://health.state.mn.us/divs/hpsc/dap/hccis
Phone: 651-201-3572
Fax: 651-201-5179
&amp;CPage &amp;P
2016 Hospital Annual Report
Health Care Cost  Information System (HCCIS)
&amp;RMHA
Jsanislo@mnhospitals.org
Phone: 651-641-1121 
Fax: 651-659-1477
</oddFooter>
  </headerFooter>
  <rowBreaks count="3" manualBreakCount="3">
    <brk id="19" min="1" max="19" man="1"/>
    <brk id="45" min="1" max="19" man="1"/>
    <brk id="71" min="1" max="1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Z616"/>
  <sheetViews>
    <sheetView view="pageBreakPreview" zoomScaleNormal="100" zoomScaleSheetLayoutView="100" workbookViewId="0"/>
  </sheetViews>
  <sheetFormatPr defaultColWidth="7.81640625" defaultRowHeight="26.25" customHeight="1" x14ac:dyDescent="0.25"/>
  <cols>
    <col min="1" max="1" width="8" style="312" bestFit="1" customWidth="1"/>
    <col min="2" max="14" width="7.81640625" style="312"/>
    <col min="15" max="15" width="8.453125" style="312" bestFit="1" customWidth="1"/>
    <col min="16" max="17" width="7.81640625" style="312"/>
    <col min="18" max="18" width="25" style="312" bestFit="1" customWidth="1"/>
    <col min="19" max="26" width="7.81640625" style="312" hidden="1" customWidth="1"/>
    <col min="27" max="48" width="7.81640625" style="312" customWidth="1"/>
    <col min="49" max="16384" width="7.81640625" style="312"/>
  </cols>
  <sheetData>
    <row r="1" spans="1:22" ht="26.25" customHeight="1" thickBot="1" x14ac:dyDescent="0.35">
      <c r="A1" s="436" t="e">
        <f>'2017 HAR'!$A$33</f>
        <v>#N/A</v>
      </c>
      <c r="B1" s="342"/>
      <c r="C1" s="342"/>
      <c r="D1" s="342"/>
      <c r="E1" s="342"/>
      <c r="F1" s="342"/>
      <c r="G1" s="342"/>
      <c r="H1" s="343"/>
      <c r="I1" s="342" t="s">
        <v>1607</v>
      </c>
      <c r="J1" s="342"/>
      <c r="K1" s="344">
        <f>SUM(S1:S433)</f>
        <v>0</v>
      </c>
      <c r="L1" s="342" t="s">
        <v>1606</v>
      </c>
      <c r="M1" s="342"/>
      <c r="N1" s="342"/>
      <c r="O1" s="345"/>
      <c r="P1" s="1430">
        <f>SUM(E11,E54,E97,E140,E183,E226,E269,E312,E355,E398)</f>
        <v>0</v>
      </c>
      <c r="Q1" s="1431"/>
      <c r="R1" s="1282" t="s">
        <v>2624</v>
      </c>
      <c r="T1" s="312">
        <f>Code_7595</f>
        <v>0</v>
      </c>
      <c r="U1" s="312">
        <f>Code_7596</f>
        <v>0</v>
      </c>
    </row>
    <row r="2" spans="1:22" ht="26.25" customHeight="1" x14ac:dyDescent="0.25">
      <c r="A2" s="1432" t="s">
        <v>782</v>
      </c>
      <c r="B2" s="1433"/>
      <c r="C2" s="1433"/>
      <c r="D2" s="1433"/>
      <c r="E2" s="1433"/>
      <c r="F2" s="1433"/>
      <c r="G2" s="1433"/>
      <c r="H2" s="1433"/>
      <c r="I2" s="1434" t="s">
        <v>1608</v>
      </c>
      <c r="J2" s="1434"/>
      <c r="K2" s="1434"/>
      <c r="L2" s="1434"/>
      <c r="M2" s="1434"/>
      <c r="N2" s="1435" t="s">
        <v>3626</v>
      </c>
      <c r="O2" s="1435"/>
      <c r="P2" s="1435"/>
      <c r="Q2" s="1436"/>
      <c r="R2" s="1282"/>
      <c r="S2" s="346"/>
      <c r="T2" s="346"/>
      <c r="U2" s="346"/>
      <c r="V2" s="346"/>
    </row>
    <row r="3" spans="1:22" ht="26.25" customHeight="1" x14ac:dyDescent="0.25">
      <c r="A3" s="1437" t="s">
        <v>2235</v>
      </c>
      <c r="B3" s="1438"/>
      <c r="C3" s="1438"/>
      <c r="D3" s="1438"/>
      <c r="E3" s="1438"/>
      <c r="F3" s="1438"/>
      <c r="G3" s="1438"/>
      <c r="H3" s="1438"/>
      <c r="I3" s="1438"/>
      <c r="J3" s="1438"/>
      <c r="K3" s="1438"/>
      <c r="L3" s="1438"/>
      <c r="M3" s="1438"/>
      <c r="N3" s="1438"/>
      <c r="O3" s="1438"/>
      <c r="P3" s="1438"/>
      <c r="Q3" s="1439"/>
      <c r="R3" s="1282"/>
    </row>
    <row r="4" spans="1:22" ht="26.25" customHeight="1" x14ac:dyDescent="0.25">
      <c r="A4" s="1440"/>
      <c r="B4" s="1441"/>
      <c r="C4" s="1441"/>
      <c r="D4" s="1441"/>
      <c r="E4" s="1441"/>
      <c r="F4" s="1441"/>
      <c r="G4" s="1441"/>
      <c r="H4" s="1441"/>
      <c r="I4" s="1441"/>
      <c r="J4" s="1441"/>
      <c r="K4" s="1441"/>
      <c r="L4" s="1441"/>
      <c r="M4" s="1441"/>
      <c r="N4" s="1442"/>
      <c r="O4" s="1442"/>
      <c r="P4" s="1442"/>
      <c r="Q4" s="1443"/>
      <c r="R4" s="1282"/>
    </row>
    <row r="5" spans="1:22" ht="27" customHeight="1" x14ac:dyDescent="0.25">
      <c r="A5" s="1401" t="s">
        <v>783</v>
      </c>
      <c r="B5" s="1402"/>
      <c r="C5" s="1402"/>
      <c r="D5" s="1402"/>
      <c r="E5" s="1402"/>
      <c r="F5" s="1402"/>
      <c r="G5" s="1402"/>
      <c r="H5" s="1402"/>
      <c r="I5" s="1402"/>
      <c r="J5" s="1402"/>
      <c r="K5" s="1402"/>
      <c r="L5" s="1402"/>
      <c r="M5" s="1402"/>
      <c r="N5" s="1444" t="s">
        <v>3626</v>
      </c>
      <c r="O5" s="1444"/>
      <c r="P5" s="1444"/>
      <c r="Q5" s="1445"/>
      <c r="R5" s="347"/>
    </row>
    <row r="6" spans="1:22" ht="24" customHeight="1" x14ac:dyDescent="0.25">
      <c r="A6" s="1405" t="str">
        <f>IF(ISBLANK(Cap_Expend_Name),"The Capital Expenditure Contact information has NOT been provided.  Click here to go to Capital Expenditure Contact Section to fill in this information now.","")</f>
        <v/>
      </c>
      <c r="B6" s="1406"/>
      <c r="C6" s="1406"/>
      <c r="D6" s="1406"/>
      <c r="E6" s="1406"/>
      <c r="F6" s="1406"/>
      <c r="G6" s="1406"/>
      <c r="H6" s="1406"/>
      <c r="I6" s="1406"/>
      <c r="J6" s="1406"/>
      <c r="K6" s="1406"/>
      <c r="L6" s="1406"/>
      <c r="M6" s="1406"/>
      <c r="N6" s="462" t="s">
        <v>2236</v>
      </c>
      <c r="O6" s="463"/>
      <c r="P6" s="1407"/>
      <c r="Q6" s="1408"/>
      <c r="R6" s="2"/>
    </row>
    <row r="7" spans="1:22" ht="24" customHeight="1" thickBot="1" x14ac:dyDescent="0.3">
      <c r="A7" s="1385" t="s">
        <v>1605</v>
      </c>
      <c r="B7" s="1386"/>
      <c r="C7" s="1386"/>
      <c r="D7" s="1386"/>
      <c r="E7" s="1387"/>
      <c r="F7" s="1388"/>
      <c r="G7" s="1388"/>
      <c r="H7" s="1388"/>
      <c r="I7" s="1388"/>
      <c r="J7" s="1388"/>
      <c r="K7" s="1388"/>
      <c r="L7" s="1389"/>
      <c r="M7" s="348"/>
      <c r="N7" s="1390" t="s">
        <v>2237</v>
      </c>
      <c r="O7" s="1391"/>
      <c r="P7" s="1391"/>
      <c r="Q7" s="1392"/>
      <c r="R7" s="2"/>
    </row>
    <row r="8" spans="1:22" ht="24" customHeight="1" x14ac:dyDescent="0.25">
      <c r="A8" s="1397" t="s">
        <v>2238</v>
      </c>
      <c r="B8" s="1398"/>
      <c r="C8" s="1398"/>
      <c r="D8" s="1399"/>
      <c r="E8" s="1380"/>
      <c r="F8" s="1381"/>
      <c r="G8" s="1381"/>
      <c r="H8" s="1381"/>
      <c r="I8" s="1381"/>
      <c r="J8" s="1381"/>
      <c r="K8" s="1381"/>
      <c r="L8" s="1382"/>
      <c r="M8" s="1383" t="str">
        <f>IF(AND(ISBLANK(E8),OR(NOT(ISBLANK(E9)),NOT(ISBLANK(E10)),NOT(ISBLANK(E11)),NOT(ISBLANK(I12)),NOT(ISBLANK(#REF!)))),"This information is required.","")</f>
        <v>This information is required.</v>
      </c>
      <c r="N8" s="1384"/>
      <c r="O8" s="1384"/>
      <c r="P8" s="1384"/>
      <c r="Q8" s="349"/>
      <c r="R8" s="2"/>
    </row>
    <row r="9" spans="1:22" ht="24" customHeight="1" x14ac:dyDescent="0.25">
      <c r="A9" s="1364" t="s">
        <v>2239</v>
      </c>
      <c r="B9" s="1365"/>
      <c r="C9" s="1365"/>
      <c r="D9" s="1366"/>
      <c r="E9" s="1380"/>
      <c r="F9" s="1381"/>
      <c r="G9" s="1381"/>
      <c r="H9" s="1381"/>
      <c r="I9" s="1381"/>
      <c r="J9" s="1381"/>
      <c r="K9" s="1381"/>
      <c r="L9" s="1382"/>
      <c r="M9" s="1383" t="str">
        <f>IF(AND(ISBLANK(E9),OR(NOT(ISBLANK(E8)),NOT(ISBLANK(E10)),NOT(ISBLANK(E11)),NOT(ISBLANK(I12)),NOT(ISBLANK(#REF!)))),"This information is required.","")</f>
        <v>This information is required.</v>
      </c>
      <c r="N9" s="1384"/>
      <c r="O9" s="1384"/>
      <c r="P9" s="1384"/>
      <c r="Q9" s="349"/>
      <c r="R9" s="2"/>
    </row>
    <row r="10" spans="1:22" ht="24" customHeight="1" x14ac:dyDescent="0.25">
      <c r="A10" s="1393" t="s">
        <v>2240</v>
      </c>
      <c r="B10" s="1394"/>
      <c r="C10" s="1394"/>
      <c r="D10" s="1395"/>
      <c r="E10" s="1380"/>
      <c r="F10" s="1381"/>
      <c r="G10" s="1396" t="s">
        <v>2241</v>
      </c>
      <c r="H10" s="1396"/>
      <c r="I10" s="1396"/>
      <c r="J10" s="1396"/>
      <c r="K10" s="1396"/>
      <c r="L10" s="1396"/>
      <c r="M10" s="596" t="str">
        <f>IF(AND(ISBLANK(E10),OR(NOT(ISBLANK(E8)),NOT(ISBLANK(E9)),NOT(ISBLANK(E11)),NOT(ISBLANK(I12)),NOT(ISBLANK(#REF!)))),"This information is required.","")</f>
        <v>This information is required.</v>
      </c>
      <c r="N10" s="597"/>
      <c r="O10" s="597"/>
      <c r="P10" s="597"/>
      <c r="Q10" s="350"/>
      <c r="R10" s="351"/>
    </row>
    <row r="11" spans="1:22" ht="24" customHeight="1" x14ac:dyDescent="0.25">
      <c r="A11" s="1364" t="s">
        <v>2242</v>
      </c>
      <c r="B11" s="1365"/>
      <c r="C11" s="1365"/>
      <c r="D11" s="1366"/>
      <c r="E11" s="1367"/>
      <c r="F11" s="1368"/>
      <c r="G11" s="352"/>
      <c r="H11" s="353"/>
      <c r="I11" s="354"/>
      <c r="J11" s="351"/>
      <c r="K11" s="351"/>
      <c r="L11" s="351"/>
      <c r="M11" s="597" t="str">
        <f>IF(AND(ISBLANK(E11),OR(NOT(ISBLANK(E8)),NOT(ISBLANK(E9)),NOT(ISBLANK(E10)),NOT(ISBLANK(I12)),NOT(ISBLANK(#REF!)))),"This information is required.","")</f>
        <v>This information is required.</v>
      </c>
      <c r="N11" s="597"/>
      <c r="O11" s="597"/>
      <c r="P11" s="597"/>
      <c r="Q11" s="350"/>
      <c r="R11" s="5"/>
      <c r="S11" s="312">
        <f>IF(ISBLANK(E11),0,1)</f>
        <v>0</v>
      </c>
    </row>
    <row r="12" spans="1:22" ht="24" customHeight="1" thickBot="1" x14ac:dyDescent="0.3">
      <c r="A12" s="1369" t="s">
        <v>2243</v>
      </c>
      <c r="B12" s="1370"/>
      <c r="C12" s="1370"/>
      <c r="D12" s="1370"/>
      <c r="E12" s="1371"/>
      <c r="F12" s="1371"/>
      <c r="G12" s="1371"/>
      <c r="H12" s="1371"/>
      <c r="I12" s="1372"/>
      <c r="J12" s="1373"/>
      <c r="K12" s="1374" t="s">
        <v>2244</v>
      </c>
      <c r="L12" s="1375"/>
      <c r="M12" s="1376" t="str">
        <f>IF(AND(ISBLANK(I12),OR(NOT(ISBLANK(E8)),NOT(ISBLANK(E9)),NOT(ISBLANK(E10)),NOT(ISBLANK(E11)),NOT(ISBLANK(#REF!)))),"This information is required!","")</f>
        <v>This information is required!</v>
      </c>
      <c r="N12" s="1376"/>
      <c r="O12" s="1376"/>
      <c r="P12" s="1376"/>
      <c r="Q12" s="355"/>
      <c r="R12" s="5"/>
    </row>
    <row r="13" spans="1:22" s="357" customFormat="1" ht="27" customHeight="1" x14ac:dyDescent="0.25">
      <c r="A13" s="1292" t="s">
        <v>2245</v>
      </c>
      <c r="B13" s="1293"/>
      <c r="C13" s="1293"/>
      <c r="D13" s="1293"/>
      <c r="E13" s="1293"/>
      <c r="F13" s="1293"/>
      <c r="G13" s="1293"/>
      <c r="H13" s="1293"/>
      <c r="I13" s="1293"/>
      <c r="J13" s="1377"/>
      <c r="K13" s="1378" t="s">
        <v>2246</v>
      </c>
      <c r="L13" s="1378"/>
      <c r="M13" s="1378"/>
      <c r="N13" s="1378"/>
      <c r="O13" s="1353" t="s">
        <v>2247</v>
      </c>
      <c r="P13" s="1353"/>
      <c r="Q13" s="1354"/>
      <c r="R13" s="356"/>
      <c r="T13" s="312"/>
    </row>
    <row r="14" spans="1:22" s="357" customFormat="1" ht="45" customHeight="1" x14ac:dyDescent="0.25">
      <c r="A14" s="1355"/>
      <c r="B14" s="1356"/>
      <c r="C14" s="1356"/>
      <c r="D14" s="1356"/>
      <c r="E14" s="1356"/>
      <c r="F14" s="1356"/>
      <c r="G14" s="1356"/>
      <c r="H14" s="1356"/>
      <c r="I14" s="1356"/>
      <c r="J14" s="1357"/>
      <c r="K14" s="1379"/>
      <c r="L14" s="1379"/>
      <c r="M14" s="1379"/>
      <c r="N14" s="1379"/>
      <c r="O14" s="358"/>
      <c r="P14" s="359" t="s">
        <v>103</v>
      </c>
      <c r="Q14" s="360" t="s">
        <v>104</v>
      </c>
      <c r="R14" s="356"/>
      <c r="T14" s="312"/>
    </row>
    <row r="15" spans="1:22" ht="24" customHeight="1" x14ac:dyDescent="0.25">
      <c r="A15" s="1358"/>
      <c r="B15" s="1359"/>
      <c r="C15" s="1359"/>
      <c r="D15" s="1359"/>
      <c r="E15" s="1359"/>
      <c r="F15" s="1359"/>
      <c r="G15" s="1359"/>
      <c r="H15" s="1359"/>
      <c r="I15" s="1359"/>
      <c r="J15" s="1360"/>
      <c r="K15" s="1336" t="s">
        <v>2248</v>
      </c>
      <c r="L15" s="1337"/>
      <c r="M15" s="1337"/>
      <c r="N15" s="1337"/>
      <c r="O15" s="1338"/>
      <c r="P15" s="361"/>
      <c r="Q15" s="362"/>
      <c r="R15" s="341" t="str">
        <f>IF(COUNTBLANK(P15:Q15)=2,"Please enter response.",IF(COUNTBLANK(P15:Q15)&lt;&gt;1,"Please VERIFY response.",""))</f>
        <v>Please enter response.</v>
      </c>
    </row>
    <row r="16" spans="1:22" s="357" customFormat="1" ht="24" customHeight="1" x14ac:dyDescent="0.25">
      <c r="A16" s="1361" t="s">
        <v>2249</v>
      </c>
      <c r="B16" s="1362"/>
      <c r="C16" s="1362"/>
      <c r="D16" s="1362"/>
      <c r="E16" s="1362"/>
      <c r="F16" s="1362"/>
      <c r="G16" s="1362"/>
      <c r="H16" s="1362"/>
      <c r="I16" s="1362"/>
      <c r="J16" s="1363"/>
      <c r="K16" s="1336" t="s">
        <v>2250</v>
      </c>
      <c r="L16" s="1337"/>
      <c r="M16" s="1337"/>
      <c r="N16" s="1337"/>
      <c r="O16" s="1338"/>
      <c r="P16" s="361"/>
      <c r="Q16" s="362"/>
      <c r="R16" s="341" t="str">
        <f>IF(COUNTBLANK(P16:Q16)=2,"Please enter response.",IF(COUNTBLANK(P16:Q16)&lt;&gt;1,"Please VERIFY response.",""))</f>
        <v>Please enter response.</v>
      </c>
      <c r="T16" s="312"/>
    </row>
    <row r="17" spans="1:20" s="357" customFormat="1" ht="23.5" customHeight="1" x14ac:dyDescent="0.25">
      <c r="A17" s="1355"/>
      <c r="B17" s="1356"/>
      <c r="C17" s="1356"/>
      <c r="D17" s="1356"/>
      <c r="E17" s="1356"/>
      <c r="F17" s="1356"/>
      <c r="G17" s="1356"/>
      <c r="H17" s="1356"/>
      <c r="I17" s="1356"/>
      <c r="J17" s="1357"/>
      <c r="K17" s="1336" t="s">
        <v>2251</v>
      </c>
      <c r="L17" s="1337"/>
      <c r="M17" s="1337"/>
      <c r="N17" s="1337"/>
      <c r="O17" s="1338"/>
      <c r="P17" s="361"/>
      <c r="Q17" s="362"/>
      <c r="R17" s="341" t="str">
        <f>IF(COUNTBLANK(P17:Q17)=2,"Please enter response.",IF(COUNTBLANK(P17:Q17)&lt;&gt;1,"Please VERIFY response.",""))</f>
        <v>Please enter response.</v>
      </c>
      <c r="T17" s="312"/>
    </row>
    <row r="18" spans="1:20" s="357" customFormat="1" ht="24" customHeight="1" x14ac:dyDescent="0.25">
      <c r="A18" s="1358"/>
      <c r="B18" s="1359"/>
      <c r="C18" s="1359"/>
      <c r="D18" s="1359"/>
      <c r="E18" s="1359"/>
      <c r="F18" s="1359"/>
      <c r="G18" s="1359"/>
      <c r="H18" s="1359"/>
      <c r="I18" s="1359"/>
      <c r="J18" s="1360"/>
      <c r="K18" s="1336" t="s">
        <v>2252</v>
      </c>
      <c r="L18" s="1337"/>
      <c r="M18" s="1337"/>
      <c r="N18" s="1337"/>
      <c r="O18" s="1338"/>
      <c r="P18" s="361"/>
      <c r="Q18" s="362"/>
      <c r="R18" s="341" t="str">
        <f>IF(COUNTBLANK(P18:Q18)=2,"Please enter response.",IF(COUNTBLANK(P18:Q18)&lt;&gt;1,"Please VERIFY response.",""))</f>
        <v>Please enter response.</v>
      </c>
      <c r="T18" s="312"/>
    </row>
    <row r="19" spans="1:20" ht="24" customHeight="1" x14ac:dyDescent="0.25">
      <c r="A19" s="1339" t="s">
        <v>2253</v>
      </c>
      <c r="B19" s="1340"/>
      <c r="C19" s="1340"/>
      <c r="D19" s="1340"/>
      <c r="E19" s="1340"/>
      <c r="F19" s="1340"/>
      <c r="G19" s="1340"/>
      <c r="H19" s="1340"/>
      <c r="I19" s="1340"/>
      <c r="J19" s="1340"/>
      <c r="K19" s="1340"/>
      <c r="L19" s="1340"/>
      <c r="M19" s="1340"/>
      <c r="N19" s="1340"/>
      <c r="O19" s="1340"/>
      <c r="P19" s="1340"/>
      <c r="Q19" s="1341"/>
      <c r="R19" s="363"/>
    </row>
    <row r="20" spans="1:20" ht="24" customHeight="1" x14ac:dyDescent="0.25">
      <c r="A20" s="1342" t="s">
        <v>2254</v>
      </c>
      <c r="B20" s="1343"/>
      <c r="C20" s="1343"/>
      <c r="D20" s="1343"/>
      <c r="E20" s="1343" t="s">
        <v>2255</v>
      </c>
      <c r="F20" s="1343"/>
      <c r="G20" s="1343"/>
      <c r="H20" s="1343"/>
      <c r="I20" s="1343" t="s">
        <v>2256</v>
      </c>
      <c r="J20" s="1343"/>
      <c r="K20" s="1343"/>
      <c r="L20" s="1343"/>
      <c r="M20" s="1344" t="s">
        <v>2257</v>
      </c>
      <c r="N20" s="1343"/>
      <c r="O20" s="1343"/>
      <c r="P20" s="1343"/>
      <c r="Q20" s="1345"/>
      <c r="R20" s="364"/>
    </row>
    <row r="21" spans="1:20" s="357" customFormat="1" ht="24" customHeight="1" thickBot="1" x14ac:dyDescent="0.3">
      <c r="A21" s="1346"/>
      <c r="B21" s="1347"/>
      <c r="C21" s="1347"/>
      <c r="D21" s="1347"/>
      <c r="E21" s="1348"/>
      <c r="F21" s="1349"/>
      <c r="G21" s="1349"/>
      <c r="H21" s="1350"/>
      <c r="I21" s="1348"/>
      <c r="J21" s="1349"/>
      <c r="K21" s="1349"/>
      <c r="L21" s="1350"/>
      <c r="M21" s="1351"/>
      <c r="N21" s="1351"/>
      <c r="O21" s="1351"/>
      <c r="P21" s="1351"/>
      <c r="Q21" s="1352"/>
      <c r="R21" s="363"/>
    </row>
    <row r="22" spans="1:20" ht="24" customHeight="1" x14ac:dyDescent="0.25">
      <c r="A22" s="1325" t="s">
        <v>2258</v>
      </c>
      <c r="B22" s="1326"/>
      <c r="C22" s="1326"/>
      <c r="D22" s="1326"/>
      <c r="E22" s="1326"/>
      <c r="F22" s="1326"/>
      <c r="G22" s="1326"/>
      <c r="H22" s="1326"/>
      <c r="I22" s="1326"/>
      <c r="J22" s="1326"/>
      <c r="K22" s="1326"/>
      <c r="L22" s="1326"/>
      <c r="M22" s="1326"/>
      <c r="N22" s="1326"/>
      <c r="O22" s="1326"/>
      <c r="P22" s="1326"/>
      <c r="Q22" s="1327"/>
      <c r="R22" s="365"/>
    </row>
    <row r="23" spans="1:20" ht="24" customHeight="1" x14ac:dyDescent="0.25">
      <c r="A23" s="1297" t="s">
        <v>2259</v>
      </c>
      <c r="B23" s="1328"/>
      <c r="C23" s="1328"/>
      <c r="D23" s="1328"/>
      <c r="E23" s="1328"/>
      <c r="F23" s="1328"/>
      <c r="G23" s="1328"/>
      <c r="H23" s="1328"/>
      <c r="I23" s="1328"/>
      <c r="J23" s="1328"/>
      <c r="K23" s="1328"/>
      <c r="L23" s="1329"/>
      <c r="M23" s="1322"/>
      <c r="N23" s="1323"/>
      <c r="O23" s="1323"/>
      <c r="P23" s="1323"/>
      <c r="Q23" s="1324"/>
      <c r="R23" s="365"/>
    </row>
    <row r="24" spans="1:20" ht="24" customHeight="1" x14ac:dyDescent="0.25">
      <c r="A24" s="1297" t="s">
        <v>2260</v>
      </c>
      <c r="B24" s="1298"/>
      <c r="C24" s="1298"/>
      <c r="D24" s="1298"/>
      <c r="E24" s="1298"/>
      <c r="F24" s="1298"/>
      <c r="G24" s="1298"/>
      <c r="H24" s="1298"/>
      <c r="I24" s="1298"/>
      <c r="J24" s="1298"/>
      <c r="K24" s="1298"/>
      <c r="L24" s="1298"/>
      <c r="M24" s="1299"/>
      <c r="N24" s="1300"/>
      <c r="O24" s="1300"/>
      <c r="P24" s="1300"/>
      <c r="Q24" s="1301"/>
      <c r="R24" s="445"/>
    </row>
    <row r="25" spans="1:20" ht="24" customHeight="1" x14ac:dyDescent="0.25">
      <c r="A25" s="1297" t="s">
        <v>2261</v>
      </c>
      <c r="B25" s="1298"/>
      <c r="C25" s="1298"/>
      <c r="D25" s="1298"/>
      <c r="E25" s="1298"/>
      <c r="F25" s="1298"/>
      <c r="G25" s="1298"/>
      <c r="H25" s="1298"/>
      <c r="I25" s="1298"/>
      <c r="J25" s="1298"/>
      <c r="K25" s="1298"/>
      <c r="L25" s="1298"/>
      <c r="M25" s="1299"/>
      <c r="N25" s="1300"/>
      <c r="O25" s="1300"/>
      <c r="P25" s="1300"/>
      <c r="Q25" s="1301"/>
      <c r="R25" s="445"/>
    </row>
    <row r="26" spans="1:20" ht="24" customHeight="1" x14ac:dyDescent="0.25">
      <c r="A26" s="1302" t="s">
        <v>2262</v>
      </c>
      <c r="B26" s="1303"/>
      <c r="C26" s="1303"/>
      <c r="D26" s="1303"/>
      <c r="E26" s="1303"/>
      <c r="F26" s="1303"/>
      <c r="G26" s="1303"/>
      <c r="H26" s="1303"/>
      <c r="I26" s="1303"/>
      <c r="J26" s="1303"/>
      <c r="K26" s="1303"/>
      <c r="L26" s="1303"/>
      <c r="M26" s="1303"/>
      <c r="N26" s="1303"/>
      <c r="O26" s="1303"/>
      <c r="P26" s="1303"/>
      <c r="Q26" s="1304"/>
      <c r="R26" s="445"/>
    </row>
    <row r="27" spans="1:20" ht="24" customHeight="1" x14ac:dyDescent="0.25">
      <c r="A27" s="1286"/>
      <c r="B27" s="1287"/>
      <c r="C27" s="1287"/>
      <c r="D27" s="1287"/>
      <c r="E27" s="1287"/>
      <c r="F27" s="1287"/>
      <c r="G27" s="1287"/>
      <c r="H27" s="1287"/>
      <c r="I27" s="1287"/>
      <c r="J27" s="1287"/>
      <c r="K27" s="1287"/>
      <c r="L27" s="1287"/>
      <c r="M27" s="1287"/>
      <c r="N27" s="1287"/>
      <c r="O27" s="1287"/>
      <c r="P27" s="1287"/>
      <c r="Q27" s="1288"/>
      <c r="R27" s="445"/>
    </row>
    <row r="28" spans="1:20" ht="24" customHeight="1" x14ac:dyDescent="0.25">
      <c r="A28" s="1305"/>
      <c r="B28" s="1306"/>
      <c r="C28" s="1306"/>
      <c r="D28" s="1306"/>
      <c r="E28" s="1306"/>
      <c r="F28" s="1306"/>
      <c r="G28" s="1306"/>
      <c r="H28" s="1306"/>
      <c r="I28" s="1306"/>
      <c r="J28" s="1306"/>
      <c r="K28" s="1306"/>
      <c r="L28" s="1306"/>
      <c r="M28" s="1306"/>
      <c r="N28" s="1306"/>
      <c r="O28" s="1306"/>
      <c r="P28" s="1306"/>
      <c r="Q28" s="1307"/>
      <c r="R28" s="445"/>
    </row>
    <row r="29" spans="1:20" s="357" customFormat="1" ht="24" customHeight="1" x14ac:dyDescent="0.25">
      <c r="A29" s="1308" t="s">
        <v>2263</v>
      </c>
      <c r="B29" s="1309"/>
      <c r="C29" s="1309"/>
      <c r="D29" s="1309"/>
      <c r="E29" s="1309"/>
      <c r="F29" s="1309"/>
      <c r="G29" s="1309"/>
      <c r="H29" s="1309"/>
      <c r="I29" s="1309"/>
      <c r="J29" s="1309"/>
      <c r="K29" s="1309"/>
      <c r="L29" s="1309"/>
      <c r="M29" s="1309"/>
      <c r="N29" s="1309"/>
      <c r="O29" s="1309"/>
      <c r="P29" s="1309"/>
      <c r="Q29" s="1310"/>
      <c r="R29" s="445"/>
    </row>
    <row r="30" spans="1:20" s="357" customFormat="1" ht="24" customHeight="1" x14ac:dyDescent="0.25">
      <c r="A30" s="1286"/>
      <c r="B30" s="1311"/>
      <c r="C30" s="1311"/>
      <c r="D30" s="1311"/>
      <c r="E30" s="1311"/>
      <c r="F30" s="1311"/>
      <c r="G30" s="1311"/>
      <c r="H30" s="1311"/>
      <c r="I30" s="1311"/>
      <c r="J30" s="1311"/>
      <c r="K30" s="1311"/>
      <c r="L30" s="1311"/>
      <c r="M30" s="1311"/>
      <c r="N30" s="1311"/>
      <c r="O30" s="1311"/>
      <c r="P30" s="1311"/>
      <c r="Q30" s="1312"/>
      <c r="R30" s="445"/>
    </row>
    <row r="31" spans="1:20" ht="24" customHeight="1" thickBot="1" x14ac:dyDescent="0.3">
      <c r="A31" s="1313"/>
      <c r="B31" s="1314"/>
      <c r="C31" s="1314"/>
      <c r="D31" s="1314"/>
      <c r="E31" s="1314"/>
      <c r="F31" s="1314"/>
      <c r="G31" s="1314"/>
      <c r="H31" s="1314"/>
      <c r="I31" s="1314"/>
      <c r="J31" s="1314"/>
      <c r="K31" s="1314"/>
      <c r="L31" s="1314"/>
      <c r="M31" s="1314"/>
      <c r="N31" s="1314"/>
      <c r="O31" s="1314"/>
      <c r="P31" s="1314"/>
      <c r="Q31" s="1315"/>
      <c r="R31" s="366"/>
    </row>
    <row r="32" spans="1:20" ht="24" customHeight="1" x14ac:dyDescent="0.25">
      <c r="A32" s="1316" t="s">
        <v>2264</v>
      </c>
      <c r="B32" s="1317"/>
      <c r="C32" s="1317"/>
      <c r="D32" s="1317"/>
      <c r="E32" s="1317"/>
      <c r="F32" s="1317"/>
      <c r="G32" s="1317"/>
      <c r="H32" s="1317"/>
      <c r="I32" s="1317"/>
      <c r="J32" s="1317"/>
      <c r="K32" s="1317"/>
      <c r="L32" s="1317"/>
      <c r="M32" s="1317"/>
      <c r="N32" s="1317"/>
      <c r="O32" s="1317"/>
      <c r="P32" s="1317"/>
      <c r="Q32" s="1318"/>
      <c r="R32" s="365"/>
    </row>
    <row r="33" spans="1:18" ht="24" customHeight="1" x14ac:dyDescent="0.25">
      <c r="A33" s="1319" t="s">
        <v>2265</v>
      </c>
      <c r="B33" s="1320"/>
      <c r="C33" s="1320"/>
      <c r="D33" s="1320"/>
      <c r="E33" s="1320"/>
      <c r="F33" s="1320"/>
      <c r="G33" s="1320"/>
      <c r="H33" s="1320"/>
      <c r="I33" s="1320"/>
      <c r="J33" s="1320"/>
      <c r="K33" s="1320"/>
      <c r="L33" s="1321"/>
      <c r="M33" s="1322"/>
      <c r="N33" s="1323"/>
      <c r="O33" s="1323"/>
      <c r="P33" s="1323"/>
      <c r="Q33" s="1324"/>
      <c r="R33" s="366"/>
    </row>
    <row r="34" spans="1:18" ht="24" customHeight="1" x14ac:dyDescent="0.25">
      <c r="A34" s="1297" t="s">
        <v>2266</v>
      </c>
      <c r="B34" s="1328"/>
      <c r="C34" s="1328"/>
      <c r="D34" s="1328"/>
      <c r="E34" s="1328"/>
      <c r="F34" s="1328"/>
      <c r="G34" s="1328"/>
      <c r="H34" s="1328"/>
      <c r="I34" s="1328"/>
      <c r="J34" s="1328"/>
      <c r="K34" s="1328"/>
      <c r="L34" s="1329"/>
      <c r="M34" s="1299"/>
      <c r="N34" s="1300"/>
      <c r="O34" s="1300"/>
      <c r="P34" s="1300"/>
      <c r="Q34" s="1301"/>
      <c r="R34" s="366"/>
    </row>
    <row r="35" spans="1:18" ht="24" customHeight="1" x14ac:dyDescent="0.25">
      <c r="A35" s="1330" t="s">
        <v>2267</v>
      </c>
      <c r="B35" s="1331"/>
      <c r="C35" s="1331"/>
      <c r="D35" s="1331"/>
      <c r="E35" s="1331"/>
      <c r="F35" s="1331"/>
      <c r="G35" s="1331"/>
      <c r="H35" s="1331"/>
      <c r="I35" s="1331"/>
      <c r="J35" s="1331"/>
      <c r="K35" s="1331"/>
      <c r="L35" s="1331"/>
      <c r="M35" s="1331"/>
      <c r="N35" s="1331"/>
      <c r="O35" s="1331"/>
      <c r="P35" s="1331"/>
      <c r="Q35" s="1332"/>
      <c r="R35" s="366"/>
    </row>
    <row r="36" spans="1:18" ht="24" customHeight="1" x14ac:dyDescent="0.25">
      <c r="A36" s="1286"/>
      <c r="B36" s="1287"/>
      <c r="C36" s="1287"/>
      <c r="D36" s="1287"/>
      <c r="E36" s="1287"/>
      <c r="F36" s="1287"/>
      <c r="G36" s="1287"/>
      <c r="H36" s="1287"/>
      <c r="I36" s="1287"/>
      <c r="J36" s="1287"/>
      <c r="K36" s="1287"/>
      <c r="L36" s="1287"/>
      <c r="M36" s="1287"/>
      <c r="N36" s="1287"/>
      <c r="O36" s="1287"/>
      <c r="P36" s="1287"/>
      <c r="Q36" s="1296"/>
      <c r="R36" s="366"/>
    </row>
    <row r="37" spans="1:18" ht="24" customHeight="1" x14ac:dyDescent="0.25">
      <c r="A37" s="1333"/>
      <c r="B37" s="1334"/>
      <c r="C37" s="1334"/>
      <c r="D37" s="1334"/>
      <c r="E37" s="1334"/>
      <c r="F37" s="1334"/>
      <c r="G37" s="1334"/>
      <c r="H37" s="1334"/>
      <c r="I37" s="1334"/>
      <c r="J37" s="1334"/>
      <c r="K37" s="1334"/>
      <c r="L37" s="1334"/>
      <c r="M37" s="1334"/>
      <c r="N37" s="1334"/>
      <c r="O37" s="1334"/>
      <c r="P37" s="1334"/>
      <c r="Q37" s="1335"/>
      <c r="R37" s="366"/>
    </row>
    <row r="38" spans="1:18" ht="29.5" customHeight="1" x14ac:dyDescent="0.25">
      <c r="A38" s="1283" t="s">
        <v>2268</v>
      </c>
      <c r="B38" s="1284"/>
      <c r="C38" s="1284"/>
      <c r="D38" s="1284"/>
      <c r="E38" s="1284"/>
      <c r="F38" s="1284"/>
      <c r="G38" s="1284"/>
      <c r="H38" s="1284"/>
      <c r="I38" s="1284"/>
      <c r="J38" s="1284"/>
      <c r="K38" s="1284"/>
      <c r="L38" s="1284"/>
      <c r="M38" s="1284"/>
      <c r="N38" s="1284"/>
      <c r="O38" s="1284"/>
      <c r="P38" s="1284"/>
      <c r="Q38" s="1285"/>
      <c r="R38" s="366"/>
    </row>
    <row r="39" spans="1:18" ht="24" customHeight="1" x14ac:dyDescent="0.25">
      <c r="A39" s="1286"/>
      <c r="B39" s="1287"/>
      <c r="C39" s="1287"/>
      <c r="D39" s="1287"/>
      <c r="E39" s="1287"/>
      <c r="F39" s="1287"/>
      <c r="G39" s="1287"/>
      <c r="H39" s="1287"/>
      <c r="I39" s="1287"/>
      <c r="J39" s="1287"/>
      <c r="K39" s="1287"/>
      <c r="L39" s="1287"/>
      <c r="M39" s="1287"/>
      <c r="N39" s="1287"/>
      <c r="O39" s="1287"/>
      <c r="P39" s="1287"/>
      <c r="Q39" s="1288"/>
      <c r="R39" s="366"/>
    </row>
    <row r="40" spans="1:18" ht="24" customHeight="1" thickBot="1" x14ac:dyDescent="0.3">
      <c r="A40" s="1289"/>
      <c r="B40" s="1290"/>
      <c r="C40" s="1290"/>
      <c r="D40" s="1290"/>
      <c r="E40" s="1290"/>
      <c r="F40" s="1290"/>
      <c r="G40" s="1290"/>
      <c r="H40" s="1290"/>
      <c r="I40" s="1290"/>
      <c r="J40" s="1290"/>
      <c r="K40" s="1290"/>
      <c r="L40" s="1290"/>
      <c r="M40" s="1290"/>
      <c r="N40" s="1290"/>
      <c r="O40" s="1290"/>
      <c r="P40" s="1290"/>
      <c r="Q40" s="1291"/>
      <c r="R40" s="366"/>
    </row>
    <row r="41" spans="1:18" ht="25.9" customHeight="1" x14ac:dyDescent="0.25">
      <c r="A41" s="1292" t="s">
        <v>2269</v>
      </c>
      <c r="B41" s="1293"/>
      <c r="C41" s="1293"/>
      <c r="D41" s="1293"/>
      <c r="E41" s="1293"/>
      <c r="F41" s="1293"/>
      <c r="G41" s="1293"/>
      <c r="H41" s="1293"/>
      <c r="I41" s="1293"/>
      <c r="J41" s="1293"/>
      <c r="K41" s="1293"/>
      <c r="L41" s="1293"/>
      <c r="M41" s="1293"/>
      <c r="N41" s="1293"/>
      <c r="O41" s="1293"/>
      <c r="P41" s="1293"/>
      <c r="Q41" s="1294"/>
    </row>
    <row r="42" spans="1:18" ht="24" customHeight="1" x14ac:dyDescent="0.25">
      <c r="A42" s="1295"/>
      <c r="B42" s="1287"/>
      <c r="C42" s="1287"/>
      <c r="D42" s="1287"/>
      <c r="E42" s="1287"/>
      <c r="F42" s="1287"/>
      <c r="G42" s="1287"/>
      <c r="H42" s="1287"/>
      <c r="I42" s="1287"/>
      <c r="J42" s="1287"/>
      <c r="K42" s="1287"/>
      <c r="L42" s="1287"/>
      <c r="M42" s="1287"/>
      <c r="N42" s="1287"/>
      <c r="O42" s="1287"/>
      <c r="P42" s="1287"/>
      <c r="Q42" s="1296"/>
    </row>
    <row r="43" spans="1:18" s="368" customFormat="1" ht="24" customHeight="1" thickBot="1" x14ac:dyDescent="0.3">
      <c r="A43" s="1289"/>
      <c r="B43" s="1290"/>
      <c r="C43" s="1290"/>
      <c r="D43" s="1290"/>
      <c r="E43" s="1290"/>
      <c r="F43" s="1290"/>
      <c r="G43" s="1290"/>
      <c r="H43" s="1290"/>
      <c r="I43" s="1290"/>
      <c r="J43" s="1290"/>
      <c r="K43" s="1290"/>
      <c r="L43" s="1290"/>
      <c r="M43" s="1290"/>
      <c r="N43" s="1290"/>
      <c r="O43" s="1290"/>
      <c r="P43" s="1290"/>
      <c r="Q43" s="1291"/>
    </row>
    <row r="44" spans="1:18" s="368" customFormat="1" ht="32.5" customHeight="1" x14ac:dyDescent="0.25">
      <c r="A44" s="1316" t="s">
        <v>2270</v>
      </c>
      <c r="B44" s="1317"/>
      <c r="C44" s="1317"/>
      <c r="D44" s="1317"/>
      <c r="E44" s="1317"/>
      <c r="F44" s="1317"/>
      <c r="G44" s="1317"/>
      <c r="H44" s="1317"/>
      <c r="I44" s="1317"/>
      <c r="J44" s="1317"/>
      <c r="K44" s="1317"/>
      <c r="L44" s="1317"/>
      <c r="M44" s="1317"/>
      <c r="N44" s="1317"/>
      <c r="O44" s="1317"/>
      <c r="P44" s="1317"/>
      <c r="Q44" s="1318"/>
      <c r="R44" s="369"/>
    </row>
    <row r="45" spans="1:18" s="368" customFormat="1" ht="24" customHeight="1" x14ac:dyDescent="0.25">
      <c r="A45" s="1355"/>
      <c r="B45" s="1356"/>
      <c r="C45" s="1356"/>
      <c r="D45" s="1356"/>
      <c r="E45" s="1356"/>
      <c r="F45" s="1356"/>
      <c r="G45" s="1356"/>
      <c r="H45" s="1356"/>
      <c r="I45" s="1356"/>
      <c r="J45" s="1356"/>
      <c r="K45" s="1356"/>
      <c r="L45" s="1356"/>
      <c r="M45" s="1356"/>
      <c r="N45" s="1356"/>
      <c r="O45" s="1356"/>
      <c r="P45" s="1356"/>
      <c r="Q45" s="1400"/>
      <c r="R45" s="22"/>
    </row>
    <row r="46" spans="1:18" s="368" customFormat="1" ht="24" customHeight="1" thickBot="1" x14ac:dyDescent="0.3">
      <c r="A46" s="1313"/>
      <c r="B46" s="1314"/>
      <c r="C46" s="1314"/>
      <c r="D46" s="1314"/>
      <c r="E46" s="1314"/>
      <c r="F46" s="1314"/>
      <c r="G46" s="1314"/>
      <c r="H46" s="1314"/>
      <c r="I46" s="1314"/>
      <c r="J46" s="1314"/>
      <c r="K46" s="1314"/>
      <c r="L46" s="1314"/>
      <c r="M46" s="1314"/>
      <c r="N46" s="1314"/>
      <c r="O46" s="1314"/>
      <c r="P46" s="1314"/>
      <c r="Q46" s="1315"/>
      <c r="R46" s="22"/>
    </row>
    <row r="47" spans="1:18" s="368" customFormat="1" ht="20.5" customHeight="1" x14ac:dyDescent="0.25">
      <c r="A47" s="493" t="e">
        <f>$A$1</f>
        <v>#N/A</v>
      </c>
      <c r="B47" s="371"/>
      <c r="C47" s="371"/>
      <c r="D47" s="371"/>
      <c r="E47" s="371"/>
      <c r="F47" s="371"/>
      <c r="G47" s="371"/>
      <c r="H47" s="371"/>
      <c r="I47" s="371"/>
      <c r="J47" s="371"/>
      <c r="K47" s="371"/>
      <c r="L47" s="371"/>
      <c r="M47" s="371"/>
      <c r="N47" s="371"/>
      <c r="O47" s="371"/>
      <c r="P47" s="1410"/>
      <c r="Q47" s="1410"/>
      <c r="R47" s="372"/>
    </row>
    <row r="48" spans="1:18" s="368" customFormat="1" ht="20.5" customHeight="1" x14ac:dyDescent="0.25">
      <c r="A48" s="1401" t="s">
        <v>887</v>
      </c>
      <c r="B48" s="1402"/>
      <c r="C48" s="1402"/>
      <c r="D48" s="1402"/>
      <c r="E48" s="1402"/>
      <c r="F48" s="1402"/>
      <c r="G48" s="1402"/>
      <c r="H48" s="1402"/>
      <c r="I48" s="1402"/>
      <c r="J48" s="1402"/>
      <c r="K48" s="1402"/>
      <c r="L48" s="1402"/>
      <c r="M48" s="1402"/>
      <c r="N48" s="1403" t="s">
        <v>3626</v>
      </c>
      <c r="O48" s="1403"/>
      <c r="P48" s="1403"/>
      <c r="Q48" s="1404"/>
      <c r="R48" s="447"/>
    </row>
    <row r="49" spans="1:19" s="368" customFormat="1" ht="26.25" customHeight="1" x14ac:dyDescent="0.25">
      <c r="A49" s="1405" t="str">
        <f>IF(ISBLANK(Cap_Expend_Name),"The Capital Expenditure Contact information has NOT been provided.  Click here to go to Capital Expenditure Contact Section to fill in this information now.","")</f>
        <v/>
      </c>
      <c r="B49" s="1406"/>
      <c r="C49" s="1406"/>
      <c r="D49" s="1406"/>
      <c r="E49" s="1406"/>
      <c r="F49" s="1406"/>
      <c r="G49" s="1406"/>
      <c r="H49" s="1406"/>
      <c r="I49" s="1406"/>
      <c r="J49" s="1406"/>
      <c r="K49" s="1406"/>
      <c r="L49" s="1406"/>
      <c r="M49" s="1406"/>
      <c r="N49" s="462" t="s">
        <v>2236</v>
      </c>
      <c r="O49" s="463"/>
      <c r="P49" s="1407"/>
      <c r="Q49" s="1408"/>
      <c r="R49" s="2"/>
    </row>
    <row r="50" spans="1:19" s="368" customFormat="1" ht="26.25" customHeight="1" thickBot="1" x14ac:dyDescent="0.3">
      <c r="A50" s="1385" t="s">
        <v>1605</v>
      </c>
      <c r="B50" s="1386"/>
      <c r="C50" s="1386"/>
      <c r="D50" s="1386"/>
      <c r="E50" s="1387"/>
      <c r="F50" s="1388"/>
      <c r="G50" s="1388"/>
      <c r="H50" s="1388"/>
      <c r="I50" s="1388"/>
      <c r="J50" s="1388"/>
      <c r="K50" s="1388"/>
      <c r="L50" s="1389"/>
      <c r="M50" s="348"/>
      <c r="N50" s="1390" t="s">
        <v>2237</v>
      </c>
      <c r="O50" s="1391"/>
      <c r="P50" s="1391"/>
      <c r="Q50" s="1392"/>
      <c r="R50" s="2"/>
    </row>
    <row r="51" spans="1:19" s="368" customFormat="1" ht="26.25" customHeight="1" x14ac:dyDescent="0.25">
      <c r="A51" s="1397" t="s">
        <v>2238</v>
      </c>
      <c r="B51" s="1398"/>
      <c r="C51" s="1398"/>
      <c r="D51" s="1399"/>
      <c r="E51" s="1380"/>
      <c r="F51" s="1381"/>
      <c r="G51" s="1381"/>
      <c r="H51" s="1381"/>
      <c r="I51" s="1381"/>
      <c r="J51" s="1381"/>
      <c r="K51" s="1381"/>
      <c r="L51" s="1382"/>
      <c r="M51" s="1383" t="str">
        <f>IF(AND(ISBLANK(E51),OR(NOT(ISBLANK(E52)),NOT(ISBLANK(E53)),NOT(ISBLANK(E54)),NOT(ISBLANK(I55)),NOT(ISBLANK(#REF!)))),"This information is required.","")</f>
        <v>This information is required.</v>
      </c>
      <c r="N51" s="1384"/>
      <c r="O51" s="1384"/>
      <c r="P51" s="1384"/>
      <c r="Q51" s="349"/>
      <c r="R51" s="2"/>
    </row>
    <row r="52" spans="1:19" s="368" customFormat="1" ht="26.25" customHeight="1" x14ac:dyDescent="0.25">
      <c r="A52" s="1364" t="s">
        <v>2239</v>
      </c>
      <c r="B52" s="1365"/>
      <c r="C52" s="1365"/>
      <c r="D52" s="1366"/>
      <c r="E52" s="1380"/>
      <c r="F52" s="1381"/>
      <c r="G52" s="1381"/>
      <c r="H52" s="1381"/>
      <c r="I52" s="1381"/>
      <c r="J52" s="1381"/>
      <c r="K52" s="1381"/>
      <c r="L52" s="1382"/>
      <c r="M52" s="1383" t="str">
        <f>IF(AND(ISBLANK(E52),OR(NOT(ISBLANK(E51)),NOT(ISBLANK(E53)),NOT(ISBLANK(E54)),NOT(ISBLANK(I55)),NOT(ISBLANK(#REF!)))),"This information is required.","")</f>
        <v>This information is required.</v>
      </c>
      <c r="N52" s="1384"/>
      <c r="O52" s="1384"/>
      <c r="P52" s="1384"/>
      <c r="Q52" s="349"/>
      <c r="R52" s="2"/>
    </row>
    <row r="53" spans="1:19" s="368" customFormat="1" ht="26.25" customHeight="1" x14ac:dyDescent="0.25">
      <c r="A53" s="1393" t="s">
        <v>2240</v>
      </c>
      <c r="B53" s="1394"/>
      <c r="C53" s="1394"/>
      <c r="D53" s="1395"/>
      <c r="E53" s="1380"/>
      <c r="F53" s="1381"/>
      <c r="G53" s="1396" t="s">
        <v>2241</v>
      </c>
      <c r="H53" s="1396"/>
      <c r="I53" s="1396"/>
      <c r="J53" s="1396"/>
      <c r="K53" s="1396"/>
      <c r="L53" s="1396"/>
      <c r="M53" s="596" t="str">
        <f>IF(AND(ISBLANK(E53),OR(NOT(ISBLANK(E51)),NOT(ISBLANK(E52)),NOT(ISBLANK(E54)),NOT(ISBLANK(I55)),NOT(ISBLANK(#REF!)))),"This information is required.","")</f>
        <v>This information is required.</v>
      </c>
      <c r="N53" s="597"/>
      <c r="O53" s="597"/>
      <c r="P53" s="597"/>
      <c r="Q53" s="350"/>
      <c r="R53" s="351"/>
    </row>
    <row r="54" spans="1:19" s="368" customFormat="1" ht="26.25" customHeight="1" x14ac:dyDescent="0.25">
      <c r="A54" s="1364" t="s">
        <v>2242</v>
      </c>
      <c r="B54" s="1365"/>
      <c r="C54" s="1365"/>
      <c r="D54" s="1366"/>
      <c r="E54" s="1367"/>
      <c r="F54" s="1368"/>
      <c r="G54" s="352"/>
      <c r="H54" s="353"/>
      <c r="I54" s="354"/>
      <c r="J54" s="351"/>
      <c r="K54" s="351"/>
      <c r="L54" s="351"/>
      <c r="M54" s="597" t="str">
        <f>IF(AND(ISBLANK(E54),OR(NOT(ISBLANK(E51)),NOT(ISBLANK(E52)),NOT(ISBLANK(E53)),NOT(ISBLANK(I55)),NOT(ISBLANK(#REF!)))),"This information is required.","")</f>
        <v>This information is required.</v>
      </c>
      <c r="N54" s="597"/>
      <c r="O54" s="597"/>
      <c r="P54" s="597"/>
      <c r="Q54" s="350"/>
      <c r="R54" s="5"/>
      <c r="S54" s="312">
        <f>IF(ISBLANK(E54),0,1)</f>
        <v>0</v>
      </c>
    </row>
    <row r="55" spans="1:19" s="368" customFormat="1" ht="26.25" customHeight="1" thickBot="1" x14ac:dyDescent="0.3">
      <c r="A55" s="1369" t="s">
        <v>2243</v>
      </c>
      <c r="B55" s="1370"/>
      <c r="C55" s="1370"/>
      <c r="D55" s="1370"/>
      <c r="E55" s="1371"/>
      <c r="F55" s="1371"/>
      <c r="G55" s="1371"/>
      <c r="H55" s="1371"/>
      <c r="I55" s="1372"/>
      <c r="J55" s="1373"/>
      <c r="K55" s="1374" t="s">
        <v>2244</v>
      </c>
      <c r="L55" s="1375"/>
      <c r="M55" s="1376" t="str">
        <f>IF(AND(ISBLANK(I55),OR(NOT(ISBLANK(E51)),NOT(ISBLANK(E52)),NOT(ISBLANK(E53)),NOT(ISBLANK(E54)),NOT(ISBLANK(#REF!)))),"This information is required!","")</f>
        <v>This information is required!</v>
      </c>
      <c r="N55" s="1376"/>
      <c r="O55" s="1376"/>
      <c r="P55" s="1376"/>
      <c r="Q55" s="355"/>
      <c r="R55" s="5"/>
    </row>
    <row r="56" spans="1:19" s="368" customFormat="1" ht="27" customHeight="1" x14ac:dyDescent="0.25">
      <c r="A56" s="1292" t="s">
        <v>2245</v>
      </c>
      <c r="B56" s="1293"/>
      <c r="C56" s="1293"/>
      <c r="D56" s="1293"/>
      <c r="E56" s="1293"/>
      <c r="F56" s="1293"/>
      <c r="G56" s="1293"/>
      <c r="H56" s="1293"/>
      <c r="I56" s="1293"/>
      <c r="J56" s="1377"/>
      <c r="K56" s="1378" t="s">
        <v>2246</v>
      </c>
      <c r="L56" s="1378"/>
      <c r="M56" s="1378"/>
      <c r="N56" s="1378"/>
      <c r="O56" s="1353" t="s">
        <v>2247</v>
      </c>
      <c r="P56" s="1353"/>
      <c r="Q56" s="1354"/>
      <c r="R56" s="448"/>
    </row>
    <row r="57" spans="1:19" s="368" customFormat="1" ht="45" customHeight="1" x14ac:dyDescent="0.25">
      <c r="A57" s="1355"/>
      <c r="B57" s="1356"/>
      <c r="C57" s="1356"/>
      <c r="D57" s="1356"/>
      <c r="E57" s="1356"/>
      <c r="F57" s="1356"/>
      <c r="G57" s="1356"/>
      <c r="H57" s="1356"/>
      <c r="I57" s="1356"/>
      <c r="J57" s="1357"/>
      <c r="K57" s="1379"/>
      <c r="L57" s="1379"/>
      <c r="M57" s="1379"/>
      <c r="N57" s="1379"/>
      <c r="O57" s="358"/>
      <c r="P57" s="359" t="s">
        <v>103</v>
      </c>
      <c r="Q57" s="360" t="s">
        <v>104</v>
      </c>
      <c r="R57" s="448"/>
    </row>
    <row r="58" spans="1:19" s="368" customFormat="1" ht="26.25" customHeight="1" x14ac:dyDescent="0.25">
      <c r="A58" s="1358"/>
      <c r="B58" s="1359"/>
      <c r="C58" s="1359"/>
      <c r="D58" s="1359"/>
      <c r="E58" s="1359"/>
      <c r="F58" s="1359"/>
      <c r="G58" s="1359"/>
      <c r="H58" s="1359"/>
      <c r="I58" s="1359"/>
      <c r="J58" s="1360"/>
      <c r="K58" s="1336" t="s">
        <v>2248</v>
      </c>
      <c r="L58" s="1337"/>
      <c r="M58" s="1337"/>
      <c r="N58" s="1337"/>
      <c r="O58" s="1338"/>
      <c r="P58" s="443"/>
      <c r="Q58" s="362"/>
      <c r="R58" s="442" t="str">
        <f>IF(COUNTBLANK(P58:Q58)=2,"Please enter response.",IF(COUNTBLANK(P58:Q58)&lt;&gt;1,"Please VERIFY response.",""))</f>
        <v>Please enter response.</v>
      </c>
    </row>
    <row r="59" spans="1:19" s="368" customFormat="1" ht="26.25" customHeight="1" x14ac:dyDescent="0.25">
      <c r="A59" s="1361" t="s">
        <v>2249</v>
      </c>
      <c r="B59" s="1362"/>
      <c r="C59" s="1362"/>
      <c r="D59" s="1362"/>
      <c r="E59" s="1362"/>
      <c r="F59" s="1362"/>
      <c r="G59" s="1362"/>
      <c r="H59" s="1362"/>
      <c r="I59" s="1362"/>
      <c r="J59" s="1363"/>
      <c r="K59" s="1336" t="s">
        <v>2250</v>
      </c>
      <c r="L59" s="1337"/>
      <c r="M59" s="1337"/>
      <c r="N59" s="1337"/>
      <c r="O59" s="1338"/>
      <c r="P59" s="443"/>
      <c r="Q59" s="362"/>
      <c r="R59" s="442" t="str">
        <f>IF(COUNTBLANK(P59:Q59)=2,"Please enter response.",IF(COUNTBLANK(P59:Q59)&lt;&gt;1,"Please VERIFY response.",""))</f>
        <v>Please enter response.</v>
      </c>
    </row>
    <row r="60" spans="1:19" s="368" customFormat="1" ht="26.25" customHeight="1" x14ac:dyDescent="0.25">
      <c r="A60" s="1355"/>
      <c r="B60" s="1356"/>
      <c r="C60" s="1356"/>
      <c r="D60" s="1356"/>
      <c r="E60" s="1356"/>
      <c r="F60" s="1356"/>
      <c r="G60" s="1356"/>
      <c r="H60" s="1356"/>
      <c r="I60" s="1356"/>
      <c r="J60" s="1357"/>
      <c r="K60" s="1336" t="s">
        <v>2251</v>
      </c>
      <c r="L60" s="1337"/>
      <c r="M60" s="1337"/>
      <c r="N60" s="1337"/>
      <c r="O60" s="1338"/>
      <c r="P60" s="443"/>
      <c r="Q60" s="362"/>
      <c r="R60" s="442" t="str">
        <f>IF(COUNTBLANK(P60:Q60)=2,"Please enter response.",IF(COUNTBLANK(P60:Q60)&lt;&gt;1,"Please VERIFY response.",""))</f>
        <v>Please enter response.</v>
      </c>
    </row>
    <row r="61" spans="1:19" s="368" customFormat="1" ht="26.25" customHeight="1" x14ac:dyDescent="0.25">
      <c r="A61" s="1358"/>
      <c r="B61" s="1359"/>
      <c r="C61" s="1359"/>
      <c r="D61" s="1359"/>
      <c r="E61" s="1359"/>
      <c r="F61" s="1359"/>
      <c r="G61" s="1359"/>
      <c r="H61" s="1359"/>
      <c r="I61" s="1359"/>
      <c r="J61" s="1360"/>
      <c r="K61" s="1336" t="s">
        <v>2252</v>
      </c>
      <c r="L61" s="1337"/>
      <c r="M61" s="1337"/>
      <c r="N61" s="1337"/>
      <c r="O61" s="1338"/>
      <c r="P61" s="443"/>
      <c r="Q61" s="362"/>
      <c r="R61" s="442" t="str">
        <f>IF(COUNTBLANK(P61:Q61)=2,"Please enter response.",IF(COUNTBLANK(P61:Q61)&lt;&gt;1,"Please VERIFY response.",""))</f>
        <v>Please enter response.</v>
      </c>
    </row>
    <row r="62" spans="1:19" s="368" customFormat="1" ht="26.25" customHeight="1" x14ac:dyDescent="0.25">
      <c r="A62" s="1339" t="s">
        <v>2253</v>
      </c>
      <c r="B62" s="1340"/>
      <c r="C62" s="1340"/>
      <c r="D62" s="1340"/>
      <c r="E62" s="1340"/>
      <c r="F62" s="1340"/>
      <c r="G62" s="1340"/>
      <c r="H62" s="1340"/>
      <c r="I62" s="1340"/>
      <c r="J62" s="1340"/>
      <c r="K62" s="1340"/>
      <c r="L62" s="1340"/>
      <c r="M62" s="1340"/>
      <c r="N62" s="1340"/>
      <c r="O62" s="1340"/>
      <c r="P62" s="1340"/>
      <c r="Q62" s="1341"/>
      <c r="R62" s="363"/>
    </row>
    <row r="63" spans="1:19" s="368" customFormat="1" ht="26.25" customHeight="1" x14ac:dyDescent="0.25">
      <c r="A63" s="1342" t="s">
        <v>2254</v>
      </c>
      <c r="B63" s="1343"/>
      <c r="C63" s="1343"/>
      <c r="D63" s="1343"/>
      <c r="E63" s="1343" t="s">
        <v>2255</v>
      </c>
      <c r="F63" s="1343"/>
      <c r="G63" s="1343"/>
      <c r="H63" s="1343"/>
      <c r="I63" s="1343" t="s">
        <v>2256</v>
      </c>
      <c r="J63" s="1343"/>
      <c r="K63" s="1343"/>
      <c r="L63" s="1343"/>
      <c r="M63" s="1344" t="s">
        <v>2257</v>
      </c>
      <c r="N63" s="1343"/>
      <c r="O63" s="1343"/>
      <c r="P63" s="1343"/>
      <c r="Q63" s="1345"/>
      <c r="R63" s="364"/>
    </row>
    <row r="64" spans="1:19" s="368" customFormat="1" ht="26.25" customHeight="1" thickBot="1" x14ac:dyDescent="0.3">
      <c r="A64" s="1346"/>
      <c r="B64" s="1347"/>
      <c r="C64" s="1347"/>
      <c r="D64" s="1347"/>
      <c r="E64" s="1348"/>
      <c r="F64" s="1349"/>
      <c r="G64" s="1349"/>
      <c r="H64" s="1350"/>
      <c r="I64" s="1348"/>
      <c r="J64" s="1349"/>
      <c r="K64" s="1349"/>
      <c r="L64" s="1350"/>
      <c r="M64" s="1351"/>
      <c r="N64" s="1351"/>
      <c r="O64" s="1351"/>
      <c r="P64" s="1351"/>
      <c r="Q64" s="1352"/>
      <c r="R64" s="363"/>
    </row>
    <row r="65" spans="1:18" s="368" customFormat="1" ht="26.25" customHeight="1" x14ac:dyDescent="0.25">
      <c r="A65" s="1325" t="s">
        <v>2258</v>
      </c>
      <c r="B65" s="1326"/>
      <c r="C65" s="1326"/>
      <c r="D65" s="1326"/>
      <c r="E65" s="1326"/>
      <c r="F65" s="1326"/>
      <c r="G65" s="1326"/>
      <c r="H65" s="1326"/>
      <c r="I65" s="1326"/>
      <c r="J65" s="1326"/>
      <c r="K65" s="1326"/>
      <c r="L65" s="1326"/>
      <c r="M65" s="1326"/>
      <c r="N65" s="1326"/>
      <c r="O65" s="1326"/>
      <c r="P65" s="1326"/>
      <c r="Q65" s="1327"/>
      <c r="R65" s="445"/>
    </row>
    <row r="66" spans="1:18" s="368" customFormat="1" ht="26.25" customHeight="1" x14ac:dyDescent="0.25">
      <c r="A66" s="1297" t="s">
        <v>2259</v>
      </c>
      <c r="B66" s="1328"/>
      <c r="C66" s="1328"/>
      <c r="D66" s="1328"/>
      <c r="E66" s="1328"/>
      <c r="F66" s="1328"/>
      <c r="G66" s="1328"/>
      <c r="H66" s="1328"/>
      <c r="I66" s="1328"/>
      <c r="J66" s="1328"/>
      <c r="K66" s="1328"/>
      <c r="L66" s="1329"/>
      <c r="M66" s="1322"/>
      <c r="N66" s="1323"/>
      <c r="O66" s="1323"/>
      <c r="P66" s="1323"/>
      <c r="Q66" s="1324"/>
      <c r="R66" s="445"/>
    </row>
    <row r="67" spans="1:18" s="368" customFormat="1" ht="26.25" customHeight="1" x14ac:dyDescent="0.25">
      <c r="A67" s="1297" t="s">
        <v>2260</v>
      </c>
      <c r="B67" s="1298"/>
      <c r="C67" s="1298"/>
      <c r="D67" s="1298"/>
      <c r="E67" s="1298"/>
      <c r="F67" s="1298"/>
      <c r="G67" s="1298"/>
      <c r="H67" s="1298"/>
      <c r="I67" s="1298"/>
      <c r="J67" s="1298"/>
      <c r="K67" s="1298"/>
      <c r="L67" s="1298"/>
      <c r="M67" s="1299"/>
      <c r="N67" s="1300"/>
      <c r="O67" s="1300"/>
      <c r="P67" s="1300"/>
      <c r="Q67" s="1301"/>
      <c r="R67" s="445"/>
    </row>
    <row r="68" spans="1:18" s="368" customFormat="1" ht="26.25" customHeight="1" x14ac:dyDescent="0.25">
      <c r="A68" s="1297" t="s">
        <v>2261</v>
      </c>
      <c r="B68" s="1298"/>
      <c r="C68" s="1298"/>
      <c r="D68" s="1298"/>
      <c r="E68" s="1298"/>
      <c r="F68" s="1298"/>
      <c r="G68" s="1298"/>
      <c r="H68" s="1298"/>
      <c r="I68" s="1298"/>
      <c r="J68" s="1298"/>
      <c r="K68" s="1298"/>
      <c r="L68" s="1298"/>
      <c r="M68" s="1299"/>
      <c r="N68" s="1300"/>
      <c r="O68" s="1300"/>
      <c r="P68" s="1300"/>
      <c r="Q68" s="1301"/>
      <c r="R68" s="445"/>
    </row>
    <row r="69" spans="1:18" s="368" customFormat="1" ht="24" customHeight="1" x14ac:dyDescent="0.25">
      <c r="A69" s="1302" t="s">
        <v>2262</v>
      </c>
      <c r="B69" s="1303"/>
      <c r="C69" s="1303"/>
      <c r="D69" s="1303"/>
      <c r="E69" s="1303"/>
      <c r="F69" s="1303"/>
      <c r="G69" s="1303"/>
      <c r="H69" s="1303"/>
      <c r="I69" s="1303"/>
      <c r="J69" s="1303"/>
      <c r="K69" s="1303"/>
      <c r="L69" s="1303"/>
      <c r="M69" s="1303"/>
      <c r="N69" s="1303"/>
      <c r="O69" s="1303"/>
      <c r="P69" s="1303"/>
      <c r="Q69" s="1304"/>
      <c r="R69" s="445"/>
    </row>
    <row r="70" spans="1:18" s="368" customFormat="1" ht="26.25" customHeight="1" x14ac:dyDescent="0.25">
      <c r="A70" s="1286"/>
      <c r="B70" s="1287"/>
      <c r="C70" s="1287"/>
      <c r="D70" s="1287"/>
      <c r="E70" s="1287"/>
      <c r="F70" s="1287"/>
      <c r="G70" s="1287"/>
      <c r="H70" s="1287"/>
      <c r="I70" s="1287"/>
      <c r="J70" s="1287"/>
      <c r="K70" s="1287"/>
      <c r="L70" s="1287"/>
      <c r="M70" s="1287"/>
      <c r="N70" s="1287"/>
      <c r="O70" s="1287"/>
      <c r="P70" s="1287"/>
      <c r="Q70" s="1288"/>
      <c r="R70" s="445"/>
    </row>
    <row r="71" spans="1:18" s="368" customFormat="1" ht="26.25" customHeight="1" x14ac:dyDescent="0.25">
      <c r="A71" s="1305"/>
      <c r="B71" s="1306"/>
      <c r="C71" s="1306"/>
      <c r="D71" s="1306"/>
      <c r="E71" s="1306"/>
      <c r="F71" s="1306"/>
      <c r="G71" s="1306"/>
      <c r="H71" s="1306"/>
      <c r="I71" s="1306"/>
      <c r="J71" s="1306"/>
      <c r="K71" s="1306"/>
      <c r="L71" s="1306"/>
      <c r="M71" s="1306"/>
      <c r="N71" s="1306"/>
      <c r="O71" s="1306"/>
      <c r="P71" s="1306"/>
      <c r="Q71" s="1307"/>
      <c r="R71" s="445"/>
    </row>
    <row r="72" spans="1:18" s="368" customFormat="1" ht="26.25" customHeight="1" x14ac:dyDescent="0.25">
      <c r="A72" s="1308" t="s">
        <v>2263</v>
      </c>
      <c r="B72" s="1309"/>
      <c r="C72" s="1309"/>
      <c r="D72" s="1309"/>
      <c r="E72" s="1309"/>
      <c r="F72" s="1309"/>
      <c r="G72" s="1309"/>
      <c r="H72" s="1309"/>
      <c r="I72" s="1309"/>
      <c r="J72" s="1309"/>
      <c r="K72" s="1309"/>
      <c r="L72" s="1309"/>
      <c r="M72" s="1309"/>
      <c r="N72" s="1309"/>
      <c r="O72" s="1309"/>
      <c r="P72" s="1309"/>
      <c r="Q72" s="1310"/>
      <c r="R72" s="445"/>
    </row>
    <row r="73" spans="1:18" s="368" customFormat="1" ht="26.25" customHeight="1" x14ac:dyDescent="0.25">
      <c r="A73" s="1286"/>
      <c r="B73" s="1311"/>
      <c r="C73" s="1311"/>
      <c r="D73" s="1311"/>
      <c r="E73" s="1311"/>
      <c r="F73" s="1311"/>
      <c r="G73" s="1311"/>
      <c r="H73" s="1311"/>
      <c r="I73" s="1311"/>
      <c r="J73" s="1311"/>
      <c r="K73" s="1311"/>
      <c r="L73" s="1311"/>
      <c r="M73" s="1311"/>
      <c r="N73" s="1311"/>
      <c r="O73" s="1311"/>
      <c r="P73" s="1311"/>
      <c r="Q73" s="1312"/>
      <c r="R73" s="445"/>
    </row>
    <row r="74" spans="1:18" s="368" customFormat="1" ht="26.25" customHeight="1" thickBot="1" x14ac:dyDescent="0.3">
      <c r="A74" s="1313"/>
      <c r="B74" s="1314"/>
      <c r="C74" s="1314"/>
      <c r="D74" s="1314"/>
      <c r="E74" s="1314"/>
      <c r="F74" s="1314"/>
      <c r="G74" s="1314"/>
      <c r="H74" s="1314"/>
      <c r="I74" s="1314"/>
      <c r="J74" s="1314"/>
      <c r="K74" s="1314"/>
      <c r="L74" s="1314"/>
      <c r="M74" s="1314"/>
      <c r="N74" s="1314"/>
      <c r="O74" s="1314"/>
      <c r="P74" s="1314"/>
      <c r="Q74" s="1315"/>
      <c r="R74" s="444"/>
    </row>
    <row r="75" spans="1:18" s="368" customFormat="1" ht="26.25" customHeight="1" x14ac:dyDescent="0.25">
      <c r="A75" s="1316" t="s">
        <v>2264</v>
      </c>
      <c r="B75" s="1317"/>
      <c r="C75" s="1317"/>
      <c r="D75" s="1317"/>
      <c r="E75" s="1317"/>
      <c r="F75" s="1317"/>
      <c r="G75" s="1317"/>
      <c r="H75" s="1317"/>
      <c r="I75" s="1317"/>
      <c r="J75" s="1317"/>
      <c r="K75" s="1317"/>
      <c r="L75" s="1317"/>
      <c r="M75" s="1317"/>
      <c r="N75" s="1317"/>
      <c r="O75" s="1317"/>
      <c r="P75" s="1317"/>
      <c r="Q75" s="1318"/>
      <c r="R75" s="445"/>
    </row>
    <row r="76" spans="1:18" s="368" customFormat="1" ht="26.25" customHeight="1" x14ac:dyDescent="0.25">
      <c r="A76" s="1319" t="s">
        <v>2265</v>
      </c>
      <c r="B76" s="1320"/>
      <c r="C76" s="1320"/>
      <c r="D76" s="1320"/>
      <c r="E76" s="1320"/>
      <c r="F76" s="1320"/>
      <c r="G76" s="1320"/>
      <c r="H76" s="1320"/>
      <c r="I76" s="1320"/>
      <c r="J76" s="1320"/>
      <c r="K76" s="1320"/>
      <c r="L76" s="1321"/>
      <c r="M76" s="1322"/>
      <c r="N76" s="1323"/>
      <c r="O76" s="1323"/>
      <c r="P76" s="1323"/>
      <c r="Q76" s="1324"/>
      <c r="R76" s="444"/>
    </row>
    <row r="77" spans="1:18" s="368" customFormat="1" ht="26.25" customHeight="1" x14ac:dyDescent="0.25">
      <c r="A77" s="1297" t="s">
        <v>2266</v>
      </c>
      <c r="B77" s="1328"/>
      <c r="C77" s="1328"/>
      <c r="D77" s="1328"/>
      <c r="E77" s="1328"/>
      <c r="F77" s="1328"/>
      <c r="G77" s="1328"/>
      <c r="H77" s="1328"/>
      <c r="I77" s="1328"/>
      <c r="J77" s="1328"/>
      <c r="K77" s="1328"/>
      <c r="L77" s="1329"/>
      <c r="M77" s="1299"/>
      <c r="N77" s="1300"/>
      <c r="O77" s="1300"/>
      <c r="P77" s="1300"/>
      <c r="Q77" s="1301"/>
      <c r="R77" s="444"/>
    </row>
    <row r="78" spans="1:18" s="368" customFormat="1" ht="26.25" customHeight="1" x14ac:dyDescent="0.25">
      <c r="A78" s="1330" t="s">
        <v>2267</v>
      </c>
      <c r="B78" s="1331"/>
      <c r="C78" s="1331"/>
      <c r="D78" s="1331"/>
      <c r="E78" s="1331"/>
      <c r="F78" s="1331"/>
      <c r="G78" s="1331"/>
      <c r="H78" s="1331"/>
      <c r="I78" s="1331"/>
      <c r="J78" s="1331"/>
      <c r="K78" s="1331"/>
      <c r="L78" s="1331"/>
      <c r="M78" s="1331"/>
      <c r="N78" s="1331"/>
      <c r="O78" s="1331"/>
      <c r="P78" s="1331"/>
      <c r="Q78" s="1332"/>
      <c r="R78" s="444"/>
    </row>
    <row r="79" spans="1:18" ht="26.25" customHeight="1" x14ac:dyDescent="0.25">
      <c r="A79" s="1286"/>
      <c r="B79" s="1287"/>
      <c r="C79" s="1287"/>
      <c r="D79" s="1287"/>
      <c r="E79" s="1287"/>
      <c r="F79" s="1287"/>
      <c r="G79" s="1287"/>
      <c r="H79" s="1287"/>
      <c r="I79" s="1287"/>
      <c r="J79" s="1287"/>
      <c r="K79" s="1287"/>
      <c r="L79" s="1287"/>
      <c r="M79" s="1287"/>
      <c r="N79" s="1287"/>
      <c r="O79" s="1287"/>
      <c r="P79" s="1287"/>
      <c r="Q79" s="1296"/>
      <c r="R79" s="444"/>
    </row>
    <row r="80" spans="1:18" ht="26.25" customHeight="1" x14ac:dyDescent="0.25">
      <c r="A80" s="1333"/>
      <c r="B80" s="1334"/>
      <c r="C80" s="1334"/>
      <c r="D80" s="1334"/>
      <c r="E80" s="1334"/>
      <c r="F80" s="1334"/>
      <c r="G80" s="1334"/>
      <c r="H80" s="1334"/>
      <c r="I80" s="1334"/>
      <c r="J80" s="1334"/>
      <c r="K80" s="1334"/>
      <c r="L80" s="1334"/>
      <c r="M80" s="1334"/>
      <c r="N80" s="1334"/>
      <c r="O80" s="1334"/>
      <c r="P80" s="1334"/>
      <c r="Q80" s="1335"/>
      <c r="R80" s="444"/>
    </row>
    <row r="81" spans="1:18" ht="26.25" customHeight="1" x14ac:dyDescent="0.25">
      <c r="A81" s="1283" t="s">
        <v>2268</v>
      </c>
      <c r="B81" s="1284"/>
      <c r="C81" s="1284"/>
      <c r="D81" s="1284"/>
      <c r="E81" s="1284"/>
      <c r="F81" s="1284"/>
      <c r="G81" s="1284"/>
      <c r="H81" s="1284"/>
      <c r="I81" s="1284"/>
      <c r="J81" s="1284"/>
      <c r="K81" s="1284"/>
      <c r="L81" s="1284"/>
      <c r="M81" s="1284"/>
      <c r="N81" s="1284"/>
      <c r="O81" s="1284"/>
      <c r="P81" s="1284"/>
      <c r="Q81" s="1285"/>
      <c r="R81" s="444"/>
    </row>
    <row r="82" spans="1:18" ht="26.25" customHeight="1" x14ac:dyDescent="0.25">
      <c r="A82" s="1286"/>
      <c r="B82" s="1287"/>
      <c r="C82" s="1287"/>
      <c r="D82" s="1287"/>
      <c r="E82" s="1287"/>
      <c r="F82" s="1287"/>
      <c r="G82" s="1287"/>
      <c r="H82" s="1287"/>
      <c r="I82" s="1287"/>
      <c r="J82" s="1287"/>
      <c r="K82" s="1287"/>
      <c r="L82" s="1287"/>
      <c r="M82" s="1287"/>
      <c r="N82" s="1287"/>
      <c r="O82" s="1287"/>
      <c r="P82" s="1287"/>
      <c r="Q82" s="1288"/>
      <c r="R82" s="444"/>
    </row>
    <row r="83" spans="1:18" ht="26.25" customHeight="1" thickBot="1" x14ac:dyDescent="0.3">
      <c r="A83" s="1289"/>
      <c r="B83" s="1290"/>
      <c r="C83" s="1290"/>
      <c r="D83" s="1290"/>
      <c r="E83" s="1290"/>
      <c r="F83" s="1290"/>
      <c r="G83" s="1290"/>
      <c r="H83" s="1290"/>
      <c r="I83" s="1290"/>
      <c r="J83" s="1290"/>
      <c r="K83" s="1290"/>
      <c r="L83" s="1290"/>
      <c r="M83" s="1290"/>
      <c r="N83" s="1290"/>
      <c r="O83" s="1290"/>
      <c r="P83" s="1290"/>
      <c r="Q83" s="1291"/>
      <c r="R83" s="444"/>
    </row>
    <row r="84" spans="1:18" ht="26.25" customHeight="1" x14ac:dyDescent="0.25">
      <c r="A84" s="1292" t="s">
        <v>2269</v>
      </c>
      <c r="B84" s="1293"/>
      <c r="C84" s="1293"/>
      <c r="D84" s="1293"/>
      <c r="E84" s="1293"/>
      <c r="F84" s="1293"/>
      <c r="G84" s="1293"/>
      <c r="H84" s="1293"/>
      <c r="I84" s="1293"/>
      <c r="J84" s="1293"/>
      <c r="K84" s="1293"/>
      <c r="L84" s="1293"/>
      <c r="M84" s="1293"/>
      <c r="N84" s="1293"/>
      <c r="O84" s="1293"/>
      <c r="P84" s="1293"/>
      <c r="Q84" s="1294"/>
    </row>
    <row r="85" spans="1:18" ht="26.25" customHeight="1" x14ac:dyDescent="0.25">
      <c r="A85" s="1295"/>
      <c r="B85" s="1287"/>
      <c r="C85" s="1287"/>
      <c r="D85" s="1287"/>
      <c r="E85" s="1287"/>
      <c r="F85" s="1287"/>
      <c r="G85" s="1287"/>
      <c r="H85" s="1287"/>
      <c r="I85" s="1287"/>
      <c r="J85" s="1287"/>
      <c r="K85" s="1287"/>
      <c r="L85" s="1287"/>
      <c r="M85" s="1287"/>
      <c r="N85" s="1287"/>
      <c r="O85" s="1287"/>
      <c r="P85" s="1287"/>
      <c r="Q85" s="1296"/>
    </row>
    <row r="86" spans="1:18" ht="26.25" customHeight="1" thickBot="1" x14ac:dyDescent="0.3">
      <c r="A86" s="1289"/>
      <c r="B86" s="1290"/>
      <c r="C86" s="1290"/>
      <c r="D86" s="1290"/>
      <c r="E86" s="1290"/>
      <c r="F86" s="1290"/>
      <c r="G86" s="1290"/>
      <c r="H86" s="1290"/>
      <c r="I86" s="1290"/>
      <c r="J86" s="1290"/>
      <c r="K86" s="1290"/>
      <c r="L86" s="1290"/>
      <c r="M86" s="1290"/>
      <c r="N86" s="1290"/>
      <c r="O86" s="1290"/>
      <c r="P86" s="1290"/>
      <c r="Q86" s="1291"/>
      <c r="R86" s="368"/>
    </row>
    <row r="87" spans="1:18" ht="26.25" customHeight="1" x14ac:dyDescent="0.25">
      <c r="A87" s="1316" t="s">
        <v>2270</v>
      </c>
      <c r="B87" s="1317"/>
      <c r="C87" s="1317"/>
      <c r="D87" s="1317"/>
      <c r="E87" s="1317"/>
      <c r="F87" s="1317"/>
      <c r="G87" s="1317"/>
      <c r="H87" s="1317"/>
      <c r="I87" s="1317"/>
      <c r="J87" s="1317"/>
      <c r="K87" s="1317"/>
      <c r="L87" s="1317"/>
      <c r="M87" s="1317"/>
      <c r="N87" s="1317"/>
      <c r="O87" s="1317"/>
      <c r="P87" s="1317"/>
      <c r="Q87" s="1318"/>
      <c r="R87" s="369"/>
    </row>
    <row r="88" spans="1:18" ht="26.25" customHeight="1" x14ac:dyDescent="0.25">
      <c r="A88" s="1355"/>
      <c r="B88" s="1356"/>
      <c r="C88" s="1356"/>
      <c r="D88" s="1356"/>
      <c r="E88" s="1356"/>
      <c r="F88" s="1356"/>
      <c r="G88" s="1356"/>
      <c r="H88" s="1356"/>
      <c r="I88" s="1356"/>
      <c r="J88" s="1356"/>
      <c r="K88" s="1356"/>
      <c r="L88" s="1356"/>
      <c r="M88" s="1356"/>
      <c r="N88" s="1356"/>
      <c r="O88" s="1356"/>
      <c r="P88" s="1356"/>
      <c r="Q88" s="1400"/>
      <c r="R88" s="22"/>
    </row>
    <row r="89" spans="1:18" ht="26.25" customHeight="1" thickBot="1" x14ac:dyDescent="0.3">
      <c r="A89" s="1313"/>
      <c r="B89" s="1314"/>
      <c r="C89" s="1314"/>
      <c r="D89" s="1314"/>
      <c r="E89" s="1314"/>
      <c r="F89" s="1314"/>
      <c r="G89" s="1314"/>
      <c r="H89" s="1314"/>
      <c r="I89" s="1314"/>
      <c r="J89" s="1314"/>
      <c r="K89" s="1314"/>
      <c r="L89" s="1314"/>
      <c r="M89" s="1314"/>
      <c r="N89" s="1314"/>
      <c r="O89" s="1314"/>
      <c r="P89" s="1314"/>
      <c r="Q89" s="1315"/>
      <c r="R89" s="22"/>
    </row>
    <row r="90" spans="1:18" ht="26.25" customHeight="1" x14ac:dyDescent="0.25">
      <c r="A90" s="370" t="e">
        <f>$A$1</f>
        <v>#N/A</v>
      </c>
      <c r="B90" s="371"/>
      <c r="C90" s="371"/>
      <c r="D90" s="371"/>
      <c r="E90" s="371"/>
      <c r="F90" s="371"/>
      <c r="G90" s="371"/>
      <c r="H90" s="371"/>
      <c r="I90" s="371"/>
      <c r="J90" s="371"/>
      <c r="K90" s="371"/>
      <c r="L90" s="371"/>
      <c r="M90" s="371"/>
      <c r="N90" s="371"/>
      <c r="O90" s="371"/>
      <c r="P90" s="1410"/>
      <c r="Q90" s="1410"/>
      <c r="R90" s="365"/>
    </row>
    <row r="91" spans="1:18" ht="26.25" customHeight="1" x14ac:dyDescent="0.25">
      <c r="A91" s="1401" t="s">
        <v>888</v>
      </c>
      <c r="B91" s="1402"/>
      <c r="C91" s="1402"/>
      <c r="D91" s="1402"/>
      <c r="E91" s="1402"/>
      <c r="F91" s="1402"/>
      <c r="G91" s="1402"/>
      <c r="H91" s="1402"/>
      <c r="I91" s="1402"/>
      <c r="J91" s="1402"/>
      <c r="K91" s="1402"/>
      <c r="L91" s="1402"/>
      <c r="M91" s="1402"/>
      <c r="N91" s="1403" t="s">
        <v>3626</v>
      </c>
      <c r="O91" s="1403"/>
      <c r="P91" s="1403"/>
      <c r="Q91" s="1404"/>
      <c r="R91" s="447"/>
    </row>
    <row r="92" spans="1:18" ht="26.25" customHeight="1" x14ac:dyDescent="0.25">
      <c r="A92" s="1405" t="str">
        <f>IF(ISBLANK(Cap_Expend_Name),"The Capital Expenditure Contact information has NOT been provided.  Click here to go to Capital Expenditure Contact Section to fill in this information now.","")</f>
        <v/>
      </c>
      <c r="B92" s="1406"/>
      <c r="C92" s="1406"/>
      <c r="D92" s="1406"/>
      <c r="E92" s="1406"/>
      <c r="F92" s="1406"/>
      <c r="G92" s="1406"/>
      <c r="H92" s="1406"/>
      <c r="I92" s="1406"/>
      <c r="J92" s="1406"/>
      <c r="K92" s="1406"/>
      <c r="L92" s="1406"/>
      <c r="M92" s="1406"/>
      <c r="N92" s="462" t="s">
        <v>2236</v>
      </c>
      <c r="O92" s="463"/>
      <c r="P92" s="1407"/>
      <c r="Q92" s="1408"/>
      <c r="R92" s="2"/>
    </row>
    <row r="93" spans="1:18" ht="26.25" customHeight="1" thickBot="1" x14ac:dyDescent="0.3">
      <c r="A93" s="1385" t="s">
        <v>1605</v>
      </c>
      <c r="B93" s="1386"/>
      <c r="C93" s="1386"/>
      <c r="D93" s="1386"/>
      <c r="E93" s="1387"/>
      <c r="F93" s="1388"/>
      <c r="G93" s="1388"/>
      <c r="H93" s="1388"/>
      <c r="I93" s="1388"/>
      <c r="J93" s="1388"/>
      <c r="K93" s="1388"/>
      <c r="L93" s="1389"/>
      <c r="M93" s="348"/>
      <c r="N93" s="1390" t="s">
        <v>2237</v>
      </c>
      <c r="O93" s="1391"/>
      <c r="P93" s="1391"/>
      <c r="Q93" s="1392"/>
      <c r="R93" s="2"/>
    </row>
    <row r="94" spans="1:18" ht="26.25" customHeight="1" x14ac:dyDescent="0.25">
      <c r="A94" s="1397" t="s">
        <v>2238</v>
      </c>
      <c r="B94" s="1398"/>
      <c r="C94" s="1398"/>
      <c r="D94" s="1399"/>
      <c r="E94" s="1380"/>
      <c r="F94" s="1381"/>
      <c r="G94" s="1381"/>
      <c r="H94" s="1381"/>
      <c r="I94" s="1381"/>
      <c r="J94" s="1381"/>
      <c r="K94" s="1381"/>
      <c r="L94" s="1382"/>
      <c r="M94" s="1383" t="str">
        <f>IF(AND(ISBLANK(E94),OR(NOT(ISBLANK(E95)),NOT(ISBLANK(E96)),NOT(ISBLANK(E97)),NOT(ISBLANK(I98)),NOT(ISBLANK(#REF!)))),"This information is required.","")</f>
        <v>This information is required.</v>
      </c>
      <c r="N94" s="1384"/>
      <c r="O94" s="1384"/>
      <c r="P94" s="1384"/>
      <c r="Q94" s="349"/>
      <c r="R94" s="2"/>
    </row>
    <row r="95" spans="1:18" ht="26.25" customHeight="1" x14ac:dyDescent="0.25">
      <c r="A95" s="1364" t="s">
        <v>2239</v>
      </c>
      <c r="B95" s="1365"/>
      <c r="C95" s="1365"/>
      <c r="D95" s="1366"/>
      <c r="E95" s="1380"/>
      <c r="F95" s="1381"/>
      <c r="G95" s="1381"/>
      <c r="H95" s="1381"/>
      <c r="I95" s="1381"/>
      <c r="J95" s="1381"/>
      <c r="K95" s="1381"/>
      <c r="L95" s="1382"/>
      <c r="M95" s="1383" t="str">
        <f>IF(AND(ISBLANK(E95),OR(NOT(ISBLANK(E94)),NOT(ISBLANK(E96)),NOT(ISBLANK(E97)),NOT(ISBLANK(I98)),NOT(ISBLANK(#REF!)))),"This information is required.","")</f>
        <v>This information is required.</v>
      </c>
      <c r="N95" s="1384"/>
      <c r="O95" s="1384"/>
      <c r="P95" s="1384"/>
      <c r="Q95" s="349"/>
      <c r="R95" s="2"/>
    </row>
    <row r="96" spans="1:18" ht="26.25" customHeight="1" x14ac:dyDescent="0.25">
      <c r="A96" s="1393" t="s">
        <v>2240</v>
      </c>
      <c r="B96" s="1394"/>
      <c r="C96" s="1394"/>
      <c r="D96" s="1395"/>
      <c r="E96" s="1380"/>
      <c r="F96" s="1381"/>
      <c r="G96" s="1396" t="s">
        <v>2241</v>
      </c>
      <c r="H96" s="1396"/>
      <c r="I96" s="1396"/>
      <c r="J96" s="1396"/>
      <c r="K96" s="1396"/>
      <c r="L96" s="1396"/>
      <c r="M96" s="596" t="str">
        <f>IF(AND(ISBLANK(E96),OR(NOT(ISBLANK(E94)),NOT(ISBLANK(E95)),NOT(ISBLANK(E97)),NOT(ISBLANK(I98)),NOT(ISBLANK(#REF!)))),"This information is required.","")</f>
        <v>This information is required.</v>
      </c>
      <c r="N96" s="597"/>
      <c r="O96" s="597"/>
      <c r="P96" s="597"/>
      <c r="Q96" s="350"/>
      <c r="R96" s="351"/>
    </row>
    <row r="97" spans="1:19" ht="26.25" customHeight="1" x14ac:dyDescent="0.25">
      <c r="A97" s="1364" t="s">
        <v>2242</v>
      </c>
      <c r="B97" s="1365"/>
      <c r="C97" s="1365"/>
      <c r="D97" s="1366"/>
      <c r="E97" s="1367"/>
      <c r="F97" s="1368"/>
      <c r="G97" s="352"/>
      <c r="H97" s="353"/>
      <c r="I97" s="354"/>
      <c r="J97" s="351"/>
      <c r="K97" s="351"/>
      <c r="L97" s="351"/>
      <c r="M97" s="597" t="str">
        <f>IF(AND(ISBLANK(E97),OR(NOT(ISBLANK(E94)),NOT(ISBLANK(E95)),NOT(ISBLANK(E96)),NOT(ISBLANK(I98)),NOT(ISBLANK(#REF!)))),"This information is required.","")</f>
        <v>This information is required.</v>
      </c>
      <c r="N97" s="597"/>
      <c r="O97" s="597"/>
      <c r="P97" s="597"/>
      <c r="Q97" s="350"/>
      <c r="R97" s="5"/>
      <c r="S97" s="312">
        <f>IF(ISBLANK(E97),0,1)</f>
        <v>0</v>
      </c>
    </row>
    <row r="98" spans="1:19" ht="26.25" customHeight="1" thickBot="1" x14ac:dyDescent="0.3">
      <c r="A98" s="1369" t="s">
        <v>2243</v>
      </c>
      <c r="B98" s="1370"/>
      <c r="C98" s="1370"/>
      <c r="D98" s="1370"/>
      <c r="E98" s="1371"/>
      <c r="F98" s="1371"/>
      <c r="G98" s="1371"/>
      <c r="H98" s="1371"/>
      <c r="I98" s="1372"/>
      <c r="J98" s="1373"/>
      <c r="K98" s="1374" t="s">
        <v>2244</v>
      </c>
      <c r="L98" s="1375"/>
      <c r="M98" s="1376" t="str">
        <f>IF(AND(ISBLANK(I98),OR(NOT(ISBLANK(E94)),NOT(ISBLANK(E95)),NOT(ISBLANK(E96)),NOT(ISBLANK(E97)),NOT(ISBLANK(#REF!)))),"This information is required!","")</f>
        <v>This information is required!</v>
      </c>
      <c r="N98" s="1376"/>
      <c r="O98" s="1376"/>
      <c r="P98" s="1376"/>
      <c r="Q98" s="355"/>
      <c r="R98" s="5"/>
    </row>
    <row r="99" spans="1:19" ht="26.25" customHeight="1" x14ac:dyDescent="0.25">
      <c r="A99" s="1292" t="s">
        <v>2245</v>
      </c>
      <c r="B99" s="1293"/>
      <c r="C99" s="1293"/>
      <c r="D99" s="1293"/>
      <c r="E99" s="1293"/>
      <c r="F99" s="1293"/>
      <c r="G99" s="1293"/>
      <c r="H99" s="1293"/>
      <c r="I99" s="1293"/>
      <c r="J99" s="1377"/>
      <c r="K99" s="1378" t="s">
        <v>2246</v>
      </c>
      <c r="L99" s="1378"/>
      <c r="M99" s="1378"/>
      <c r="N99" s="1378"/>
      <c r="O99" s="1353" t="s">
        <v>2247</v>
      </c>
      <c r="P99" s="1353"/>
      <c r="Q99" s="1354"/>
      <c r="R99" s="448"/>
    </row>
    <row r="100" spans="1:19" ht="45" customHeight="1" x14ac:dyDescent="0.25">
      <c r="A100" s="1355"/>
      <c r="B100" s="1356"/>
      <c r="C100" s="1356"/>
      <c r="D100" s="1356"/>
      <c r="E100" s="1356"/>
      <c r="F100" s="1356"/>
      <c r="G100" s="1356"/>
      <c r="H100" s="1356"/>
      <c r="I100" s="1356"/>
      <c r="J100" s="1357"/>
      <c r="K100" s="1379"/>
      <c r="L100" s="1379"/>
      <c r="M100" s="1379"/>
      <c r="N100" s="1379"/>
      <c r="O100" s="358"/>
      <c r="P100" s="359" t="s">
        <v>103</v>
      </c>
      <c r="Q100" s="360" t="s">
        <v>104</v>
      </c>
      <c r="R100" s="448"/>
    </row>
    <row r="101" spans="1:19" ht="26.25" customHeight="1" x14ac:dyDescent="0.25">
      <c r="A101" s="1358"/>
      <c r="B101" s="1359"/>
      <c r="C101" s="1359"/>
      <c r="D101" s="1359"/>
      <c r="E101" s="1359"/>
      <c r="F101" s="1359"/>
      <c r="G101" s="1359"/>
      <c r="H101" s="1359"/>
      <c r="I101" s="1359"/>
      <c r="J101" s="1360"/>
      <c r="K101" s="1336" t="s">
        <v>2248</v>
      </c>
      <c r="L101" s="1337"/>
      <c r="M101" s="1337"/>
      <c r="N101" s="1337"/>
      <c r="O101" s="1338"/>
      <c r="P101" s="443"/>
      <c r="Q101" s="362"/>
      <c r="R101" s="442" t="str">
        <f>IF(COUNTBLANK(P101:Q101)=2,"Please enter response.",IF(COUNTBLANK(P101:Q101)&lt;&gt;1,"Please VERIFY response.",""))</f>
        <v>Please enter response.</v>
      </c>
    </row>
    <row r="102" spans="1:19" ht="26.25" customHeight="1" x14ac:dyDescent="0.25">
      <c r="A102" s="1361" t="s">
        <v>2249</v>
      </c>
      <c r="B102" s="1362"/>
      <c r="C102" s="1362"/>
      <c r="D102" s="1362"/>
      <c r="E102" s="1362"/>
      <c r="F102" s="1362"/>
      <c r="G102" s="1362"/>
      <c r="H102" s="1362"/>
      <c r="I102" s="1362"/>
      <c r="J102" s="1363"/>
      <c r="K102" s="1336" t="s">
        <v>2250</v>
      </c>
      <c r="L102" s="1337"/>
      <c r="M102" s="1337"/>
      <c r="N102" s="1337"/>
      <c r="O102" s="1338"/>
      <c r="P102" s="443"/>
      <c r="Q102" s="362"/>
      <c r="R102" s="442" t="str">
        <f>IF(COUNTBLANK(P102:Q102)=2,"Please enter response.",IF(COUNTBLANK(P102:Q102)&lt;&gt;1,"Please VERIFY response.",""))</f>
        <v>Please enter response.</v>
      </c>
    </row>
    <row r="103" spans="1:19" ht="26.25" customHeight="1" x14ac:dyDescent="0.25">
      <c r="A103" s="1355"/>
      <c r="B103" s="1356"/>
      <c r="C103" s="1356"/>
      <c r="D103" s="1356"/>
      <c r="E103" s="1356"/>
      <c r="F103" s="1356"/>
      <c r="G103" s="1356"/>
      <c r="H103" s="1356"/>
      <c r="I103" s="1356"/>
      <c r="J103" s="1357"/>
      <c r="K103" s="1336" t="s">
        <v>2251</v>
      </c>
      <c r="L103" s="1337"/>
      <c r="M103" s="1337"/>
      <c r="N103" s="1337"/>
      <c r="O103" s="1338"/>
      <c r="P103" s="443"/>
      <c r="Q103" s="362"/>
      <c r="R103" s="442" t="str">
        <f>IF(COUNTBLANK(P103:Q103)=2,"Please enter response.",IF(COUNTBLANK(P103:Q103)&lt;&gt;1,"Please VERIFY response.",""))</f>
        <v>Please enter response.</v>
      </c>
    </row>
    <row r="104" spans="1:19" ht="26.25" customHeight="1" x14ac:dyDescent="0.25">
      <c r="A104" s="1358"/>
      <c r="B104" s="1359"/>
      <c r="C104" s="1359"/>
      <c r="D104" s="1359"/>
      <c r="E104" s="1359"/>
      <c r="F104" s="1359"/>
      <c r="G104" s="1359"/>
      <c r="H104" s="1359"/>
      <c r="I104" s="1359"/>
      <c r="J104" s="1360"/>
      <c r="K104" s="1336" t="s">
        <v>2252</v>
      </c>
      <c r="L104" s="1337"/>
      <c r="M104" s="1337"/>
      <c r="N104" s="1337"/>
      <c r="O104" s="1338"/>
      <c r="P104" s="443"/>
      <c r="Q104" s="362"/>
      <c r="R104" s="442" t="str">
        <f>IF(COUNTBLANK(P104:Q104)=2,"Please enter response.",IF(COUNTBLANK(P104:Q104)&lt;&gt;1,"Please VERIFY response.",""))</f>
        <v>Please enter response.</v>
      </c>
    </row>
    <row r="105" spans="1:19" ht="26.25" customHeight="1" x14ac:dyDescent="0.25">
      <c r="A105" s="1339" t="s">
        <v>2253</v>
      </c>
      <c r="B105" s="1340"/>
      <c r="C105" s="1340"/>
      <c r="D105" s="1340"/>
      <c r="E105" s="1340"/>
      <c r="F105" s="1340"/>
      <c r="G105" s="1340"/>
      <c r="H105" s="1340"/>
      <c r="I105" s="1340"/>
      <c r="J105" s="1340"/>
      <c r="K105" s="1340"/>
      <c r="L105" s="1340"/>
      <c r="M105" s="1340"/>
      <c r="N105" s="1340"/>
      <c r="O105" s="1340"/>
      <c r="P105" s="1340"/>
      <c r="Q105" s="1341"/>
      <c r="R105" s="363"/>
    </row>
    <row r="106" spans="1:19" ht="26.25" customHeight="1" x14ac:dyDescent="0.25">
      <c r="A106" s="1342" t="s">
        <v>2254</v>
      </c>
      <c r="B106" s="1343"/>
      <c r="C106" s="1343"/>
      <c r="D106" s="1343"/>
      <c r="E106" s="1343" t="s">
        <v>2255</v>
      </c>
      <c r="F106" s="1343"/>
      <c r="G106" s="1343"/>
      <c r="H106" s="1343"/>
      <c r="I106" s="1343" t="s">
        <v>2256</v>
      </c>
      <c r="J106" s="1343"/>
      <c r="K106" s="1343"/>
      <c r="L106" s="1343"/>
      <c r="M106" s="1344" t="s">
        <v>2257</v>
      </c>
      <c r="N106" s="1343"/>
      <c r="O106" s="1343"/>
      <c r="P106" s="1343"/>
      <c r="Q106" s="1345"/>
      <c r="R106" s="364"/>
    </row>
    <row r="107" spans="1:19" ht="26.25" customHeight="1" thickBot="1" x14ac:dyDescent="0.3">
      <c r="A107" s="1346"/>
      <c r="B107" s="1347"/>
      <c r="C107" s="1347"/>
      <c r="D107" s="1347"/>
      <c r="E107" s="1348"/>
      <c r="F107" s="1349"/>
      <c r="G107" s="1349"/>
      <c r="H107" s="1350"/>
      <c r="I107" s="1348"/>
      <c r="J107" s="1349"/>
      <c r="K107" s="1349"/>
      <c r="L107" s="1350"/>
      <c r="M107" s="1351"/>
      <c r="N107" s="1351"/>
      <c r="O107" s="1351"/>
      <c r="P107" s="1351"/>
      <c r="Q107" s="1352"/>
      <c r="R107" s="363"/>
    </row>
    <row r="108" spans="1:19" ht="26.25" customHeight="1" x14ac:dyDescent="0.25">
      <c r="A108" s="1325" t="s">
        <v>2258</v>
      </c>
      <c r="B108" s="1326"/>
      <c r="C108" s="1326"/>
      <c r="D108" s="1326"/>
      <c r="E108" s="1326"/>
      <c r="F108" s="1326"/>
      <c r="G108" s="1326"/>
      <c r="H108" s="1326"/>
      <c r="I108" s="1326"/>
      <c r="J108" s="1326"/>
      <c r="K108" s="1326"/>
      <c r="L108" s="1326"/>
      <c r="M108" s="1326"/>
      <c r="N108" s="1326"/>
      <c r="O108" s="1326"/>
      <c r="P108" s="1326"/>
      <c r="Q108" s="1327"/>
      <c r="R108" s="445"/>
    </row>
    <row r="109" spans="1:19" ht="26.25" customHeight="1" x14ac:dyDescent="0.25">
      <c r="A109" s="1297" t="s">
        <v>2259</v>
      </c>
      <c r="B109" s="1328"/>
      <c r="C109" s="1328"/>
      <c r="D109" s="1328"/>
      <c r="E109" s="1328"/>
      <c r="F109" s="1328"/>
      <c r="G109" s="1328"/>
      <c r="H109" s="1328"/>
      <c r="I109" s="1328"/>
      <c r="J109" s="1328"/>
      <c r="K109" s="1328"/>
      <c r="L109" s="1329"/>
      <c r="M109" s="1322"/>
      <c r="N109" s="1323"/>
      <c r="O109" s="1323"/>
      <c r="P109" s="1323"/>
      <c r="Q109" s="1324"/>
      <c r="R109" s="445"/>
    </row>
    <row r="110" spans="1:19" ht="26.25" customHeight="1" x14ac:dyDescent="0.25">
      <c r="A110" s="1297" t="s">
        <v>2260</v>
      </c>
      <c r="B110" s="1298"/>
      <c r="C110" s="1298"/>
      <c r="D110" s="1298"/>
      <c r="E110" s="1298"/>
      <c r="F110" s="1298"/>
      <c r="G110" s="1298"/>
      <c r="H110" s="1298"/>
      <c r="I110" s="1298"/>
      <c r="J110" s="1298"/>
      <c r="K110" s="1298"/>
      <c r="L110" s="1298"/>
      <c r="M110" s="1299"/>
      <c r="N110" s="1300"/>
      <c r="O110" s="1300"/>
      <c r="P110" s="1300"/>
      <c r="Q110" s="1301"/>
      <c r="R110" s="445"/>
    </row>
    <row r="111" spans="1:19" ht="26.25" customHeight="1" x14ac:dyDescent="0.25">
      <c r="A111" s="1297" t="s">
        <v>2261</v>
      </c>
      <c r="B111" s="1298"/>
      <c r="C111" s="1298"/>
      <c r="D111" s="1298"/>
      <c r="E111" s="1298"/>
      <c r="F111" s="1298"/>
      <c r="G111" s="1298"/>
      <c r="H111" s="1298"/>
      <c r="I111" s="1298"/>
      <c r="J111" s="1298"/>
      <c r="K111" s="1298"/>
      <c r="L111" s="1298"/>
      <c r="M111" s="1299"/>
      <c r="N111" s="1300"/>
      <c r="O111" s="1300"/>
      <c r="P111" s="1300"/>
      <c r="Q111" s="1301"/>
      <c r="R111" s="445"/>
    </row>
    <row r="112" spans="1:19" ht="26.25" customHeight="1" x14ac:dyDescent="0.25">
      <c r="A112" s="1302" t="s">
        <v>2262</v>
      </c>
      <c r="B112" s="1303"/>
      <c r="C112" s="1303"/>
      <c r="D112" s="1303"/>
      <c r="E112" s="1303"/>
      <c r="F112" s="1303"/>
      <c r="G112" s="1303"/>
      <c r="H112" s="1303"/>
      <c r="I112" s="1303"/>
      <c r="J112" s="1303"/>
      <c r="K112" s="1303"/>
      <c r="L112" s="1303"/>
      <c r="M112" s="1303"/>
      <c r="N112" s="1303"/>
      <c r="O112" s="1303"/>
      <c r="P112" s="1303"/>
      <c r="Q112" s="1304"/>
      <c r="R112" s="445"/>
    </row>
    <row r="113" spans="1:18" ht="26.25" customHeight="1" x14ac:dyDescent="0.25">
      <c r="A113" s="1286"/>
      <c r="B113" s="1287"/>
      <c r="C113" s="1287"/>
      <c r="D113" s="1287"/>
      <c r="E113" s="1287"/>
      <c r="F113" s="1287"/>
      <c r="G113" s="1287"/>
      <c r="H113" s="1287"/>
      <c r="I113" s="1287"/>
      <c r="J113" s="1287"/>
      <c r="K113" s="1287"/>
      <c r="L113" s="1287"/>
      <c r="M113" s="1287"/>
      <c r="N113" s="1287"/>
      <c r="O113" s="1287"/>
      <c r="P113" s="1287"/>
      <c r="Q113" s="1288"/>
      <c r="R113" s="445"/>
    </row>
    <row r="114" spans="1:18" ht="26.25" customHeight="1" x14ac:dyDescent="0.25">
      <c r="A114" s="1305"/>
      <c r="B114" s="1306"/>
      <c r="C114" s="1306"/>
      <c r="D114" s="1306"/>
      <c r="E114" s="1306"/>
      <c r="F114" s="1306"/>
      <c r="G114" s="1306"/>
      <c r="H114" s="1306"/>
      <c r="I114" s="1306"/>
      <c r="J114" s="1306"/>
      <c r="K114" s="1306"/>
      <c r="L114" s="1306"/>
      <c r="M114" s="1306"/>
      <c r="N114" s="1306"/>
      <c r="O114" s="1306"/>
      <c r="P114" s="1306"/>
      <c r="Q114" s="1307"/>
      <c r="R114" s="445"/>
    </row>
    <row r="115" spans="1:18" ht="26.25" customHeight="1" x14ac:dyDescent="0.25">
      <c r="A115" s="1308" t="s">
        <v>2263</v>
      </c>
      <c r="B115" s="1309"/>
      <c r="C115" s="1309"/>
      <c r="D115" s="1309"/>
      <c r="E115" s="1309"/>
      <c r="F115" s="1309"/>
      <c r="G115" s="1309"/>
      <c r="H115" s="1309"/>
      <c r="I115" s="1309"/>
      <c r="J115" s="1309"/>
      <c r="K115" s="1309"/>
      <c r="L115" s="1309"/>
      <c r="M115" s="1309"/>
      <c r="N115" s="1309"/>
      <c r="O115" s="1309"/>
      <c r="P115" s="1309"/>
      <c r="Q115" s="1310"/>
      <c r="R115" s="445"/>
    </row>
    <row r="116" spans="1:18" ht="26.25" customHeight="1" x14ac:dyDescent="0.25">
      <c r="A116" s="1286"/>
      <c r="B116" s="1311"/>
      <c r="C116" s="1311"/>
      <c r="D116" s="1311"/>
      <c r="E116" s="1311"/>
      <c r="F116" s="1311"/>
      <c r="G116" s="1311"/>
      <c r="H116" s="1311"/>
      <c r="I116" s="1311"/>
      <c r="J116" s="1311"/>
      <c r="K116" s="1311"/>
      <c r="L116" s="1311"/>
      <c r="M116" s="1311"/>
      <c r="N116" s="1311"/>
      <c r="O116" s="1311"/>
      <c r="P116" s="1311"/>
      <c r="Q116" s="1312"/>
      <c r="R116" s="445"/>
    </row>
    <row r="117" spans="1:18" ht="26.25" customHeight="1" thickBot="1" x14ac:dyDescent="0.3">
      <c r="A117" s="1313"/>
      <c r="B117" s="1314"/>
      <c r="C117" s="1314"/>
      <c r="D117" s="1314"/>
      <c r="E117" s="1314"/>
      <c r="F117" s="1314"/>
      <c r="G117" s="1314"/>
      <c r="H117" s="1314"/>
      <c r="I117" s="1314"/>
      <c r="J117" s="1314"/>
      <c r="K117" s="1314"/>
      <c r="L117" s="1314"/>
      <c r="M117" s="1314"/>
      <c r="N117" s="1314"/>
      <c r="O117" s="1314"/>
      <c r="P117" s="1314"/>
      <c r="Q117" s="1315"/>
      <c r="R117" s="444"/>
    </row>
    <row r="118" spans="1:18" ht="26.25" customHeight="1" x14ac:dyDescent="0.25">
      <c r="A118" s="1316" t="s">
        <v>2264</v>
      </c>
      <c r="B118" s="1317"/>
      <c r="C118" s="1317"/>
      <c r="D118" s="1317"/>
      <c r="E118" s="1317"/>
      <c r="F118" s="1317"/>
      <c r="G118" s="1317"/>
      <c r="H118" s="1317"/>
      <c r="I118" s="1317"/>
      <c r="J118" s="1317"/>
      <c r="K118" s="1317"/>
      <c r="L118" s="1317"/>
      <c r="M118" s="1317"/>
      <c r="N118" s="1317"/>
      <c r="O118" s="1317"/>
      <c r="P118" s="1317"/>
      <c r="Q118" s="1318"/>
      <c r="R118" s="445"/>
    </row>
    <row r="119" spans="1:18" ht="26.25" customHeight="1" x14ac:dyDescent="0.25">
      <c r="A119" s="1319" t="s">
        <v>2265</v>
      </c>
      <c r="B119" s="1320"/>
      <c r="C119" s="1320"/>
      <c r="D119" s="1320"/>
      <c r="E119" s="1320"/>
      <c r="F119" s="1320"/>
      <c r="G119" s="1320"/>
      <c r="H119" s="1320"/>
      <c r="I119" s="1320"/>
      <c r="J119" s="1320"/>
      <c r="K119" s="1320"/>
      <c r="L119" s="1321"/>
      <c r="M119" s="1322"/>
      <c r="N119" s="1323"/>
      <c r="O119" s="1323"/>
      <c r="P119" s="1323"/>
      <c r="Q119" s="1324"/>
      <c r="R119" s="444"/>
    </row>
    <row r="120" spans="1:18" ht="26.25" customHeight="1" x14ac:dyDescent="0.25">
      <c r="A120" s="1297" t="s">
        <v>2266</v>
      </c>
      <c r="B120" s="1328"/>
      <c r="C120" s="1328"/>
      <c r="D120" s="1328"/>
      <c r="E120" s="1328"/>
      <c r="F120" s="1328"/>
      <c r="G120" s="1328"/>
      <c r="H120" s="1328"/>
      <c r="I120" s="1328"/>
      <c r="J120" s="1328"/>
      <c r="K120" s="1328"/>
      <c r="L120" s="1329"/>
      <c r="M120" s="1299"/>
      <c r="N120" s="1300"/>
      <c r="O120" s="1300"/>
      <c r="P120" s="1300"/>
      <c r="Q120" s="1301"/>
      <c r="R120" s="444"/>
    </row>
    <row r="121" spans="1:18" ht="26.25" customHeight="1" x14ac:dyDescent="0.25">
      <c r="A121" s="1330" t="s">
        <v>2267</v>
      </c>
      <c r="B121" s="1331"/>
      <c r="C121" s="1331"/>
      <c r="D121" s="1331"/>
      <c r="E121" s="1331"/>
      <c r="F121" s="1331"/>
      <c r="G121" s="1331"/>
      <c r="H121" s="1331"/>
      <c r="I121" s="1331"/>
      <c r="J121" s="1331"/>
      <c r="K121" s="1331"/>
      <c r="L121" s="1331"/>
      <c r="M121" s="1331"/>
      <c r="N121" s="1331"/>
      <c r="O121" s="1331"/>
      <c r="P121" s="1331"/>
      <c r="Q121" s="1332"/>
      <c r="R121" s="444"/>
    </row>
    <row r="122" spans="1:18" ht="26.25" customHeight="1" x14ac:dyDescent="0.25">
      <c r="A122" s="1286"/>
      <c r="B122" s="1287"/>
      <c r="C122" s="1287"/>
      <c r="D122" s="1287"/>
      <c r="E122" s="1287"/>
      <c r="F122" s="1287"/>
      <c r="G122" s="1287"/>
      <c r="H122" s="1287"/>
      <c r="I122" s="1287"/>
      <c r="J122" s="1287"/>
      <c r="K122" s="1287"/>
      <c r="L122" s="1287"/>
      <c r="M122" s="1287"/>
      <c r="N122" s="1287"/>
      <c r="O122" s="1287"/>
      <c r="P122" s="1287"/>
      <c r="Q122" s="1296"/>
      <c r="R122" s="444"/>
    </row>
    <row r="123" spans="1:18" ht="26.25" customHeight="1" x14ac:dyDescent="0.25">
      <c r="A123" s="1333"/>
      <c r="B123" s="1334"/>
      <c r="C123" s="1334"/>
      <c r="D123" s="1334"/>
      <c r="E123" s="1334"/>
      <c r="F123" s="1334"/>
      <c r="G123" s="1334"/>
      <c r="H123" s="1334"/>
      <c r="I123" s="1334"/>
      <c r="J123" s="1334"/>
      <c r="K123" s="1334"/>
      <c r="L123" s="1334"/>
      <c r="M123" s="1334"/>
      <c r="N123" s="1334"/>
      <c r="O123" s="1334"/>
      <c r="P123" s="1334"/>
      <c r="Q123" s="1335"/>
      <c r="R123" s="444"/>
    </row>
    <row r="124" spans="1:18" ht="26.25" customHeight="1" x14ac:dyDescent="0.25">
      <c r="A124" s="1283" t="s">
        <v>2268</v>
      </c>
      <c r="B124" s="1284"/>
      <c r="C124" s="1284"/>
      <c r="D124" s="1284"/>
      <c r="E124" s="1284"/>
      <c r="F124" s="1284"/>
      <c r="G124" s="1284"/>
      <c r="H124" s="1284"/>
      <c r="I124" s="1284"/>
      <c r="J124" s="1284"/>
      <c r="K124" s="1284"/>
      <c r="L124" s="1284"/>
      <c r="M124" s="1284"/>
      <c r="N124" s="1284"/>
      <c r="O124" s="1284"/>
      <c r="P124" s="1284"/>
      <c r="Q124" s="1285"/>
      <c r="R124" s="444"/>
    </row>
    <row r="125" spans="1:18" ht="26.25" customHeight="1" x14ac:dyDescent="0.25">
      <c r="A125" s="1286"/>
      <c r="B125" s="1287"/>
      <c r="C125" s="1287"/>
      <c r="D125" s="1287"/>
      <c r="E125" s="1287"/>
      <c r="F125" s="1287"/>
      <c r="G125" s="1287"/>
      <c r="H125" s="1287"/>
      <c r="I125" s="1287"/>
      <c r="J125" s="1287"/>
      <c r="K125" s="1287"/>
      <c r="L125" s="1287"/>
      <c r="M125" s="1287"/>
      <c r="N125" s="1287"/>
      <c r="O125" s="1287"/>
      <c r="P125" s="1287"/>
      <c r="Q125" s="1288"/>
      <c r="R125" s="444"/>
    </row>
    <row r="126" spans="1:18" ht="26.25" customHeight="1" thickBot="1" x14ac:dyDescent="0.3">
      <c r="A126" s="1289"/>
      <c r="B126" s="1290"/>
      <c r="C126" s="1290"/>
      <c r="D126" s="1290"/>
      <c r="E126" s="1290"/>
      <c r="F126" s="1290"/>
      <c r="G126" s="1290"/>
      <c r="H126" s="1290"/>
      <c r="I126" s="1290"/>
      <c r="J126" s="1290"/>
      <c r="K126" s="1290"/>
      <c r="L126" s="1290"/>
      <c r="M126" s="1290"/>
      <c r="N126" s="1290"/>
      <c r="O126" s="1290"/>
      <c r="P126" s="1290"/>
      <c r="Q126" s="1291"/>
      <c r="R126" s="444"/>
    </row>
    <row r="127" spans="1:18" ht="26.25" customHeight="1" x14ac:dyDescent="0.25">
      <c r="A127" s="1292" t="s">
        <v>2269</v>
      </c>
      <c r="B127" s="1293"/>
      <c r="C127" s="1293"/>
      <c r="D127" s="1293"/>
      <c r="E127" s="1293"/>
      <c r="F127" s="1293"/>
      <c r="G127" s="1293"/>
      <c r="H127" s="1293"/>
      <c r="I127" s="1293"/>
      <c r="J127" s="1293"/>
      <c r="K127" s="1293"/>
      <c r="L127" s="1293"/>
      <c r="M127" s="1293"/>
      <c r="N127" s="1293"/>
      <c r="O127" s="1293"/>
      <c r="P127" s="1293"/>
      <c r="Q127" s="1294"/>
    </row>
    <row r="128" spans="1:18" ht="26.25" customHeight="1" x14ac:dyDescent="0.25">
      <c r="A128" s="1295"/>
      <c r="B128" s="1287"/>
      <c r="C128" s="1287"/>
      <c r="D128" s="1287"/>
      <c r="E128" s="1287"/>
      <c r="F128" s="1287"/>
      <c r="G128" s="1287"/>
      <c r="H128" s="1287"/>
      <c r="I128" s="1287"/>
      <c r="J128" s="1287"/>
      <c r="K128" s="1287"/>
      <c r="L128" s="1287"/>
      <c r="M128" s="1287"/>
      <c r="N128" s="1287"/>
      <c r="O128" s="1287"/>
      <c r="P128" s="1287"/>
      <c r="Q128" s="1296"/>
    </row>
    <row r="129" spans="1:19" ht="26.25" customHeight="1" thickBot="1" x14ac:dyDescent="0.3">
      <c r="A129" s="1289"/>
      <c r="B129" s="1290"/>
      <c r="C129" s="1290"/>
      <c r="D129" s="1290"/>
      <c r="E129" s="1290"/>
      <c r="F129" s="1290"/>
      <c r="G129" s="1290"/>
      <c r="H129" s="1290"/>
      <c r="I129" s="1290"/>
      <c r="J129" s="1290"/>
      <c r="K129" s="1290"/>
      <c r="L129" s="1290"/>
      <c r="M129" s="1290"/>
      <c r="N129" s="1290"/>
      <c r="O129" s="1290"/>
      <c r="P129" s="1290"/>
      <c r="Q129" s="1291"/>
      <c r="R129" s="368"/>
    </row>
    <row r="130" spans="1:19" ht="26.25" customHeight="1" x14ac:dyDescent="0.25">
      <c r="A130" s="1316" t="s">
        <v>2270</v>
      </c>
      <c r="B130" s="1317"/>
      <c r="C130" s="1317"/>
      <c r="D130" s="1317"/>
      <c r="E130" s="1317"/>
      <c r="F130" s="1317"/>
      <c r="G130" s="1317"/>
      <c r="H130" s="1317"/>
      <c r="I130" s="1317"/>
      <c r="J130" s="1317"/>
      <c r="K130" s="1317"/>
      <c r="L130" s="1317"/>
      <c r="M130" s="1317"/>
      <c r="N130" s="1317"/>
      <c r="O130" s="1317"/>
      <c r="P130" s="1317"/>
      <c r="Q130" s="1318"/>
      <c r="R130" s="369"/>
    </row>
    <row r="131" spans="1:19" ht="26.25" customHeight="1" x14ac:dyDescent="0.25">
      <c r="A131" s="1409"/>
      <c r="B131" s="1356"/>
      <c r="C131" s="1356"/>
      <c r="D131" s="1356"/>
      <c r="E131" s="1356"/>
      <c r="F131" s="1356"/>
      <c r="G131" s="1356"/>
      <c r="H131" s="1356"/>
      <c r="I131" s="1356"/>
      <c r="J131" s="1356"/>
      <c r="K131" s="1356"/>
      <c r="L131" s="1356"/>
      <c r="M131" s="1356"/>
      <c r="N131" s="1356"/>
      <c r="O131" s="1356"/>
      <c r="P131" s="1356"/>
      <c r="Q131" s="1400"/>
      <c r="R131" s="22"/>
    </row>
    <row r="132" spans="1:19" ht="26.25" customHeight="1" thickBot="1" x14ac:dyDescent="0.3">
      <c r="A132" s="1313"/>
      <c r="B132" s="1314"/>
      <c r="C132" s="1314"/>
      <c r="D132" s="1314"/>
      <c r="E132" s="1314"/>
      <c r="F132" s="1314"/>
      <c r="G132" s="1314"/>
      <c r="H132" s="1314"/>
      <c r="I132" s="1314"/>
      <c r="J132" s="1314"/>
      <c r="K132" s="1314"/>
      <c r="L132" s="1314"/>
      <c r="M132" s="1314"/>
      <c r="N132" s="1314"/>
      <c r="O132" s="1314"/>
      <c r="P132" s="1314"/>
      <c r="Q132" s="1315"/>
      <c r="R132" s="22"/>
    </row>
    <row r="133" spans="1:19" ht="26.25" customHeight="1" x14ac:dyDescent="0.25">
      <c r="A133" s="464" t="e">
        <f>$A$1</f>
        <v>#N/A</v>
      </c>
      <c r="B133" s="446"/>
      <c r="C133" s="446"/>
      <c r="D133" s="446"/>
      <c r="E133" s="446"/>
      <c r="F133" s="446"/>
      <c r="G133" s="446"/>
      <c r="H133" s="446"/>
      <c r="I133" s="446"/>
      <c r="J133" s="446"/>
      <c r="K133" s="446"/>
      <c r="L133" s="446"/>
      <c r="M133" s="446"/>
      <c r="N133" s="446"/>
      <c r="O133" s="446"/>
      <c r="P133" s="446"/>
      <c r="Q133" s="446"/>
      <c r="R133" s="444"/>
    </row>
    <row r="134" spans="1:19" ht="26.25" customHeight="1" x14ac:dyDescent="0.25">
      <c r="A134" s="1401" t="s">
        <v>889</v>
      </c>
      <c r="B134" s="1402"/>
      <c r="C134" s="1402"/>
      <c r="D134" s="1402"/>
      <c r="E134" s="1402"/>
      <c r="F134" s="1402"/>
      <c r="G134" s="1402"/>
      <c r="H134" s="1402"/>
      <c r="I134" s="1402"/>
      <c r="J134" s="1402"/>
      <c r="K134" s="1402"/>
      <c r="L134" s="1402"/>
      <c r="M134" s="1402"/>
      <c r="N134" s="1403" t="s">
        <v>3626</v>
      </c>
      <c r="O134" s="1403"/>
      <c r="P134" s="1403"/>
      <c r="Q134" s="1404"/>
      <c r="R134" s="447"/>
    </row>
    <row r="135" spans="1:19" ht="26.25" customHeight="1" x14ac:dyDescent="0.25">
      <c r="A135" s="1405" t="str">
        <f>IF(ISBLANK(Cap_Expend_Name),"The Capital Expenditure Contact information has NOT been provided.  Click here to go to Capital Expenditure Contact Section to fill in this information now.","")</f>
        <v/>
      </c>
      <c r="B135" s="1406"/>
      <c r="C135" s="1406"/>
      <c r="D135" s="1406"/>
      <c r="E135" s="1406"/>
      <c r="F135" s="1406"/>
      <c r="G135" s="1406"/>
      <c r="H135" s="1406"/>
      <c r="I135" s="1406"/>
      <c r="J135" s="1406"/>
      <c r="K135" s="1406"/>
      <c r="L135" s="1406"/>
      <c r="M135" s="1406"/>
      <c r="N135" s="462" t="s">
        <v>2236</v>
      </c>
      <c r="O135" s="463"/>
      <c r="P135" s="1407"/>
      <c r="Q135" s="1408"/>
      <c r="R135" s="2"/>
    </row>
    <row r="136" spans="1:19" ht="26.25" customHeight="1" thickBot="1" x14ac:dyDescent="0.3">
      <c r="A136" s="1385" t="s">
        <v>1605</v>
      </c>
      <c r="B136" s="1386"/>
      <c r="C136" s="1386"/>
      <c r="D136" s="1386"/>
      <c r="E136" s="1387"/>
      <c r="F136" s="1388"/>
      <c r="G136" s="1388"/>
      <c r="H136" s="1388"/>
      <c r="I136" s="1388"/>
      <c r="J136" s="1388"/>
      <c r="K136" s="1388"/>
      <c r="L136" s="1389"/>
      <c r="M136" s="348"/>
      <c r="N136" s="1390" t="s">
        <v>2237</v>
      </c>
      <c r="O136" s="1391"/>
      <c r="P136" s="1391"/>
      <c r="Q136" s="1392"/>
      <c r="R136" s="2"/>
    </row>
    <row r="137" spans="1:19" ht="26.25" customHeight="1" x14ac:dyDescent="0.25">
      <c r="A137" s="1397" t="s">
        <v>2238</v>
      </c>
      <c r="B137" s="1398"/>
      <c r="C137" s="1398"/>
      <c r="D137" s="1399"/>
      <c r="E137" s="1380"/>
      <c r="F137" s="1381"/>
      <c r="G137" s="1381"/>
      <c r="H137" s="1381"/>
      <c r="I137" s="1381"/>
      <c r="J137" s="1381"/>
      <c r="K137" s="1381"/>
      <c r="L137" s="1382"/>
      <c r="M137" s="1383" t="str">
        <f>IF(AND(ISBLANK(E137),OR(NOT(ISBLANK(E138)),NOT(ISBLANK(E139)),NOT(ISBLANK(E140)),NOT(ISBLANK(I141)),NOT(ISBLANK(#REF!)))),"This information is required.","")</f>
        <v>This information is required.</v>
      </c>
      <c r="N137" s="1384"/>
      <c r="O137" s="1384"/>
      <c r="P137" s="1384"/>
      <c r="Q137" s="349"/>
      <c r="R137" s="2"/>
    </row>
    <row r="138" spans="1:19" ht="26.25" customHeight="1" x14ac:dyDescent="0.25">
      <c r="A138" s="1364" t="s">
        <v>2239</v>
      </c>
      <c r="B138" s="1365"/>
      <c r="C138" s="1365"/>
      <c r="D138" s="1366"/>
      <c r="E138" s="1380"/>
      <c r="F138" s="1381"/>
      <c r="G138" s="1381"/>
      <c r="H138" s="1381"/>
      <c r="I138" s="1381"/>
      <c r="J138" s="1381"/>
      <c r="K138" s="1381"/>
      <c r="L138" s="1382"/>
      <c r="M138" s="1383" t="str">
        <f>IF(AND(ISBLANK(E138),OR(NOT(ISBLANK(E137)),NOT(ISBLANK(E139)),NOT(ISBLANK(E140)),NOT(ISBLANK(I141)),NOT(ISBLANK(#REF!)))),"This information is required.","")</f>
        <v>This information is required.</v>
      </c>
      <c r="N138" s="1384"/>
      <c r="O138" s="1384"/>
      <c r="P138" s="1384"/>
      <c r="Q138" s="349"/>
      <c r="R138" s="2"/>
    </row>
    <row r="139" spans="1:19" ht="26.25" customHeight="1" x14ac:dyDescent="0.25">
      <c r="A139" s="1393" t="s">
        <v>2240</v>
      </c>
      <c r="B139" s="1394"/>
      <c r="C139" s="1394"/>
      <c r="D139" s="1395"/>
      <c r="E139" s="1380"/>
      <c r="F139" s="1381"/>
      <c r="G139" s="1396" t="s">
        <v>2241</v>
      </c>
      <c r="H139" s="1396"/>
      <c r="I139" s="1396"/>
      <c r="J139" s="1396"/>
      <c r="K139" s="1396"/>
      <c r="L139" s="1396"/>
      <c r="M139" s="596" t="str">
        <f>IF(AND(ISBLANK(E139),OR(NOT(ISBLANK(E137)),NOT(ISBLANK(E138)),NOT(ISBLANK(E140)),NOT(ISBLANK(I141)),NOT(ISBLANK(#REF!)))),"This information is required.","")</f>
        <v>This information is required.</v>
      </c>
      <c r="N139" s="597"/>
      <c r="O139" s="597"/>
      <c r="P139" s="597"/>
      <c r="Q139" s="350"/>
      <c r="R139" s="351"/>
    </row>
    <row r="140" spans="1:19" ht="26.25" customHeight="1" x14ac:dyDescent="0.25">
      <c r="A140" s="1364" t="s">
        <v>2242</v>
      </c>
      <c r="B140" s="1365"/>
      <c r="C140" s="1365"/>
      <c r="D140" s="1366"/>
      <c r="E140" s="1367"/>
      <c r="F140" s="1368"/>
      <c r="G140" s="352"/>
      <c r="H140" s="353"/>
      <c r="I140" s="354"/>
      <c r="J140" s="351"/>
      <c r="K140" s="351"/>
      <c r="L140" s="351"/>
      <c r="M140" s="597" t="str">
        <f>IF(AND(ISBLANK(E140),OR(NOT(ISBLANK(E137)),NOT(ISBLANK(E138)),NOT(ISBLANK(E139)),NOT(ISBLANK(I141)),NOT(ISBLANK(#REF!)))),"This information is required.","")</f>
        <v>This information is required.</v>
      </c>
      <c r="N140" s="597"/>
      <c r="O140" s="597"/>
      <c r="P140" s="597"/>
      <c r="Q140" s="350"/>
      <c r="R140" s="5"/>
      <c r="S140" s="312">
        <f>IF(ISBLANK(E140),0,1)</f>
        <v>0</v>
      </c>
    </row>
    <row r="141" spans="1:19" ht="26.25" customHeight="1" thickBot="1" x14ac:dyDescent="0.3">
      <c r="A141" s="1369" t="s">
        <v>2243</v>
      </c>
      <c r="B141" s="1370"/>
      <c r="C141" s="1370"/>
      <c r="D141" s="1370"/>
      <c r="E141" s="1371"/>
      <c r="F141" s="1371"/>
      <c r="G141" s="1371"/>
      <c r="H141" s="1371"/>
      <c r="I141" s="1372"/>
      <c r="J141" s="1373"/>
      <c r="K141" s="1374" t="s">
        <v>2244</v>
      </c>
      <c r="L141" s="1375"/>
      <c r="M141" s="1376" t="str">
        <f>IF(AND(ISBLANK(I141),OR(NOT(ISBLANK(E137)),NOT(ISBLANK(E138)),NOT(ISBLANK(E139)),NOT(ISBLANK(E140)),NOT(ISBLANK(#REF!)))),"This information is required!","")</f>
        <v>This information is required!</v>
      </c>
      <c r="N141" s="1376"/>
      <c r="O141" s="1376"/>
      <c r="P141" s="1376"/>
      <c r="Q141" s="355"/>
      <c r="R141" s="5"/>
    </row>
    <row r="142" spans="1:19" ht="26.25" customHeight="1" x14ac:dyDescent="0.25">
      <c r="A142" s="1292" t="s">
        <v>2245</v>
      </c>
      <c r="B142" s="1293"/>
      <c r="C142" s="1293"/>
      <c r="D142" s="1293"/>
      <c r="E142" s="1293"/>
      <c r="F142" s="1293"/>
      <c r="G142" s="1293"/>
      <c r="H142" s="1293"/>
      <c r="I142" s="1293"/>
      <c r="J142" s="1377"/>
      <c r="K142" s="1378" t="s">
        <v>2246</v>
      </c>
      <c r="L142" s="1378"/>
      <c r="M142" s="1378"/>
      <c r="N142" s="1378"/>
      <c r="O142" s="1353" t="s">
        <v>2247</v>
      </c>
      <c r="P142" s="1353"/>
      <c r="Q142" s="1354"/>
      <c r="R142" s="448"/>
    </row>
    <row r="143" spans="1:19" ht="45" customHeight="1" x14ac:dyDescent="0.25">
      <c r="A143" s="1355"/>
      <c r="B143" s="1356"/>
      <c r="C143" s="1356"/>
      <c r="D143" s="1356"/>
      <c r="E143" s="1356"/>
      <c r="F143" s="1356"/>
      <c r="G143" s="1356"/>
      <c r="H143" s="1356"/>
      <c r="I143" s="1356"/>
      <c r="J143" s="1357"/>
      <c r="K143" s="1379"/>
      <c r="L143" s="1379"/>
      <c r="M143" s="1379"/>
      <c r="N143" s="1379"/>
      <c r="O143" s="358"/>
      <c r="P143" s="359" t="s">
        <v>103</v>
      </c>
      <c r="Q143" s="360" t="s">
        <v>104</v>
      </c>
      <c r="R143" s="448"/>
    </row>
    <row r="144" spans="1:19" ht="26.25" customHeight="1" x14ac:dyDescent="0.25">
      <c r="A144" s="1358"/>
      <c r="B144" s="1359"/>
      <c r="C144" s="1359"/>
      <c r="D144" s="1359"/>
      <c r="E144" s="1359"/>
      <c r="F144" s="1359"/>
      <c r="G144" s="1359"/>
      <c r="H144" s="1359"/>
      <c r="I144" s="1359"/>
      <c r="J144" s="1360"/>
      <c r="K144" s="1336" t="s">
        <v>2248</v>
      </c>
      <c r="L144" s="1337"/>
      <c r="M144" s="1337"/>
      <c r="N144" s="1337"/>
      <c r="O144" s="1338"/>
      <c r="P144" s="443"/>
      <c r="Q144" s="362"/>
      <c r="R144" s="442" t="str">
        <f>IF(COUNTBLANK(P144:Q144)=2,"Please enter response.",IF(COUNTBLANK(P144:Q144)&lt;&gt;1,"Please VERIFY response.",""))</f>
        <v>Please enter response.</v>
      </c>
    </row>
    <row r="145" spans="1:18" ht="26.25" customHeight="1" x14ac:dyDescent="0.25">
      <c r="A145" s="1361" t="s">
        <v>2249</v>
      </c>
      <c r="B145" s="1362"/>
      <c r="C145" s="1362"/>
      <c r="D145" s="1362"/>
      <c r="E145" s="1362"/>
      <c r="F145" s="1362"/>
      <c r="G145" s="1362"/>
      <c r="H145" s="1362"/>
      <c r="I145" s="1362"/>
      <c r="J145" s="1363"/>
      <c r="K145" s="1336" t="s">
        <v>2250</v>
      </c>
      <c r="L145" s="1337"/>
      <c r="M145" s="1337"/>
      <c r="N145" s="1337"/>
      <c r="O145" s="1338"/>
      <c r="P145" s="443"/>
      <c r="Q145" s="362"/>
      <c r="R145" s="442" t="str">
        <f>IF(COUNTBLANK(P145:Q145)=2,"Please enter response.",IF(COUNTBLANK(P145:Q145)&lt;&gt;1,"Please VERIFY response.",""))</f>
        <v>Please enter response.</v>
      </c>
    </row>
    <row r="146" spans="1:18" ht="26.25" customHeight="1" x14ac:dyDescent="0.25">
      <c r="A146" s="1355"/>
      <c r="B146" s="1356"/>
      <c r="C146" s="1356"/>
      <c r="D146" s="1356"/>
      <c r="E146" s="1356"/>
      <c r="F146" s="1356"/>
      <c r="G146" s="1356"/>
      <c r="H146" s="1356"/>
      <c r="I146" s="1356"/>
      <c r="J146" s="1357"/>
      <c r="K146" s="1336" t="s">
        <v>2251</v>
      </c>
      <c r="L146" s="1337"/>
      <c r="M146" s="1337"/>
      <c r="N146" s="1337"/>
      <c r="O146" s="1338"/>
      <c r="P146" s="443"/>
      <c r="Q146" s="362"/>
      <c r="R146" s="442" t="str">
        <f>IF(COUNTBLANK(P146:Q146)=2,"Please enter response.",IF(COUNTBLANK(P146:Q146)&lt;&gt;1,"Please VERIFY response.",""))</f>
        <v>Please enter response.</v>
      </c>
    </row>
    <row r="147" spans="1:18" ht="26.25" customHeight="1" x14ac:dyDescent="0.25">
      <c r="A147" s="1358"/>
      <c r="B147" s="1359"/>
      <c r="C147" s="1359"/>
      <c r="D147" s="1359"/>
      <c r="E147" s="1359"/>
      <c r="F147" s="1359"/>
      <c r="G147" s="1359"/>
      <c r="H147" s="1359"/>
      <c r="I147" s="1359"/>
      <c r="J147" s="1360"/>
      <c r="K147" s="1336" t="s">
        <v>2252</v>
      </c>
      <c r="L147" s="1337"/>
      <c r="M147" s="1337"/>
      <c r="N147" s="1337"/>
      <c r="O147" s="1338"/>
      <c r="P147" s="443"/>
      <c r="Q147" s="362"/>
      <c r="R147" s="442" t="str">
        <f>IF(COUNTBLANK(P147:Q147)=2,"Please enter response.",IF(COUNTBLANK(P147:Q147)&lt;&gt;1,"Please VERIFY response.",""))</f>
        <v>Please enter response.</v>
      </c>
    </row>
    <row r="148" spans="1:18" ht="26.25" customHeight="1" x14ac:dyDescent="0.25">
      <c r="A148" s="1339" t="s">
        <v>2253</v>
      </c>
      <c r="B148" s="1340"/>
      <c r="C148" s="1340"/>
      <c r="D148" s="1340"/>
      <c r="E148" s="1340"/>
      <c r="F148" s="1340"/>
      <c r="G148" s="1340"/>
      <c r="H148" s="1340"/>
      <c r="I148" s="1340"/>
      <c r="J148" s="1340"/>
      <c r="K148" s="1340"/>
      <c r="L148" s="1340"/>
      <c r="M148" s="1340"/>
      <c r="N148" s="1340"/>
      <c r="O148" s="1340"/>
      <c r="P148" s="1340"/>
      <c r="Q148" s="1341"/>
      <c r="R148" s="363"/>
    </row>
    <row r="149" spans="1:18" ht="26.25" customHeight="1" x14ac:dyDescent="0.25">
      <c r="A149" s="1342" t="s">
        <v>2254</v>
      </c>
      <c r="B149" s="1343"/>
      <c r="C149" s="1343"/>
      <c r="D149" s="1343"/>
      <c r="E149" s="1343" t="s">
        <v>2255</v>
      </c>
      <c r="F149" s="1343"/>
      <c r="G149" s="1343"/>
      <c r="H149" s="1343"/>
      <c r="I149" s="1343" t="s">
        <v>2256</v>
      </c>
      <c r="J149" s="1343"/>
      <c r="K149" s="1343"/>
      <c r="L149" s="1343"/>
      <c r="M149" s="1344" t="s">
        <v>2257</v>
      </c>
      <c r="N149" s="1343"/>
      <c r="O149" s="1343"/>
      <c r="P149" s="1343"/>
      <c r="Q149" s="1345"/>
      <c r="R149" s="364"/>
    </row>
    <row r="150" spans="1:18" ht="26.25" customHeight="1" thickBot="1" x14ac:dyDescent="0.3">
      <c r="A150" s="1346"/>
      <c r="B150" s="1347"/>
      <c r="C150" s="1347"/>
      <c r="D150" s="1347"/>
      <c r="E150" s="1348"/>
      <c r="F150" s="1349"/>
      <c r="G150" s="1349"/>
      <c r="H150" s="1350"/>
      <c r="I150" s="1348"/>
      <c r="J150" s="1349"/>
      <c r="K150" s="1349"/>
      <c r="L150" s="1350"/>
      <c r="M150" s="1351"/>
      <c r="N150" s="1351"/>
      <c r="O150" s="1351"/>
      <c r="P150" s="1351"/>
      <c r="Q150" s="1352"/>
      <c r="R150" s="363"/>
    </row>
    <row r="151" spans="1:18" ht="26.25" customHeight="1" x14ac:dyDescent="0.25">
      <c r="A151" s="1325" t="s">
        <v>2258</v>
      </c>
      <c r="B151" s="1326"/>
      <c r="C151" s="1326"/>
      <c r="D151" s="1326"/>
      <c r="E151" s="1326"/>
      <c r="F151" s="1326"/>
      <c r="G151" s="1326"/>
      <c r="H151" s="1326"/>
      <c r="I151" s="1326"/>
      <c r="J151" s="1326"/>
      <c r="K151" s="1326"/>
      <c r="L151" s="1326"/>
      <c r="M151" s="1326"/>
      <c r="N151" s="1326"/>
      <c r="O151" s="1326"/>
      <c r="P151" s="1326"/>
      <c r="Q151" s="1327"/>
      <c r="R151" s="445"/>
    </row>
    <row r="152" spans="1:18" ht="26.25" customHeight="1" x14ac:dyDescent="0.25">
      <c r="A152" s="1297" t="s">
        <v>2259</v>
      </c>
      <c r="B152" s="1328"/>
      <c r="C152" s="1328"/>
      <c r="D152" s="1328"/>
      <c r="E152" s="1328"/>
      <c r="F152" s="1328"/>
      <c r="G152" s="1328"/>
      <c r="H152" s="1328"/>
      <c r="I152" s="1328"/>
      <c r="J152" s="1328"/>
      <c r="K152" s="1328"/>
      <c r="L152" s="1329"/>
      <c r="M152" s="1322"/>
      <c r="N152" s="1323"/>
      <c r="O152" s="1323"/>
      <c r="P152" s="1323"/>
      <c r="Q152" s="1324"/>
      <c r="R152" s="445"/>
    </row>
    <row r="153" spans="1:18" ht="26.25" customHeight="1" x14ac:dyDescent="0.25">
      <c r="A153" s="1297" t="s">
        <v>2260</v>
      </c>
      <c r="B153" s="1298"/>
      <c r="C153" s="1298"/>
      <c r="D153" s="1298"/>
      <c r="E153" s="1298"/>
      <c r="F153" s="1298"/>
      <c r="G153" s="1298"/>
      <c r="H153" s="1298"/>
      <c r="I153" s="1298"/>
      <c r="J153" s="1298"/>
      <c r="K153" s="1298"/>
      <c r="L153" s="1298"/>
      <c r="M153" s="1299"/>
      <c r="N153" s="1300"/>
      <c r="O153" s="1300"/>
      <c r="P153" s="1300"/>
      <c r="Q153" s="1301"/>
      <c r="R153" s="445"/>
    </row>
    <row r="154" spans="1:18" ht="26.25" customHeight="1" x14ac:dyDescent="0.25">
      <c r="A154" s="1297" t="s">
        <v>2261</v>
      </c>
      <c r="B154" s="1298"/>
      <c r="C154" s="1298"/>
      <c r="D154" s="1298"/>
      <c r="E154" s="1298"/>
      <c r="F154" s="1298"/>
      <c r="G154" s="1298"/>
      <c r="H154" s="1298"/>
      <c r="I154" s="1298"/>
      <c r="J154" s="1298"/>
      <c r="K154" s="1298"/>
      <c r="L154" s="1298"/>
      <c r="M154" s="1299"/>
      <c r="N154" s="1300"/>
      <c r="O154" s="1300"/>
      <c r="P154" s="1300"/>
      <c r="Q154" s="1301"/>
      <c r="R154" s="445"/>
    </row>
    <row r="155" spans="1:18" ht="26.25" customHeight="1" x14ac:dyDescent="0.25">
      <c r="A155" s="1302" t="s">
        <v>2262</v>
      </c>
      <c r="B155" s="1303"/>
      <c r="C155" s="1303"/>
      <c r="D155" s="1303"/>
      <c r="E155" s="1303"/>
      <c r="F155" s="1303"/>
      <c r="G155" s="1303"/>
      <c r="H155" s="1303"/>
      <c r="I155" s="1303"/>
      <c r="J155" s="1303"/>
      <c r="K155" s="1303"/>
      <c r="L155" s="1303"/>
      <c r="M155" s="1303"/>
      <c r="N155" s="1303"/>
      <c r="O155" s="1303"/>
      <c r="P155" s="1303"/>
      <c r="Q155" s="1304"/>
      <c r="R155" s="445"/>
    </row>
    <row r="156" spans="1:18" ht="26.25" customHeight="1" x14ac:dyDescent="0.25">
      <c r="A156" s="1286"/>
      <c r="B156" s="1287"/>
      <c r="C156" s="1287"/>
      <c r="D156" s="1287"/>
      <c r="E156" s="1287"/>
      <c r="F156" s="1287"/>
      <c r="G156" s="1287"/>
      <c r="H156" s="1287"/>
      <c r="I156" s="1287"/>
      <c r="J156" s="1287"/>
      <c r="K156" s="1287"/>
      <c r="L156" s="1287"/>
      <c r="M156" s="1287"/>
      <c r="N156" s="1287"/>
      <c r="O156" s="1287"/>
      <c r="P156" s="1287"/>
      <c r="Q156" s="1288"/>
      <c r="R156" s="445"/>
    </row>
    <row r="157" spans="1:18" ht="26.25" customHeight="1" x14ac:dyDescent="0.25">
      <c r="A157" s="1305"/>
      <c r="B157" s="1306"/>
      <c r="C157" s="1306"/>
      <c r="D157" s="1306"/>
      <c r="E157" s="1306"/>
      <c r="F157" s="1306"/>
      <c r="G157" s="1306"/>
      <c r="H157" s="1306"/>
      <c r="I157" s="1306"/>
      <c r="J157" s="1306"/>
      <c r="K157" s="1306"/>
      <c r="L157" s="1306"/>
      <c r="M157" s="1306"/>
      <c r="N157" s="1306"/>
      <c r="O157" s="1306"/>
      <c r="P157" s="1306"/>
      <c r="Q157" s="1307"/>
      <c r="R157" s="445"/>
    </row>
    <row r="158" spans="1:18" ht="26.25" customHeight="1" x14ac:dyDescent="0.25">
      <c r="A158" s="1308" t="s">
        <v>2263</v>
      </c>
      <c r="B158" s="1309"/>
      <c r="C158" s="1309"/>
      <c r="D158" s="1309"/>
      <c r="E158" s="1309"/>
      <c r="F158" s="1309"/>
      <c r="G158" s="1309"/>
      <c r="H158" s="1309"/>
      <c r="I158" s="1309"/>
      <c r="J158" s="1309"/>
      <c r="K158" s="1309"/>
      <c r="L158" s="1309"/>
      <c r="M158" s="1309"/>
      <c r="N158" s="1309"/>
      <c r="O158" s="1309"/>
      <c r="P158" s="1309"/>
      <c r="Q158" s="1310"/>
      <c r="R158" s="445"/>
    </row>
    <row r="159" spans="1:18" ht="26.25" customHeight="1" x14ac:dyDescent="0.25">
      <c r="A159" s="1286"/>
      <c r="B159" s="1311"/>
      <c r="C159" s="1311"/>
      <c r="D159" s="1311"/>
      <c r="E159" s="1311"/>
      <c r="F159" s="1311"/>
      <c r="G159" s="1311"/>
      <c r="H159" s="1311"/>
      <c r="I159" s="1311"/>
      <c r="J159" s="1311"/>
      <c r="K159" s="1311"/>
      <c r="L159" s="1311"/>
      <c r="M159" s="1311"/>
      <c r="N159" s="1311"/>
      <c r="O159" s="1311"/>
      <c r="P159" s="1311"/>
      <c r="Q159" s="1312"/>
      <c r="R159" s="445"/>
    </row>
    <row r="160" spans="1:18" ht="26.25" customHeight="1" thickBot="1" x14ac:dyDescent="0.3">
      <c r="A160" s="1313"/>
      <c r="B160" s="1314"/>
      <c r="C160" s="1314"/>
      <c r="D160" s="1314"/>
      <c r="E160" s="1314"/>
      <c r="F160" s="1314"/>
      <c r="G160" s="1314"/>
      <c r="H160" s="1314"/>
      <c r="I160" s="1314"/>
      <c r="J160" s="1314"/>
      <c r="K160" s="1314"/>
      <c r="L160" s="1314"/>
      <c r="M160" s="1314"/>
      <c r="N160" s="1314"/>
      <c r="O160" s="1314"/>
      <c r="P160" s="1314"/>
      <c r="Q160" s="1315"/>
      <c r="R160" s="444"/>
    </row>
    <row r="161" spans="1:18" ht="26.25" customHeight="1" x14ac:dyDescent="0.25">
      <c r="A161" s="1316" t="s">
        <v>2264</v>
      </c>
      <c r="B161" s="1317"/>
      <c r="C161" s="1317"/>
      <c r="D161" s="1317"/>
      <c r="E161" s="1317"/>
      <c r="F161" s="1317"/>
      <c r="G161" s="1317"/>
      <c r="H161" s="1317"/>
      <c r="I161" s="1317"/>
      <c r="J161" s="1317"/>
      <c r="K161" s="1317"/>
      <c r="L161" s="1317"/>
      <c r="M161" s="1317"/>
      <c r="N161" s="1317"/>
      <c r="O161" s="1317"/>
      <c r="P161" s="1317"/>
      <c r="Q161" s="1318"/>
      <c r="R161" s="445"/>
    </row>
    <row r="162" spans="1:18" ht="26.25" customHeight="1" x14ac:dyDescent="0.25">
      <c r="A162" s="1319" t="s">
        <v>2265</v>
      </c>
      <c r="B162" s="1320"/>
      <c r="C162" s="1320"/>
      <c r="D162" s="1320"/>
      <c r="E162" s="1320"/>
      <c r="F162" s="1320"/>
      <c r="G162" s="1320"/>
      <c r="H162" s="1320"/>
      <c r="I162" s="1320"/>
      <c r="J162" s="1320"/>
      <c r="K162" s="1320"/>
      <c r="L162" s="1321"/>
      <c r="M162" s="1322"/>
      <c r="N162" s="1323"/>
      <c r="O162" s="1323"/>
      <c r="P162" s="1323"/>
      <c r="Q162" s="1324"/>
      <c r="R162" s="444"/>
    </row>
    <row r="163" spans="1:18" ht="26.25" customHeight="1" x14ac:dyDescent="0.25">
      <c r="A163" s="1297" t="s">
        <v>2266</v>
      </c>
      <c r="B163" s="1328"/>
      <c r="C163" s="1328"/>
      <c r="D163" s="1328"/>
      <c r="E163" s="1328"/>
      <c r="F163" s="1328"/>
      <c r="G163" s="1328"/>
      <c r="H163" s="1328"/>
      <c r="I163" s="1328"/>
      <c r="J163" s="1328"/>
      <c r="K163" s="1328"/>
      <c r="L163" s="1329"/>
      <c r="M163" s="1299"/>
      <c r="N163" s="1300"/>
      <c r="O163" s="1300"/>
      <c r="P163" s="1300"/>
      <c r="Q163" s="1301"/>
      <c r="R163" s="444"/>
    </row>
    <row r="164" spans="1:18" ht="26.25" customHeight="1" x14ac:dyDescent="0.25">
      <c r="A164" s="1330" t="s">
        <v>2267</v>
      </c>
      <c r="B164" s="1331"/>
      <c r="C164" s="1331"/>
      <c r="D164" s="1331"/>
      <c r="E164" s="1331"/>
      <c r="F164" s="1331"/>
      <c r="G164" s="1331"/>
      <c r="H164" s="1331"/>
      <c r="I164" s="1331"/>
      <c r="J164" s="1331"/>
      <c r="K164" s="1331"/>
      <c r="L164" s="1331"/>
      <c r="M164" s="1331"/>
      <c r="N164" s="1331"/>
      <c r="O164" s="1331"/>
      <c r="P164" s="1331"/>
      <c r="Q164" s="1332"/>
      <c r="R164" s="444"/>
    </row>
    <row r="165" spans="1:18" ht="26.25" customHeight="1" x14ac:dyDescent="0.25">
      <c r="A165" s="1286"/>
      <c r="B165" s="1287"/>
      <c r="C165" s="1287"/>
      <c r="D165" s="1287"/>
      <c r="E165" s="1287"/>
      <c r="F165" s="1287"/>
      <c r="G165" s="1287"/>
      <c r="H165" s="1287"/>
      <c r="I165" s="1287"/>
      <c r="J165" s="1287"/>
      <c r="K165" s="1287"/>
      <c r="L165" s="1287"/>
      <c r="M165" s="1287"/>
      <c r="N165" s="1287"/>
      <c r="O165" s="1287"/>
      <c r="P165" s="1287"/>
      <c r="Q165" s="1296"/>
      <c r="R165" s="444"/>
    </row>
    <row r="166" spans="1:18" ht="26.25" customHeight="1" x14ac:dyDescent="0.25">
      <c r="A166" s="1333"/>
      <c r="B166" s="1334"/>
      <c r="C166" s="1334"/>
      <c r="D166" s="1334"/>
      <c r="E166" s="1334"/>
      <c r="F166" s="1334"/>
      <c r="G166" s="1334"/>
      <c r="H166" s="1334"/>
      <c r="I166" s="1334"/>
      <c r="J166" s="1334"/>
      <c r="K166" s="1334"/>
      <c r="L166" s="1334"/>
      <c r="M166" s="1334"/>
      <c r="N166" s="1334"/>
      <c r="O166" s="1334"/>
      <c r="P166" s="1334"/>
      <c r="Q166" s="1335"/>
      <c r="R166" s="444"/>
    </row>
    <row r="167" spans="1:18" ht="26.25" customHeight="1" x14ac:dyDescent="0.25">
      <c r="A167" s="1283" t="s">
        <v>2268</v>
      </c>
      <c r="B167" s="1284"/>
      <c r="C167" s="1284"/>
      <c r="D167" s="1284"/>
      <c r="E167" s="1284"/>
      <c r="F167" s="1284"/>
      <c r="G167" s="1284"/>
      <c r="H167" s="1284"/>
      <c r="I167" s="1284"/>
      <c r="J167" s="1284"/>
      <c r="K167" s="1284"/>
      <c r="L167" s="1284"/>
      <c r="M167" s="1284"/>
      <c r="N167" s="1284"/>
      <c r="O167" s="1284"/>
      <c r="P167" s="1284"/>
      <c r="Q167" s="1285"/>
      <c r="R167" s="444"/>
    </row>
    <row r="168" spans="1:18" ht="26.25" customHeight="1" x14ac:dyDescent="0.25">
      <c r="A168" s="1286"/>
      <c r="B168" s="1287"/>
      <c r="C168" s="1287"/>
      <c r="D168" s="1287"/>
      <c r="E168" s="1287"/>
      <c r="F168" s="1287"/>
      <c r="G168" s="1287"/>
      <c r="H168" s="1287"/>
      <c r="I168" s="1287"/>
      <c r="J168" s="1287"/>
      <c r="K168" s="1287"/>
      <c r="L168" s="1287"/>
      <c r="M168" s="1287"/>
      <c r="N168" s="1287"/>
      <c r="O168" s="1287"/>
      <c r="P168" s="1287"/>
      <c r="Q168" s="1288"/>
      <c r="R168" s="444"/>
    </row>
    <row r="169" spans="1:18" ht="26.25" customHeight="1" thickBot="1" x14ac:dyDescent="0.3">
      <c r="A169" s="1289"/>
      <c r="B169" s="1290"/>
      <c r="C169" s="1290"/>
      <c r="D169" s="1290"/>
      <c r="E169" s="1290"/>
      <c r="F169" s="1290"/>
      <c r="G169" s="1290"/>
      <c r="H169" s="1290"/>
      <c r="I169" s="1290"/>
      <c r="J169" s="1290"/>
      <c r="K169" s="1290"/>
      <c r="L169" s="1290"/>
      <c r="M169" s="1290"/>
      <c r="N169" s="1290"/>
      <c r="O169" s="1290"/>
      <c r="P169" s="1290"/>
      <c r="Q169" s="1291"/>
      <c r="R169" s="444"/>
    </row>
    <row r="170" spans="1:18" ht="26.25" customHeight="1" x14ac:dyDescent="0.25">
      <c r="A170" s="1292" t="s">
        <v>2269</v>
      </c>
      <c r="B170" s="1293"/>
      <c r="C170" s="1293"/>
      <c r="D170" s="1293"/>
      <c r="E170" s="1293"/>
      <c r="F170" s="1293"/>
      <c r="G170" s="1293"/>
      <c r="H170" s="1293"/>
      <c r="I170" s="1293"/>
      <c r="J170" s="1293"/>
      <c r="K170" s="1293"/>
      <c r="L170" s="1293"/>
      <c r="M170" s="1293"/>
      <c r="N170" s="1293"/>
      <c r="O170" s="1293"/>
      <c r="P170" s="1293"/>
      <c r="Q170" s="1294"/>
    </row>
    <row r="171" spans="1:18" ht="26.25" customHeight="1" x14ac:dyDescent="0.25">
      <c r="A171" s="1295"/>
      <c r="B171" s="1287"/>
      <c r="C171" s="1287"/>
      <c r="D171" s="1287"/>
      <c r="E171" s="1287"/>
      <c r="F171" s="1287"/>
      <c r="G171" s="1287"/>
      <c r="H171" s="1287"/>
      <c r="I171" s="1287"/>
      <c r="J171" s="1287"/>
      <c r="K171" s="1287"/>
      <c r="L171" s="1287"/>
      <c r="M171" s="1287"/>
      <c r="N171" s="1287"/>
      <c r="O171" s="1287"/>
      <c r="P171" s="1287"/>
      <c r="Q171" s="1296"/>
    </row>
    <row r="172" spans="1:18" ht="26.25" customHeight="1" thickBot="1" x14ac:dyDescent="0.3">
      <c r="A172" s="1289"/>
      <c r="B172" s="1290"/>
      <c r="C172" s="1290"/>
      <c r="D172" s="1290"/>
      <c r="E172" s="1290"/>
      <c r="F172" s="1290"/>
      <c r="G172" s="1290"/>
      <c r="H172" s="1290"/>
      <c r="I172" s="1290"/>
      <c r="J172" s="1290"/>
      <c r="K172" s="1290"/>
      <c r="L172" s="1290"/>
      <c r="M172" s="1290"/>
      <c r="N172" s="1290"/>
      <c r="O172" s="1290"/>
      <c r="P172" s="1290"/>
      <c r="Q172" s="1291"/>
      <c r="R172" s="368"/>
    </row>
    <row r="173" spans="1:18" ht="26.25" customHeight="1" x14ac:dyDescent="0.25">
      <c r="A173" s="1316" t="s">
        <v>2270</v>
      </c>
      <c r="B173" s="1317"/>
      <c r="C173" s="1317"/>
      <c r="D173" s="1317"/>
      <c r="E173" s="1317"/>
      <c r="F173" s="1317"/>
      <c r="G173" s="1317"/>
      <c r="H173" s="1317"/>
      <c r="I173" s="1317"/>
      <c r="J173" s="1317"/>
      <c r="K173" s="1317"/>
      <c r="L173" s="1317"/>
      <c r="M173" s="1317"/>
      <c r="N173" s="1317"/>
      <c r="O173" s="1317"/>
      <c r="P173" s="1317"/>
      <c r="Q173" s="1318"/>
      <c r="R173" s="369"/>
    </row>
    <row r="174" spans="1:18" ht="26.25" customHeight="1" x14ac:dyDescent="0.25">
      <c r="A174" s="1355"/>
      <c r="B174" s="1356"/>
      <c r="C174" s="1356"/>
      <c r="D174" s="1356"/>
      <c r="E174" s="1356"/>
      <c r="F174" s="1356"/>
      <c r="G174" s="1356"/>
      <c r="H174" s="1356"/>
      <c r="I174" s="1356"/>
      <c r="J174" s="1356"/>
      <c r="K174" s="1356"/>
      <c r="L174" s="1356"/>
      <c r="M174" s="1356"/>
      <c r="N174" s="1356"/>
      <c r="O174" s="1356"/>
      <c r="P174" s="1356"/>
      <c r="Q174" s="1400"/>
      <c r="R174" s="22"/>
    </row>
    <row r="175" spans="1:18" ht="26.25" customHeight="1" thickBot="1" x14ac:dyDescent="0.3">
      <c r="A175" s="1313"/>
      <c r="B175" s="1314"/>
      <c r="C175" s="1314"/>
      <c r="D175" s="1314"/>
      <c r="E175" s="1314"/>
      <c r="F175" s="1314"/>
      <c r="G175" s="1314"/>
      <c r="H175" s="1314"/>
      <c r="I175" s="1314"/>
      <c r="J175" s="1314"/>
      <c r="K175" s="1314"/>
      <c r="L175" s="1314"/>
      <c r="M175" s="1314"/>
      <c r="N175" s="1314"/>
      <c r="O175" s="1314"/>
      <c r="P175" s="1314"/>
      <c r="Q175" s="1315"/>
      <c r="R175" s="22"/>
    </row>
    <row r="176" spans="1:18" ht="26.25" customHeight="1" x14ac:dyDescent="0.25">
      <c r="A176" s="464" t="e">
        <f>$A$1</f>
        <v>#N/A</v>
      </c>
      <c r="B176" s="367"/>
      <c r="C176" s="367"/>
      <c r="D176" s="367"/>
      <c r="E176" s="367"/>
      <c r="F176" s="367"/>
      <c r="G176" s="367"/>
      <c r="H176" s="367"/>
      <c r="I176" s="367"/>
      <c r="J176" s="367"/>
      <c r="K176" s="367"/>
      <c r="L176" s="367"/>
      <c r="M176" s="367"/>
      <c r="N176" s="367"/>
      <c r="O176" s="367"/>
      <c r="P176" s="367"/>
      <c r="Q176" s="367"/>
      <c r="R176" s="366"/>
    </row>
    <row r="177" spans="1:19" ht="26.25" customHeight="1" x14ac:dyDescent="0.25">
      <c r="A177" s="1401" t="s">
        <v>1658</v>
      </c>
      <c r="B177" s="1402"/>
      <c r="C177" s="1402"/>
      <c r="D177" s="1402"/>
      <c r="E177" s="1402"/>
      <c r="F177" s="1402"/>
      <c r="G177" s="1402"/>
      <c r="H177" s="1402"/>
      <c r="I177" s="1402"/>
      <c r="J177" s="1402"/>
      <c r="K177" s="1402"/>
      <c r="L177" s="1402"/>
      <c r="M177" s="1402"/>
      <c r="N177" s="1403" t="s">
        <v>3626</v>
      </c>
      <c r="O177" s="1403"/>
      <c r="P177" s="1403"/>
      <c r="Q177" s="1404"/>
      <c r="R177" s="447"/>
    </row>
    <row r="178" spans="1:19" ht="26.25" customHeight="1" x14ac:dyDescent="0.25">
      <c r="A178" s="1405" t="str">
        <f>IF(ISBLANK(Cap_Expend_Name),"The Capital Expenditure Contact information has NOT been provided.  Click here to go to Capital Expenditure Contact Section to fill in this information now.","")</f>
        <v/>
      </c>
      <c r="B178" s="1406"/>
      <c r="C178" s="1406"/>
      <c r="D178" s="1406"/>
      <c r="E178" s="1406"/>
      <c r="F178" s="1406"/>
      <c r="G178" s="1406"/>
      <c r="H178" s="1406"/>
      <c r="I178" s="1406"/>
      <c r="J178" s="1406"/>
      <c r="K178" s="1406"/>
      <c r="L178" s="1406"/>
      <c r="M178" s="1406"/>
      <c r="N178" s="462" t="s">
        <v>2236</v>
      </c>
      <c r="O178" s="463"/>
      <c r="P178" s="1407"/>
      <c r="Q178" s="1408"/>
      <c r="R178" s="2"/>
    </row>
    <row r="179" spans="1:19" ht="26.25" customHeight="1" thickBot="1" x14ac:dyDescent="0.3">
      <c r="A179" s="1385" t="s">
        <v>1605</v>
      </c>
      <c r="B179" s="1386"/>
      <c r="C179" s="1386"/>
      <c r="D179" s="1386"/>
      <c r="E179" s="1387"/>
      <c r="F179" s="1388"/>
      <c r="G179" s="1388"/>
      <c r="H179" s="1388"/>
      <c r="I179" s="1388"/>
      <c r="J179" s="1388"/>
      <c r="K179" s="1388"/>
      <c r="L179" s="1389"/>
      <c r="M179" s="348"/>
      <c r="N179" s="1390" t="s">
        <v>2237</v>
      </c>
      <c r="O179" s="1391"/>
      <c r="P179" s="1391"/>
      <c r="Q179" s="1392"/>
      <c r="R179" s="2"/>
    </row>
    <row r="180" spans="1:19" ht="26.25" customHeight="1" x14ac:dyDescent="0.25">
      <c r="A180" s="1397" t="s">
        <v>2238</v>
      </c>
      <c r="B180" s="1398"/>
      <c r="C180" s="1398"/>
      <c r="D180" s="1399"/>
      <c r="E180" s="1380"/>
      <c r="F180" s="1381"/>
      <c r="G180" s="1381"/>
      <c r="H180" s="1381"/>
      <c r="I180" s="1381"/>
      <c r="J180" s="1381"/>
      <c r="K180" s="1381"/>
      <c r="L180" s="1382"/>
      <c r="M180" s="1383" t="str">
        <f>IF(AND(ISBLANK(E180),OR(NOT(ISBLANK(E181)),NOT(ISBLANK(E182)),NOT(ISBLANK(E183)),NOT(ISBLANK(I184)),NOT(ISBLANK(#REF!)))),"This information is required.","")</f>
        <v>This information is required.</v>
      </c>
      <c r="N180" s="1384"/>
      <c r="O180" s="1384"/>
      <c r="P180" s="1384"/>
      <c r="Q180" s="349"/>
      <c r="R180" s="2"/>
    </row>
    <row r="181" spans="1:19" ht="26.25" customHeight="1" x14ac:dyDescent="0.25">
      <c r="A181" s="1364" t="s">
        <v>2239</v>
      </c>
      <c r="B181" s="1365"/>
      <c r="C181" s="1365"/>
      <c r="D181" s="1366"/>
      <c r="E181" s="1380"/>
      <c r="F181" s="1381"/>
      <c r="G181" s="1381"/>
      <c r="H181" s="1381"/>
      <c r="I181" s="1381"/>
      <c r="J181" s="1381"/>
      <c r="K181" s="1381"/>
      <c r="L181" s="1382"/>
      <c r="M181" s="1383" t="str">
        <f>IF(AND(ISBLANK(E181),OR(NOT(ISBLANK(E180)),NOT(ISBLANK(E182)),NOT(ISBLANK(E183)),NOT(ISBLANK(I184)),NOT(ISBLANK(#REF!)))),"This information is required.","")</f>
        <v>This information is required.</v>
      </c>
      <c r="N181" s="1384"/>
      <c r="O181" s="1384"/>
      <c r="P181" s="1384"/>
      <c r="Q181" s="349"/>
      <c r="R181" s="2"/>
    </row>
    <row r="182" spans="1:19" ht="26.25" customHeight="1" x14ac:dyDescent="0.25">
      <c r="A182" s="1393" t="s">
        <v>2240</v>
      </c>
      <c r="B182" s="1394"/>
      <c r="C182" s="1394"/>
      <c r="D182" s="1395"/>
      <c r="E182" s="1380"/>
      <c r="F182" s="1381"/>
      <c r="G182" s="1396" t="s">
        <v>2241</v>
      </c>
      <c r="H182" s="1396"/>
      <c r="I182" s="1396"/>
      <c r="J182" s="1396"/>
      <c r="K182" s="1396"/>
      <c r="L182" s="1396"/>
      <c r="M182" s="596" t="str">
        <f>IF(AND(ISBLANK(E182),OR(NOT(ISBLANK(E180)),NOT(ISBLANK(E181)),NOT(ISBLANK(E183)),NOT(ISBLANK(I184)),NOT(ISBLANK(#REF!)))),"This information is required.","")</f>
        <v>This information is required.</v>
      </c>
      <c r="N182" s="597"/>
      <c r="O182" s="597"/>
      <c r="P182" s="597"/>
      <c r="Q182" s="350"/>
      <c r="R182" s="351"/>
    </row>
    <row r="183" spans="1:19" ht="26.25" customHeight="1" x14ac:dyDescent="0.25">
      <c r="A183" s="1364" t="s">
        <v>2242</v>
      </c>
      <c r="B183" s="1365"/>
      <c r="C183" s="1365"/>
      <c r="D183" s="1366"/>
      <c r="E183" s="1367"/>
      <c r="F183" s="1368"/>
      <c r="G183" s="352"/>
      <c r="H183" s="353"/>
      <c r="I183" s="354"/>
      <c r="J183" s="351"/>
      <c r="K183" s="351"/>
      <c r="L183" s="351"/>
      <c r="M183" s="597" t="str">
        <f>IF(AND(ISBLANK(E183),OR(NOT(ISBLANK(E180)),NOT(ISBLANK(E181)),NOT(ISBLANK(E182)),NOT(ISBLANK(I184)),NOT(ISBLANK(#REF!)))),"This information is required.","")</f>
        <v>This information is required.</v>
      </c>
      <c r="N183" s="597"/>
      <c r="O183" s="597"/>
      <c r="P183" s="597"/>
      <c r="Q183" s="350"/>
      <c r="R183" s="5"/>
      <c r="S183" s="312">
        <f>IF(ISBLANK(E183),0,1)</f>
        <v>0</v>
      </c>
    </row>
    <row r="184" spans="1:19" ht="26.25" customHeight="1" thickBot="1" x14ac:dyDescent="0.3">
      <c r="A184" s="1369" t="s">
        <v>2243</v>
      </c>
      <c r="B184" s="1370"/>
      <c r="C184" s="1370"/>
      <c r="D184" s="1370"/>
      <c r="E184" s="1371"/>
      <c r="F184" s="1371"/>
      <c r="G184" s="1371"/>
      <c r="H184" s="1371"/>
      <c r="I184" s="1372"/>
      <c r="J184" s="1373"/>
      <c r="K184" s="1374" t="s">
        <v>2244</v>
      </c>
      <c r="L184" s="1375"/>
      <c r="M184" s="1376" t="str">
        <f>IF(AND(ISBLANK(I184),OR(NOT(ISBLANK(E180)),NOT(ISBLANK(E181)),NOT(ISBLANK(E182)),NOT(ISBLANK(E183)),NOT(ISBLANK(#REF!)))),"This information is required!","")</f>
        <v>This information is required!</v>
      </c>
      <c r="N184" s="1376"/>
      <c r="O184" s="1376"/>
      <c r="P184" s="1376"/>
      <c r="Q184" s="355"/>
      <c r="R184" s="5"/>
    </row>
    <row r="185" spans="1:19" ht="26.25" customHeight="1" x14ac:dyDescent="0.25">
      <c r="A185" s="1292" t="s">
        <v>2245</v>
      </c>
      <c r="B185" s="1293"/>
      <c r="C185" s="1293"/>
      <c r="D185" s="1293"/>
      <c r="E185" s="1293"/>
      <c r="F185" s="1293"/>
      <c r="G185" s="1293"/>
      <c r="H185" s="1293"/>
      <c r="I185" s="1293"/>
      <c r="J185" s="1377"/>
      <c r="K185" s="1378" t="s">
        <v>2246</v>
      </c>
      <c r="L185" s="1378"/>
      <c r="M185" s="1378"/>
      <c r="N185" s="1378"/>
      <c r="O185" s="1353" t="s">
        <v>2247</v>
      </c>
      <c r="P185" s="1353"/>
      <c r="Q185" s="1354"/>
      <c r="R185" s="448"/>
    </row>
    <row r="186" spans="1:19" ht="45" customHeight="1" x14ac:dyDescent="0.25">
      <c r="A186" s="1355"/>
      <c r="B186" s="1356"/>
      <c r="C186" s="1356"/>
      <c r="D186" s="1356"/>
      <c r="E186" s="1356"/>
      <c r="F186" s="1356"/>
      <c r="G186" s="1356"/>
      <c r="H186" s="1356"/>
      <c r="I186" s="1356"/>
      <c r="J186" s="1357"/>
      <c r="K186" s="1379"/>
      <c r="L186" s="1379"/>
      <c r="M186" s="1379"/>
      <c r="N186" s="1379"/>
      <c r="O186" s="358"/>
      <c r="P186" s="359" t="s">
        <v>103</v>
      </c>
      <c r="Q186" s="360" t="s">
        <v>104</v>
      </c>
      <c r="R186" s="448"/>
    </row>
    <row r="187" spans="1:19" ht="26.25" customHeight="1" x14ac:dyDescent="0.25">
      <c r="A187" s="1358"/>
      <c r="B187" s="1359"/>
      <c r="C187" s="1359"/>
      <c r="D187" s="1359"/>
      <c r="E187" s="1359"/>
      <c r="F187" s="1359"/>
      <c r="G187" s="1359"/>
      <c r="H187" s="1359"/>
      <c r="I187" s="1359"/>
      <c r="J187" s="1360"/>
      <c r="K187" s="1336" t="s">
        <v>2248</v>
      </c>
      <c r="L187" s="1337"/>
      <c r="M187" s="1337"/>
      <c r="N187" s="1337"/>
      <c r="O187" s="1338"/>
      <c r="P187" s="443"/>
      <c r="Q187" s="362"/>
      <c r="R187" s="442" t="str">
        <f>IF(COUNTBLANK(P187:Q187)=2,"Please enter response.",IF(COUNTBLANK(P187:Q187)&lt;&gt;1,"Please VERIFY response.",""))</f>
        <v>Please enter response.</v>
      </c>
    </row>
    <row r="188" spans="1:19" ht="26.25" customHeight="1" x14ac:dyDescent="0.25">
      <c r="A188" s="1361" t="s">
        <v>2249</v>
      </c>
      <c r="B188" s="1362"/>
      <c r="C188" s="1362"/>
      <c r="D188" s="1362"/>
      <c r="E188" s="1362"/>
      <c r="F188" s="1362"/>
      <c r="G188" s="1362"/>
      <c r="H188" s="1362"/>
      <c r="I188" s="1362"/>
      <c r="J188" s="1363"/>
      <c r="K188" s="1336" t="s">
        <v>2250</v>
      </c>
      <c r="L188" s="1337"/>
      <c r="M188" s="1337"/>
      <c r="N188" s="1337"/>
      <c r="O188" s="1338"/>
      <c r="P188" s="443"/>
      <c r="Q188" s="362"/>
      <c r="R188" s="442" t="str">
        <f>IF(COUNTBLANK(P188:Q188)=2,"Please enter response.",IF(COUNTBLANK(P188:Q188)&lt;&gt;1,"Please VERIFY response.",""))</f>
        <v>Please enter response.</v>
      </c>
    </row>
    <row r="189" spans="1:19" ht="26.25" customHeight="1" x14ac:dyDescent="0.25">
      <c r="A189" s="1355"/>
      <c r="B189" s="1356"/>
      <c r="C189" s="1356"/>
      <c r="D189" s="1356"/>
      <c r="E189" s="1356"/>
      <c r="F189" s="1356"/>
      <c r="G189" s="1356"/>
      <c r="H189" s="1356"/>
      <c r="I189" s="1356"/>
      <c r="J189" s="1357"/>
      <c r="K189" s="1336" t="s">
        <v>2251</v>
      </c>
      <c r="L189" s="1337"/>
      <c r="M189" s="1337"/>
      <c r="N189" s="1337"/>
      <c r="O189" s="1338"/>
      <c r="P189" s="443"/>
      <c r="Q189" s="362"/>
      <c r="R189" s="442" t="str">
        <f>IF(COUNTBLANK(P189:Q189)=2,"Please enter response.",IF(COUNTBLANK(P189:Q189)&lt;&gt;1,"Please VERIFY response.",""))</f>
        <v>Please enter response.</v>
      </c>
    </row>
    <row r="190" spans="1:19" ht="26.25" customHeight="1" x14ac:dyDescent="0.25">
      <c r="A190" s="1358"/>
      <c r="B190" s="1359"/>
      <c r="C190" s="1359"/>
      <c r="D190" s="1359"/>
      <c r="E190" s="1359"/>
      <c r="F190" s="1359"/>
      <c r="G190" s="1359"/>
      <c r="H190" s="1359"/>
      <c r="I190" s="1359"/>
      <c r="J190" s="1360"/>
      <c r="K190" s="1336" t="s">
        <v>2252</v>
      </c>
      <c r="L190" s="1337"/>
      <c r="M190" s="1337"/>
      <c r="N190" s="1337"/>
      <c r="O190" s="1338"/>
      <c r="P190" s="443"/>
      <c r="Q190" s="362"/>
      <c r="R190" s="442" t="str">
        <f>IF(COUNTBLANK(P190:Q190)=2,"Please enter response.",IF(COUNTBLANK(P190:Q190)&lt;&gt;1,"Please VERIFY response.",""))</f>
        <v>Please enter response.</v>
      </c>
    </row>
    <row r="191" spans="1:19" ht="26.25" customHeight="1" x14ac:dyDescent="0.25">
      <c r="A191" s="1339" t="s">
        <v>2253</v>
      </c>
      <c r="B191" s="1340"/>
      <c r="C191" s="1340"/>
      <c r="D191" s="1340"/>
      <c r="E191" s="1340"/>
      <c r="F191" s="1340"/>
      <c r="G191" s="1340"/>
      <c r="H191" s="1340"/>
      <c r="I191" s="1340"/>
      <c r="J191" s="1340"/>
      <c r="K191" s="1340"/>
      <c r="L191" s="1340"/>
      <c r="M191" s="1340"/>
      <c r="N191" s="1340"/>
      <c r="O191" s="1340"/>
      <c r="P191" s="1340"/>
      <c r="Q191" s="1341"/>
      <c r="R191" s="363"/>
    </row>
    <row r="192" spans="1:19" ht="26.25" customHeight="1" x14ac:dyDescent="0.25">
      <c r="A192" s="1342" t="s">
        <v>2254</v>
      </c>
      <c r="B192" s="1343"/>
      <c r="C192" s="1343"/>
      <c r="D192" s="1343"/>
      <c r="E192" s="1343" t="s">
        <v>2255</v>
      </c>
      <c r="F192" s="1343"/>
      <c r="G192" s="1343"/>
      <c r="H192" s="1343"/>
      <c r="I192" s="1343" t="s">
        <v>2256</v>
      </c>
      <c r="J192" s="1343"/>
      <c r="K192" s="1343"/>
      <c r="L192" s="1343"/>
      <c r="M192" s="1344" t="s">
        <v>2257</v>
      </c>
      <c r="N192" s="1343"/>
      <c r="O192" s="1343"/>
      <c r="P192" s="1343"/>
      <c r="Q192" s="1345"/>
      <c r="R192" s="364"/>
    </row>
    <row r="193" spans="1:18" ht="26.25" customHeight="1" thickBot="1" x14ac:dyDescent="0.3">
      <c r="A193" s="1346"/>
      <c r="B193" s="1347"/>
      <c r="C193" s="1347"/>
      <c r="D193" s="1347"/>
      <c r="E193" s="1348"/>
      <c r="F193" s="1349"/>
      <c r="G193" s="1349"/>
      <c r="H193" s="1350"/>
      <c r="I193" s="1348"/>
      <c r="J193" s="1349"/>
      <c r="K193" s="1349"/>
      <c r="L193" s="1350"/>
      <c r="M193" s="1351"/>
      <c r="N193" s="1351"/>
      <c r="O193" s="1351"/>
      <c r="P193" s="1351"/>
      <c r="Q193" s="1352"/>
      <c r="R193" s="363"/>
    </row>
    <row r="194" spans="1:18" ht="26.25" customHeight="1" x14ac:dyDescent="0.25">
      <c r="A194" s="1325" t="s">
        <v>2258</v>
      </c>
      <c r="B194" s="1326"/>
      <c r="C194" s="1326"/>
      <c r="D194" s="1326"/>
      <c r="E194" s="1326"/>
      <c r="F194" s="1326"/>
      <c r="G194" s="1326"/>
      <c r="H194" s="1326"/>
      <c r="I194" s="1326"/>
      <c r="J194" s="1326"/>
      <c r="K194" s="1326"/>
      <c r="L194" s="1326"/>
      <c r="M194" s="1326"/>
      <c r="N194" s="1326"/>
      <c r="O194" s="1326"/>
      <c r="P194" s="1326"/>
      <c r="Q194" s="1327"/>
      <c r="R194" s="445"/>
    </row>
    <row r="195" spans="1:18" ht="26.25" customHeight="1" x14ac:dyDescent="0.25">
      <c r="A195" s="1297" t="s">
        <v>2259</v>
      </c>
      <c r="B195" s="1328"/>
      <c r="C195" s="1328"/>
      <c r="D195" s="1328"/>
      <c r="E195" s="1328"/>
      <c r="F195" s="1328"/>
      <c r="G195" s="1328"/>
      <c r="H195" s="1328"/>
      <c r="I195" s="1328"/>
      <c r="J195" s="1328"/>
      <c r="K195" s="1328"/>
      <c r="L195" s="1329"/>
      <c r="M195" s="1322"/>
      <c r="N195" s="1323"/>
      <c r="O195" s="1323"/>
      <c r="P195" s="1323"/>
      <c r="Q195" s="1324"/>
      <c r="R195" s="445"/>
    </row>
    <row r="196" spans="1:18" ht="26.25" customHeight="1" x14ac:dyDescent="0.25">
      <c r="A196" s="1297" t="s">
        <v>2260</v>
      </c>
      <c r="B196" s="1298"/>
      <c r="C196" s="1298"/>
      <c r="D196" s="1298"/>
      <c r="E196" s="1298"/>
      <c r="F196" s="1298"/>
      <c r="G196" s="1298"/>
      <c r="H196" s="1298"/>
      <c r="I196" s="1298"/>
      <c r="J196" s="1298"/>
      <c r="K196" s="1298"/>
      <c r="L196" s="1298"/>
      <c r="M196" s="1299"/>
      <c r="N196" s="1300"/>
      <c r="O196" s="1300"/>
      <c r="P196" s="1300"/>
      <c r="Q196" s="1301"/>
      <c r="R196" s="445"/>
    </row>
    <row r="197" spans="1:18" ht="26.25" customHeight="1" x14ac:dyDescent="0.25">
      <c r="A197" s="1297" t="s">
        <v>2261</v>
      </c>
      <c r="B197" s="1298"/>
      <c r="C197" s="1298"/>
      <c r="D197" s="1298"/>
      <c r="E197" s="1298"/>
      <c r="F197" s="1298"/>
      <c r="G197" s="1298"/>
      <c r="H197" s="1298"/>
      <c r="I197" s="1298"/>
      <c r="J197" s="1298"/>
      <c r="K197" s="1298"/>
      <c r="L197" s="1298"/>
      <c r="M197" s="1299"/>
      <c r="N197" s="1300"/>
      <c r="O197" s="1300"/>
      <c r="P197" s="1300"/>
      <c r="Q197" s="1301"/>
      <c r="R197" s="445"/>
    </row>
    <row r="198" spans="1:18" ht="26.25" customHeight="1" x14ac:dyDescent="0.25">
      <c r="A198" s="1302" t="s">
        <v>2262</v>
      </c>
      <c r="B198" s="1303"/>
      <c r="C198" s="1303"/>
      <c r="D198" s="1303"/>
      <c r="E198" s="1303"/>
      <c r="F198" s="1303"/>
      <c r="G198" s="1303"/>
      <c r="H198" s="1303"/>
      <c r="I198" s="1303"/>
      <c r="J198" s="1303"/>
      <c r="K198" s="1303"/>
      <c r="L198" s="1303"/>
      <c r="M198" s="1303"/>
      <c r="N198" s="1303"/>
      <c r="O198" s="1303"/>
      <c r="P198" s="1303"/>
      <c r="Q198" s="1304"/>
      <c r="R198" s="445"/>
    </row>
    <row r="199" spans="1:18" ht="26.25" customHeight="1" x14ac:dyDescent="0.25">
      <c r="A199" s="1286"/>
      <c r="B199" s="1287"/>
      <c r="C199" s="1287"/>
      <c r="D199" s="1287"/>
      <c r="E199" s="1287"/>
      <c r="F199" s="1287"/>
      <c r="G199" s="1287"/>
      <c r="H199" s="1287"/>
      <c r="I199" s="1287"/>
      <c r="J199" s="1287"/>
      <c r="K199" s="1287"/>
      <c r="L199" s="1287"/>
      <c r="M199" s="1287"/>
      <c r="N199" s="1287"/>
      <c r="O199" s="1287"/>
      <c r="P199" s="1287"/>
      <c r="Q199" s="1288"/>
      <c r="R199" s="445"/>
    </row>
    <row r="200" spans="1:18" ht="26.25" customHeight="1" x14ac:dyDescent="0.25">
      <c r="A200" s="1305"/>
      <c r="B200" s="1306"/>
      <c r="C200" s="1306"/>
      <c r="D200" s="1306"/>
      <c r="E200" s="1306"/>
      <c r="F200" s="1306"/>
      <c r="G200" s="1306"/>
      <c r="H200" s="1306"/>
      <c r="I200" s="1306"/>
      <c r="J200" s="1306"/>
      <c r="K200" s="1306"/>
      <c r="L200" s="1306"/>
      <c r="M200" s="1306"/>
      <c r="N200" s="1306"/>
      <c r="O200" s="1306"/>
      <c r="P200" s="1306"/>
      <c r="Q200" s="1307"/>
      <c r="R200" s="445"/>
    </row>
    <row r="201" spans="1:18" ht="26.25" customHeight="1" x14ac:dyDescent="0.25">
      <c r="A201" s="1308" t="s">
        <v>2263</v>
      </c>
      <c r="B201" s="1309"/>
      <c r="C201" s="1309"/>
      <c r="D201" s="1309"/>
      <c r="E201" s="1309"/>
      <c r="F201" s="1309"/>
      <c r="G201" s="1309"/>
      <c r="H201" s="1309"/>
      <c r="I201" s="1309"/>
      <c r="J201" s="1309"/>
      <c r="K201" s="1309"/>
      <c r="L201" s="1309"/>
      <c r="M201" s="1309"/>
      <c r="N201" s="1309"/>
      <c r="O201" s="1309"/>
      <c r="P201" s="1309"/>
      <c r="Q201" s="1310"/>
      <c r="R201" s="445"/>
    </row>
    <row r="202" spans="1:18" ht="26.25" customHeight="1" x14ac:dyDescent="0.25">
      <c r="A202" s="1286"/>
      <c r="B202" s="1311"/>
      <c r="C202" s="1311"/>
      <c r="D202" s="1311"/>
      <c r="E202" s="1311"/>
      <c r="F202" s="1311"/>
      <c r="G202" s="1311"/>
      <c r="H202" s="1311"/>
      <c r="I202" s="1311"/>
      <c r="J202" s="1311"/>
      <c r="K202" s="1311"/>
      <c r="L202" s="1311"/>
      <c r="M202" s="1311"/>
      <c r="N202" s="1311"/>
      <c r="O202" s="1311"/>
      <c r="P202" s="1311"/>
      <c r="Q202" s="1312"/>
      <c r="R202" s="445"/>
    </row>
    <row r="203" spans="1:18" ht="26.25" customHeight="1" thickBot="1" x14ac:dyDescent="0.3">
      <c r="A203" s="1313"/>
      <c r="B203" s="1314"/>
      <c r="C203" s="1314"/>
      <c r="D203" s="1314"/>
      <c r="E203" s="1314"/>
      <c r="F203" s="1314"/>
      <c r="G203" s="1314"/>
      <c r="H203" s="1314"/>
      <c r="I203" s="1314"/>
      <c r="J203" s="1314"/>
      <c r="K203" s="1314"/>
      <c r="L203" s="1314"/>
      <c r="M203" s="1314"/>
      <c r="N203" s="1314"/>
      <c r="O203" s="1314"/>
      <c r="P203" s="1314"/>
      <c r="Q203" s="1315"/>
      <c r="R203" s="444"/>
    </row>
    <row r="204" spans="1:18" ht="26.25" customHeight="1" x14ac:dyDescent="0.25">
      <c r="A204" s="1316" t="s">
        <v>2264</v>
      </c>
      <c r="B204" s="1317"/>
      <c r="C204" s="1317"/>
      <c r="D204" s="1317"/>
      <c r="E204" s="1317"/>
      <c r="F204" s="1317"/>
      <c r="G204" s="1317"/>
      <c r="H204" s="1317"/>
      <c r="I204" s="1317"/>
      <c r="J204" s="1317"/>
      <c r="K204" s="1317"/>
      <c r="L204" s="1317"/>
      <c r="M204" s="1317"/>
      <c r="N204" s="1317"/>
      <c r="O204" s="1317"/>
      <c r="P204" s="1317"/>
      <c r="Q204" s="1318"/>
      <c r="R204" s="445"/>
    </row>
    <row r="205" spans="1:18" ht="26.25" customHeight="1" x14ac:dyDescent="0.25">
      <c r="A205" s="1319" t="s">
        <v>2265</v>
      </c>
      <c r="B205" s="1320"/>
      <c r="C205" s="1320"/>
      <c r="D205" s="1320"/>
      <c r="E205" s="1320"/>
      <c r="F205" s="1320"/>
      <c r="G205" s="1320"/>
      <c r="H205" s="1320"/>
      <c r="I205" s="1320"/>
      <c r="J205" s="1320"/>
      <c r="K205" s="1320"/>
      <c r="L205" s="1321"/>
      <c r="M205" s="1322"/>
      <c r="N205" s="1323"/>
      <c r="O205" s="1323"/>
      <c r="P205" s="1323"/>
      <c r="Q205" s="1324"/>
      <c r="R205" s="444"/>
    </row>
    <row r="206" spans="1:18" ht="26.25" customHeight="1" x14ac:dyDescent="0.25">
      <c r="A206" s="1297" t="s">
        <v>2266</v>
      </c>
      <c r="B206" s="1328"/>
      <c r="C206" s="1328"/>
      <c r="D206" s="1328"/>
      <c r="E206" s="1328"/>
      <c r="F206" s="1328"/>
      <c r="G206" s="1328"/>
      <c r="H206" s="1328"/>
      <c r="I206" s="1328"/>
      <c r="J206" s="1328"/>
      <c r="K206" s="1328"/>
      <c r="L206" s="1329"/>
      <c r="M206" s="1299"/>
      <c r="N206" s="1300"/>
      <c r="O206" s="1300"/>
      <c r="P206" s="1300"/>
      <c r="Q206" s="1301"/>
      <c r="R206" s="444"/>
    </row>
    <row r="207" spans="1:18" ht="26.25" customHeight="1" x14ac:dyDescent="0.25">
      <c r="A207" s="1330" t="s">
        <v>2267</v>
      </c>
      <c r="B207" s="1331"/>
      <c r="C207" s="1331"/>
      <c r="D207" s="1331"/>
      <c r="E207" s="1331"/>
      <c r="F207" s="1331"/>
      <c r="G207" s="1331"/>
      <c r="H207" s="1331"/>
      <c r="I207" s="1331"/>
      <c r="J207" s="1331"/>
      <c r="K207" s="1331"/>
      <c r="L207" s="1331"/>
      <c r="M207" s="1331"/>
      <c r="N207" s="1331"/>
      <c r="O207" s="1331"/>
      <c r="P207" s="1331"/>
      <c r="Q207" s="1332"/>
      <c r="R207" s="444"/>
    </row>
    <row r="208" spans="1:18" ht="26.25" customHeight="1" x14ac:dyDescent="0.25">
      <c r="A208" s="1286"/>
      <c r="B208" s="1287"/>
      <c r="C208" s="1287"/>
      <c r="D208" s="1287"/>
      <c r="E208" s="1287"/>
      <c r="F208" s="1287"/>
      <c r="G208" s="1287"/>
      <c r="H208" s="1287"/>
      <c r="I208" s="1287"/>
      <c r="J208" s="1287"/>
      <c r="K208" s="1287"/>
      <c r="L208" s="1287"/>
      <c r="M208" s="1287"/>
      <c r="N208" s="1287"/>
      <c r="O208" s="1287"/>
      <c r="P208" s="1287"/>
      <c r="Q208" s="1296"/>
      <c r="R208" s="444"/>
    </row>
    <row r="209" spans="1:18" ht="26.25" customHeight="1" x14ac:dyDescent="0.25">
      <c r="A209" s="1333"/>
      <c r="B209" s="1334"/>
      <c r="C209" s="1334"/>
      <c r="D209" s="1334"/>
      <c r="E209" s="1334"/>
      <c r="F209" s="1334"/>
      <c r="G209" s="1334"/>
      <c r="H209" s="1334"/>
      <c r="I209" s="1334"/>
      <c r="J209" s="1334"/>
      <c r="K209" s="1334"/>
      <c r="L209" s="1334"/>
      <c r="M209" s="1334"/>
      <c r="N209" s="1334"/>
      <c r="O209" s="1334"/>
      <c r="P209" s="1334"/>
      <c r="Q209" s="1335"/>
      <c r="R209" s="444"/>
    </row>
    <row r="210" spans="1:18" ht="26.25" customHeight="1" x14ac:dyDescent="0.25">
      <c r="A210" s="1283" t="s">
        <v>2268</v>
      </c>
      <c r="B210" s="1284"/>
      <c r="C210" s="1284"/>
      <c r="D210" s="1284"/>
      <c r="E210" s="1284"/>
      <c r="F210" s="1284"/>
      <c r="G210" s="1284"/>
      <c r="H210" s="1284"/>
      <c r="I210" s="1284"/>
      <c r="J210" s="1284"/>
      <c r="K210" s="1284"/>
      <c r="L210" s="1284"/>
      <c r="M210" s="1284"/>
      <c r="N210" s="1284"/>
      <c r="O210" s="1284"/>
      <c r="P210" s="1284"/>
      <c r="Q210" s="1285"/>
      <c r="R210" s="444"/>
    </row>
    <row r="211" spans="1:18" ht="26.25" customHeight="1" x14ac:dyDescent="0.25">
      <c r="A211" s="1286"/>
      <c r="B211" s="1287"/>
      <c r="C211" s="1287"/>
      <c r="D211" s="1287"/>
      <c r="E211" s="1287"/>
      <c r="F211" s="1287"/>
      <c r="G211" s="1287"/>
      <c r="H211" s="1287"/>
      <c r="I211" s="1287"/>
      <c r="J211" s="1287"/>
      <c r="K211" s="1287"/>
      <c r="L211" s="1287"/>
      <c r="M211" s="1287"/>
      <c r="N211" s="1287"/>
      <c r="O211" s="1287"/>
      <c r="P211" s="1287"/>
      <c r="Q211" s="1288"/>
      <c r="R211" s="444"/>
    </row>
    <row r="212" spans="1:18" ht="26.25" customHeight="1" thickBot="1" x14ac:dyDescent="0.3">
      <c r="A212" s="1289"/>
      <c r="B212" s="1290"/>
      <c r="C212" s="1290"/>
      <c r="D212" s="1290"/>
      <c r="E212" s="1290"/>
      <c r="F212" s="1290"/>
      <c r="G212" s="1290"/>
      <c r="H212" s="1290"/>
      <c r="I212" s="1290"/>
      <c r="J212" s="1290"/>
      <c r="K212" s="1290"/>
      <c r="L212" s="1290"/>
      <c r="M212" s="1290"/>
      <c r="N212" s="1290"/>
      <c r="O212" s="1290"/>
      <c r="P212" s="1290"/>
      <c r="Q212" s="1291"/>
      <c r="R212" s="444"/>
    </row>
    <row r="213" spans="1:18" ht="26.25" customHeight="1" x14ac:dyDescent="0.25">
      <c r="A213" s="1292" t="s">
        <v>2269</v>
      </c>
      <c r="B213" s="1293"/>
      <c r="C213" s="1293"/>
      <c r="D213" s="1293"/>
      <c r="E213" s="1293"/>
      <c r="F213" s="1293"/>
      <c r="G213" s="1293"/>
      <c r="H213" s="1293"/>
      <c r="I213" s="1293"/>
      <c r="J213" s="1293"/>
      <c r="K213" s="1293"/>
      <c r="L213" s="1293"/>
      <c r="M213" s="1293"/>
      <c r="N213" s="1293"/>
      <c r="O213" s="1293"/>
      <c r="P213" s="1293"/>
      <c r="Q213" s="1294"/>
    </row>
    <row r="214" spans="1:18" ht="26.25" customHeight="1" x14ac:dyDescent="0.25">
      <c r="A214" s="1295"/>
      <c r="B214" s="1287"/>
      <c r="C214" s="1287"/>
      <c r="D214" s="1287"/>
      <c r="E214" s="1287"/>
      <c r="F214" s="1287"/>
      <c r="G214" s="1287"/>
      <c r="H214" s="1287"/>
      <c r="I214" s="1287"/>
      <c r="J214" s="1287"/>
      <c r="K214" s="1287"/>
      <c r="L214" s="1287"/>
      <c r="M214" s="1287"/>
      <c r="N214" s="1287"/>
      <c r="O214" s="1287"/>
      <c r="P214" s="1287"/>
      <c r="Q214" s="1296"/>
    </row>
    <row r="215" spans="1:18" ht="26.25" customHeight="1" thickBot="1" x14ac:dyDescent="0.3">
      <c r="A215" s="1289"/>
      <c r="B215" s="1290"/>
      <c r="C215" s="1290"/>
      <c r="D215" s="1290"/>
      <c r="E215" s="1290"/>
      <c r="F215" s="1290"/>
      <c r="G215" s="1290"/>
      <c r="H215" s="1290"/>
      <c r="I215" s="1290"/>
      <c r="J215" s="1290"/>
      <c r="K215" s="1290"/>
      <c r="L215" s="1290"/>
      <c r="M215" s="1290"/>
      <c r="N215" s="1290"/>
      <c r="O215" s="1290"/>
      <c r="P215" s="1290"/>
      <c r="Q215" s="1291"/>
      <c r="R215" s="368"/>
    </row>
    <row r="216" spans="1:18" ht="26.25" customHeight="1" x14ac:dyDescent="0.25">
      <c r="A216" s="1316" t="s">
        <v>2270</v>
      </c>
      <c r="B216" s="1317"/>
      <c r="C216" s="1317"/>
      <c r="D216" s="1317"/>
      <c r="E216" s="1317"/>
      <c r="F216" s="1317"/>
      <c r="G216" s="1317"/>
      <c r="H216" s="1317"/>
      <c r="I216" s="1317"/>
      <c r="J216" s="1317"/>
      <c r="K216" s="1317"/>
      <c r="L216" s="1317"/>
      <c r="M216" s="1317"/>
      <c r="N216" s="1317"/>
      <c r="O216" s="1317"/>
      <c r="P216" s="1317"/>
      <c r="Q216" s="1318"/>
      <c r="R216" s="369"/>
    </row>
    <row r="217" spans="1:18" ht="26.25" customHeight="1" x14ac:dyDescent="0.25">
      <c r="A217" s="1355"/>
      <c r="B217" s="1356"/>
      <c r="C217" s="1356"/>
      <c r="D217" s="1356"/>
      <c r="E217" s="1356"/>
      <c r="F217" s="1356"/>
      <c r="G217" s="1356"/>
      <c r="H217" s="1356"/>
      <c r="I217" s="1356"/>
      <c r="J217" s="1356"/>
      <c r="K217" s="1356"/>
      <c r="L217" s="1356"/>
      <c r="M217" s="1356"/>
      <c r="N217" s="1356"/>
      <c r="O217" s="1356"/>
      <c r="P217" s="1356"/>
      <c r="Q217" s="1400"/>
      <c r="R217" s="22"/>
    </row>
    <row r="218" spans="1:18" ht="26.25" customHeight="1" thickBot="1" x14ac:dyDescent="0.3">
      <c r="A218" s="1313"/>
      <c r="B218" s="1314"/>
      <c r="C218" s="1314"/>
      <c r="D218" s="1314"/>
      <c r="E218" s="1314"/>
      <c r="F218" s="1314"/>
      <c r="G218" s="1314"/>
      <c r="H218" s="1314"/>
      <c r="I218" s="1314"/>
      <c r="J218" s="1314"/>
      <c r="K218" s="1314"/>
      <c r="L218" s="1314"/>
      <c r="M218" s="1314"/>
      <c r="N218" s="1314"/>
      <c r="O218" s="1314"/>
      <c r="P218" s="1314"/>
      <c r="Q218" s="1315"/>
      <c r="R218" s="22"/>
    </row>
    <row r="219" spans="1:18" ht="26.25" customHeight="1" x14ac:dyDescent="0.25">
      <c r="A219" s="464" t="e">
        <f>$A$1</f>
        <v>#N/A</v>
      </c>
      <c r="B219" s="375"/>
      <c r="C219" s="375"/>
      <c r="D219" s="375"/>
      <c r="E219" s="375"/>
      <c r="F219" s="375"/>
      <c r="G219" s="375"/>
      <c r="H219" s="375"/>
      <c r="I219" s="375"/>
      <c r="J219" s="375"/>
      <c r="K219" s="375"/>
      <c r="L219" s="375"/>
      <c r="M219" s="375"/>
      <c r="N219" s="375"/>
      <c r="O219" s="375"/>
      <c r="P219" s="375"/>
      <c r="Q219" s="375"/>
      <c r="R219" s="365"/>
    </row>
    <row r="220" spans="1:18" ht="26.25" customHeight="1" x14ac:dyDescent="0.25">
      <c r="A220" s="1401" t="s">
        <v>1659</v>
      </c>
      <c r="B220" s="1402"/>
      <c r="C220" s="1402"/>
      <c r="D220" s="1402"/>
      <c r="E220" s="1402"/>
      <c r="F220" s="1402"/>
      <c r="G220" s="1402"/>
      <c r="H220" s="1402"/>
      <c r="I220" s="1402"/>
      <c r="J220" s="1402"/>
      <c r="K220" s="1402"/>
      <c r="L220" s="1402"/>
      <c r="M220" s="1402"/>
      <c r="N220" s="1403" t="s">
        <v>3626</v>
      </c>
      <c r="O220" s="1403"/>
      <c r="P220" s="1403"/>
      <c r="Q220" s="1404"/>
      <c r="R220" s="447"/>
    </row>
    <row r="221" spans="1:18" ht="26.25" customHeight="1" x14ac:dyDescent="0.25">
      <c r="A221" s="1405" t="str">
        <f>IF(ISBLANK(Cap_Expend_Name),"The Capital Expenditure Contact information has NOT been provided.  Click here to go to Capital Expenditure Contact Section to fill in this information now.","")</f>
        <v/>
      </c>
      <c r="B221" s="1406"/>
      <c r="C221" s="1406"/>
      <c r="D221" s="1406"/>
      <c r="E221" s="1406"/>
      <c r="F221" s="1406"/>
      <c r="G221" s="1406"/>
      <c r="H221" s="1406"/>
      <c r="I221" s="1406"/>
      <c r="J221" s="1406"/>
      <c r="K221" s="1406"/>
      <c r="L221" s="1406"/>
      <c r="M221" s="1406"/>
      <c r="N221" s="462" t="s">
        <v>2236</v>
      </c>
      <c r="O221" s="463"/>
      <c r="P221" s="1407"/>
      <c r="Q221" s="1408"/>
      <c r="R221" s="2"/>
    </row>
    <row r="222" spans="1:18" ht="26.25" customHeight="1" thickBot="1" x14ac:dyDescent="0.3">
      <c r="A222" s="1385" t="s">
        <v>1605</v>
      </c>
      <c r="B222" s="1386"/>
      <c r="C222" s="1386"/>
      <c r="D222" s="1386"/>
      <c r="E222" s="1387"/>
      <c r="F222" s="1388"/>
      <c r="G222" s="1388"/>
      <c r="H222" s="1388"/>
      <c r="I222" s="1388"/>
      <c r="J222" s="1388"/>
      <c r="K222" s="1388"/>
      <c r="L222" s="1389"/>
      <c r="M222" s="348"/>
      <c r="N222" s="1390" t="s">
        <v>2237</v>
      </c>
      <c r="O222" s="1391"/>
      <c r="P222" s="1391"/>
      <c r="Q222" s="1392"/>
      <c r="R222" s="2"/>
    </row>
    <row r="223" spans="1:18" ht="26.25" customHeight="1" x14ac:dyDescent="0.25">
      <c r="A223" s="1397" t="s">
        <v>2238</v>
      </c>
      <c r="B223" s="1398"/>
      <c r="C223" s="1398"/>
      <c r="D223" s="1399"/>
      <c r="E223" s="1380"/>
      <c r="F223" s="1381"/>
      <c r="G223" s="1381"/>
      <c r="H223" s="1381"/>
      <c r="I223" s="1381"/>
      <c r="J223" s="1381"/>
      <c r="K223" s="1381"/>
      <c r="L223" s="1382"/>
      <c r="M223" s="1383" t="str">
        <f>IF(AND(ISBLANK(E223),OR(NOT(ISBLANK(E224)),NOT(ISBLANK(E225)),NOT(ISBLANK(E226)),NOT(ISBLANK(I227)),NOT(ISBLANK(#REF!)))),"This information is required.","")</f>
        <v>This information is required.</v>
      </c>
      <c r="N223" s="1384"/>
      <c r="O223" s="1384"/>
      <c r="P223" s="1384"/>
      <c r="Q223" s="349"/>
      <c r="R223" s="2"/>
    </row>
    <row r="224" spans="1:18" ht="26.25" customHeight="1" x14ac:dyDescent="0.25">
      <c r="A224" s="1364" t="s">
        <v>2239</v>
      </c>
      <c r="B224" s="1365"/>
      <c r="C224" s="1365"/>
      <c r="D224" s="1366"/>
      <c r="E224" s="1380"/>
      <c r="F224" s="1381"/>
      <c r="G224" s="1381"/>
      <c r="H224" s="1381"/>
      <c r="I224" s="1381"/>
      <c r="J224" s="1381"/>
      <c r="K224" s="1381"/>
      <c r="L224" s="1382"/>
      <c r="M224" s="1383" t="str">
        <f>IF(AND(ISBLANK(E224),OR(NOT(ISBLANK(E223)),NOT(ISBLANK(E225)),NOT(ISBLANK(E226)),NOT(ISBLANK(I227)),NOT(ISBLANK(#REF!)))),"This information is required.","")</f>
        <v>This information is required.</v>
      </c>
      <c r="N224" s="1384"/>
      <c r="O224" s="1384"/>
      <c r="P224" s="1384"/>
      <c r="Q224" s="349"/>
      <c r="R224" s="2"/>
    </row>
    <row r="225" spans="1:19" ht="26.25" customHeight="1" x14ac:dyDescent="0.25">
      <c r="A225" s="1393" t="s">
        <v>2240</v>
      </c>
      <c r="B225" s="1394"/>
      <c r="C225" s="1394"/>
      <c r="D225" s="1395"/>
      <c r="E225" s="1380"/>
      <c r="F225" s="1381"/>
      <c r="G225" s="1396" t="s">
        <v>2241</v>
      </c>
      <c r="H225" s="1396"/>
      <c r="I225" s="1396"/>
      <c r="J225" s="1396"/>
      <c r="K225" s="1396"/>
      <c r="L225" s="1396"/>
      <c r="M225" s="596" t="str">
        <f>IF(AND(ISBLANK(E225),OR(NOT(ISBLANK(E223)),NOT(ISBLANK(E224)),NOT(ISBLANK(E226)),NOT(ISBLANK(I227)),NOT(ISBLANK(#REF!)))),"This information is required.","")</f>
        <v>This information is required.</v>
      </c>
      <c r="N225" s="597"/>
      <c r="O225" s="597"/>
      <c r="P225" s="597"/>
      <c r="Q225" s="350"/>
      <c r="R225" s="351"/>
    </row>
    <row r="226" spans="1:19" ht="26.25" customHeight="1" x14ac:dyDescent="0.25">
      <c r="A226" s="1364" t="s">
        <v>2242</v>
      </c>
      <c r="B226" s="1365"/>
      <c r="C226" s="1365"/>
      <c r="D226" s="1366"/>
      <c r="E226" s="1367"/>
      <c r="F226" s="1368"/>
      <c r="G226" s="352"/>
      <c r="H226" s="353"/>
      <c r="I226" s="354"/>
      <c r="J226" s="351"/>
      <c r="K226" s="351"/>
      <c r="L226" s="351"/>
      <c r="M226" s="597" t="str">
        <f>IF(AND(ISBLANK(E226),OR(NOT(ISBLANK(E223)),NOT(ISBLANK(E224)),NOT(ISBLANK(E225)),NOT(ISBLANK(I227)),NOT(ISBLANK(#REF!)))),"This information is required.","")</f>
        <v>This information is required.</v>
      </c>
      <c r="N226" s="597"/>
      <c r="O226" s="597"/>
      <c r="P226" s="597"/>
      <c r="Q226" s="350"/>
      <c r="R226" s="5"/>
      <c r="S226" s="312">
        <f>IF(ISBLANK(E226),0,1)</f>
        <v>0</v>
      </c>
    </row>
    <row r="227" spans="1:19" ht="26.25" customHeight="1" thickBot="1" x14ac:dyDescent="0.3">
      <c r="A227" s="1369" t="s">
        <v>2243</v>
      </c>
      <c r="B227" s="1370"/>
      <c r="C227" s="1370"/>
      <c r="D227" s="1370"/>
      <c r="E227" s="1371"/>
      <c r="F227" s="1371"/>
      <c r="G227" s="1371"/>
      <c r="H227" s="1371"/>
      <c r="I227" s="1372"/>
      <c r="J227" s="1373"/>
      <c r="K227" s="1374" t="s">
        <v>2244</v>
      </c>
      <c r="L227" s="1375"/>
      <c r="M227" s="1376" t="str">
        <f>IF(AND(ISBLANK(I227),OR(NOT(ISBLANK(E223)),NOT(ISBLANK(E224)),NOT(ISBLANK(E225)),NOT(ISBLANK(E226)),NOT(ISBLANK(#REF!)))),"This information is required!","")</f>
        <v>This information is required!</v>
      </c>
      <c r="N227" s="1376"/>
      <c r="O227" s="1376"/>
      <c r="P227" s="1376"/>
      <c r="Q227" s="355"/>
      <c r="R227" s="5"/>
    </row>
    <row r="228" spans="1:19" ht="26.25" customHeight="1" x14ac:dyDescent="0.25">
      <c r="A228" s="1292" t="s">
        <v>2245</v>
      </c>
      <c r="B228" s="1293"/>
      <c r="C228" s="1293"/>
      <c r="D228" s="1293"/>
      <c r="E228" s="1293"/>
      <c r="F228" s="1293"/>
      <c r="G228" s="1293"/>
      <c r="H228" s="1293"/>
      <c r="I228" s="1293"/>
      <c r="J228" s="1377"/>
      <c r="K228" s="1378" t="s">
        <v>2246</v>
      </c>
      <c r="L228" s="1378"/>
      <c r="M228" s="1378"/>
      <c r="N228" s="1378"/>
      <c r="O228" s="1353" t="s">
        <v>2247</v>
      </c>
      <c r="P228" s="1353"/>
      <c r="Q228" s="1354"/>
      <c r="R228" s="448"/>
    </row>
    <row r="229" spans="1:19" ht="45" customHeight="1" x14ac:dyDescent="0.25">
      <c r="A229" s="1355"/>
      <c r="B229" s="1356"/>
      <c r="C229" s="1356"/>
      <c r="D229" s="1356"/>
      <c r="E229" s="1356"/>
      <c r="F229" s="1356"/>
      <c r="G229" s="1356"/>
      <c r="H229" s="1356"/>
      <c r="I229" s="1356"/>
      <c r="J229" s="1357"/>
      <c r="K229" s="1379"/>
      <c r="L229" s="1379"/>
      <c r="M229" s="1379"/>
      <c r="N229" s="1379"/>
      <c r="O229" s="358"/>
      <c r="P229" s="359" t="s">
        <v>103</v>
      </c>
      <c r="Q229" s="360" t="s">
        <v>104</v>
      </c>
      <c r="R229" s="448"/>
    </row>
    <row r="230" spans="1:19" ht="26.25" customHeight="1" x14ac:dyDescent="0.25">
      <c r="A230" s="1358"/>
      <c r="B230" s="1359"/>
      <c r="C230" s="1359"/>
      <c r="D230" s="1359"/>
      <c r="E230" s="1359"/>
      <c r="F230" s="1359"/>
      <c r="G230" s="1359"/>
      <c r="H230" s="1359"/>
      <c r="I230" s="1359"/>
      <c r="J230" s="1360"/>
      <c r="K230" s="1336" t="s">
        <v>2248</v>
      </c>
      <c r="L230" s="1337"/>
      <c r="M230" s="1337"/>
      <c r="N230" s="1337"/>
      <c r="O230" s="1338"/>
      <c r="P230" s="443"/>
      <c r="Q230" s="362"/>
      <c r="R230" s="442" t="str">
        <f>IF(COUNTBLANK(P230:Q230)=2,"Please enter response.",IF(COUNTBLANK(P230:Q230)&lt;&gt;1,"Please VERIFY response.",""))</f>
        <v>Please enter response.</v>
      </c>
    </row>
    <row r="231" spans="1:19" ht="26.25" customHeight="1" x14ac:dyDescent="0.25">
      <c r="A231" s="1361" t="s">
        <v>2249</v>
      </c>
      <c r="B231" s="1362"/>
      <c r="C231" s="1362"/>
      <c r="D231" s="1362"/>
      <c r="E231" s="1362"/>
      <c r="F231" s="1362"/>
      <c r="G231" s="1362"/>
      <c r="H231" s="1362"/>
      <c r="I231" s="1362"/>
      <c r="J231" s="1363"/>
      <c r="K231" s="1336" t="s">
        <v>2250</v>
      </c>
      <c r="L231" s="1337"/>
      <c r="M231" s="1337"/>
      <c r="N231" s="1337"/>
      <c r="O231" s="1338"/>
      <c r="P231" s="443"/>
      <c r="Q231" s="362"/>
      <c r="R231" s="442" t="str">
        <f>IF(COUNTBLANK(P231:Q231)=2,"Please enter response.",IF(COUNTBLANK(P231:Q231)&lt;&gt;1,"Please VERIFY response.",""))</f>
        <v>Please enter response.</v>
      </c>
    </row>
    <row r="232" spans="1:19" ht="26.25" customHeight="1" x14ac:dyDescent="0.25">
      <c r="A232" s="1355"/>
      <c r="B232" s="1356"/>
      <c r="C232" s="1356"/>
      <c r="D232" s="1356"/>
      <c r="E232" s="1356"/>
      <c r="F232" s="1356"/>
      <c r="G232" s="1356"/>
      <c r="H232" s="1356"/>
      <c r="I232" s="1356"/>
      <c r="J232" s="1357"/>
      <c r="K232" s="1336" t="s">
        <v>2251</v>
      </c>
      <c r="L232" s="1337"/>
      <c r="M232" s="1337"/>
      <c r="N232" s="1337"/>
      <c r="O232" s="1338"/>
      <c r="P232" s="443"/>
      <c r="Q232" s="362"/>
      <c r="R232" s="442" t="str">
        <f>IF(COUNTBLANK(P232:Q232)=2,"Please enter response.",IF(COUNTBLANK(P232:Q232)&lt;&gt;1,"Please VERIFY response.",""))</f>
        <v>Please enter response.</v>
      </c>
    </row>
    <row r="233" spans="1:19" ht="26.25" customHeight="1" x14ac:dyDescent="0.25">
      <c r="A233" s="1358"/>
      <c r="B233" s="1359"/>
      <c r="C233" s="1359"/>
      <c r="D233" s="1359"/>
      <c r="E233" s="1359"/>
      <c r="F233" s="1359"/>
      <c r="G233" s="1359"/>
      <c r="H233" s="1359"/>
      <c r="I233" s="1359"/>
      <c r="J233" s="1360"/>
      <c r="K233" s="1336" t="s">
        <v>2252</v>
      </c>
      <c r="L233" s="1337"/>
      <c r="M233" s="1337"/>
      <c r="N233" s="1337"/>
      <c r="O233" s="1338"/>
      <c r="P233" s="443"/>
      <c r="Q233" s="362"/>
      <c r="R233" s="442" t="str">
        <f>IF(COUNTBLANK(P233:Q233)=2,"Please enter response.",IF(COUNTBLANK(P233:Q233)&lt;&gt;1,"Please VERIFY response.",""))</f>
        <v>Please enter response.</v>
      </c>
    </row>
    <row r="234" spans="1:19" ht="26.25" customHeight="1" x14ac:dyDescent="0.25">
      <c r="A234" s="1339" t="s">
        <v>2253</v>
      </c>
      <c r="B234" s="1340"/>
      <c r="C234" s="1340"/>
      <c r="D234" s="1340"/>
      <c r="E234" s="1340"/>
      <c r="F234" s="1340"/>
      <c r="G234" s="1340"/>
      <c r="H234" s="1340"/>
      <c r="I234" s="1340"/>
      <c r="J234" s="1340"/>
      <c r="K234" s="1340"/>
      <c r="L234" s="1340"/>
      <c r="M234" s="1340"/>
      <c r="N234" s="1340"/>
      <c r="O234" s="1340"/>
      <c r="P234" s="1340"/>
      <c r="Q234" s="1341"/>
      <c r="R234" s="363"/>
    </row>
    <row r="235" spans="1:19" ht="26.25" customHeight="1" x14ac:dyDescent="0.25">
      <c r="A235" s="1342" t="s">
        <v>2254</v>
      </c>
      <c r="B235" s="1343"/>
      <c r="C235" s="1343"/>
      <c r="D235" s="1343"/>
      <c r="E235" s="1343" t="s">
        <v>2255</v>
      </c>
      <c r="F235" s="1343"/>
      <c r="G235" s="1343"/>
      <c r="H235" s="1343"/>
      <c r="I235" s="1343" t="s">
        <v>2256</v>
      </c>
      <c r="J235" s="1343"/>
      <c r="K235" s="1343"/>
      <c r="L235" s="1343"/>
      <c r="M235" s="1344" t="s">
        <v>2257</v>
      </c>
      <c r="N235" s="1343"/>
      <c r="O235" s="1343"/>
      <c r="P235" s="1343"/>
      <c r="Q235" s="1345"/>
      <c r="R235" s="364"/>
    </row>
    <row r="236" spans="1:19" ht="26.25" customHeight="1" thickBot="1" x14ac:dyDescent="0.3">
      <c r="A236" s="1346"/>
      <c r="B236" s="1347"/>
      <c r="C236" s="1347"/>
      <c r="D236" s="1347"/>
      <c r="E236" s="1348"/>
      <c r="F236" s="1349"/>
      <c r="G236" s="1349"/>
      <c r="H236" s="1350"/>
      <c r="I236" s="1348"/>
      <c r="J236" s="1349"/>
      <c r="K236" s="1349"/>
      <c r="L236" s="1350"/>
      <c r="M236" s="1351"/>
      <c r="N236" s="1351"/>
      <c r="O236" s="1351"/>
      <c r="P236" s="1351"/>
      <c r="Q236" s="1352"/>
      <c r="R236" s="363"/>
    </row>
    <row r="237" spans="1:19" ht="26.25" customHeight="1" x14ac:dyDescent="0.25">
      <c r="A237" s="1325" t="s">
        <v>2258</v>
      </c>
      <c r="B237" s="1326"/>
      <c r="C237" s="1326"/>
      <c r="D237" s="1326"/>
      <c r="E237" s="1326"/>
      <c r="F237" s="1326"/>
      <c r="G237" s="1326"/>
      <c r="H237" s="1326"/>
      <c r="I237" s="1326"/>
      <c r="J237" s="1326"/>
      <c r="K237" s="1326"/>
      <c r="L237" s="1326"/>
      <c r="M237" s="1326"/>
      <c r="N237" s="1326"/>
      <c r="O237" s="1326"/>
      <c r="P237" s="1326"/>
      <c r="Q237" s="1327"/>
      <c r="R237" s="445"/>
    </row>
    <row r="238" spans="1:19" ht="26.25" customHeight="1" x14ac:dyDescent="0.25">
      <c r="A238" s="1297" t="s">
        <v>2259</v>
      </c>
      <c r="B238" s="1328"/>
      <c r="C238" s="1328"/>
      <c r="D238" s="1328"/>
      <c r="E238" s="1328"/>
      <c r="F238" s="1328"/>
      <c r="G238" s="1328"/>
      <c r="H238" s="1328"/>
      <c r="I238" s="1328"/>
      <c r="J238" s="1328"/>
      <c r="K238" s="1328"/>
      <c r="L238" s="1329"/>
      <c r="M238" s="1322"/>
      <c r="N238" s="1323"/>
      <c r="O238" s="1323"/>
      <c r="P238" s="1323"/>
      <c r="Q238" s="1324"/>
      <c r="R238" s="445"/>
    </row>
    <row r="239" spans="1:19" ht="26.25" customHeight="1" x14ac:dyDescent="0.25">
      <c r="A239" s="1297" t="s">
        <v>2260</v>
      </c>
      <c r="B239" s="1298"/>
      <c r="C239" s="1298"/>
      <c r="D239" s="1298"/>
      <c r="E239" s="1298"/>
      <c r="F239" s="1298"/>
      <c r="G239" s="1298"/>
      <c r="H239" s="1298"/>
      <c r="I239" s="1298"/>
      <c r="J239" s="1298"/>
      <c r="K239" s="1298"/>
      <c r="L239" s="1298"/>
      <c r="M239" s="1299"/>
      <c r="N239" s="1300"/>
      <c r="O239" s="1300"/>
      <c r="P239" s="1300"/>
      <c r="Q239" s="1301"/>
      <c r="R239" s="445"/>
    </row>
    <row r="240" spans="1:19" ht="26.25" customHeight="1" x14ac:dyDescent="0.25">
      <c r="A240" s="1297" t="s">
        <v>2261</v>
      </c>
      <c r="B240" s="1298"/>
      <c r="C240" s="1298"/>
      <c r="D240" s="1298"/>
      <c r="E240" s="1298"/>
      <c r="F240" s="1298"/>
      <c r="G240" s="1298"/>
      <c r="H240" s="1298"/>
      <c r="I240" s="1298"/>
      <c r="J240" s="1298"/>
      <c r="K240" s="1298"/>
      <c r="L240" s="1298"/>
      <c r="M240" s="1299"/>
      <c r="N240" s="1300"/>
      <c r="O240" s="1300"/>
      <c r="P240" s="1300"/>
      <c r="Q240" s="1301"/>
      <c r="R240" s="445"/>
    </row>
    <row r="241" spans="1:18" ht="26.25" customHeight="1" x14ac:dyDescent="0.25">
      <c r="A241" s="1302" t="s">
        <v>2262</v>
      </c>
      <c r="B241" s="1303"/>
      <c r="C241" s="1303"/>
      <c r="D241" s="1303"/>
      <c r="E241" s="1303"/>
      <c r="F241" s="1303"/>
      <c r="G241" s="1303"/>
      <c r="H241" s="1303"/>
      <c r="I241" s="1303"/>
      <c r="J241" s="1303"/>
      <c r="K241" s="1303"/>
      <c r="L241" s="1303"/>
      <c r="M241" s="1303"/>
      <c r="N241" s="1303"/>
      <c r="O241" s="1303"/>
      <c r="P241" s="1303"/>
      <c r="Q241" s="1304"/>
      <c r="R241" s="445"/>
    </row>
    <row r="242" spans="1:18" ht="26.25" customHeight="1" x14ac:dyDescent="0.25">
      <c r="A242" s="1286"/>
      <c r="B242" s="1287"/>
      <c r="C242" s="1287"/>
      <c r="D242" s="1287"/>
      <c r="E242" s="1287"/>
      <c r="F242" s="1287"/>
      <c r="G242" s="1287"/>
      <c r="H242" s="1287"/>
      <c r="I242" s="1287"/>
      <c r="J242" s="1287"/>
      <c r="K242" s="1287"/>
      <c r="L242" s="1287"/>
      <c r="M242" s="1287"/>
      <c r="N242" s="1287"/>
      <c r="O242" s="1287"/>
      <c r="P242" s="1287"/>
      <c r="Q242" s="1288"/>
      <c r="R242" s="445"/>
    </row>
    <row r="243" spans="1:18" ht="26.25" customHeight="1" x14ac:dyDescent="0.25">
      <c r="A243" s="1305"/>
      <c r="B243" s="1306"/>
      <c r="C243" s="1306"/>
      <c r="D243" s="1306"/>
      <c r="E243" s="1306"/>
      <c r="F243" s="1306"/>
      <c r="G243" s="1306"/>
      <c r="H243" s="1306"/>
      <c r="I243" s="1306"/>
      <c r="J243" s="1306"/>
      <c r="K243" s="1306"/>
      <c r="L243" s="1306"/>
      <c r="M243" s="1306"/>
      <c r="N243" s="1306"/>
      <c r="O243" s="1306"/>
      <c r="P243" s="1306"/>
      <c r="Q243" s="1307"/>
      <c r="R243" s="445"/>
    </row>
    <row r="244" spans="1:18" ht="26.25" customHeight="1" x14ac:dyDescent="0.25">
      <c r="A244" s="1308" t="s">
        <v>2263</v>
      </c>
      <c r="B244" s="1309"/>
      <c r="C244" s="1309"/>
      <c r="D244" s="1309"/>
      <c r="E244" s="1309"/>
      <c r="F244" s="1309"/>
      <c r="G244" s="1309"/>
      <c r="H244" s="1309"/>
      <c r="I244" s="1309"/>
      <c r="J244" s="1309"/>
      <c r="K244" s="1309"/>
      <c r="L244" s="1309"/>
      <c r="M244" s="1309"/>
      <c r="N244" s="1309"/>
      <c r="O244" s="1309"/>
      <c r="P244" s="1309"/>
      <c r="Q244" s="1310"/>
      <c r="R244" s="445"/>
    </row>
    <row r="245" spans="1:18" ht="26.25" customHeight="1" x14ac:dyDescent="0.25">
      <c r="A245" s="1286"/>
      <c r="B245" s="1311"/>
      <c r="C245" s="1311"/>
      <c r="D245" s="1311"/>
      <c r="E245" s="1311"/>
      <c r="F245" s="1311"/>
      <c r="G245" s="1311"/>
      <c r="H245" s="1311"/>
      <c r="I245" s="1311"/>
      <c r="J245" s="1311"/>
      <c r="K245" s="1311"/>
      <c r="L245" s="1311"/>
      <c r="M245" s="1311"/>
      <c r="N245" s="1311"/>
      <c r="O245" s="1311"/>
      <c r="P245" s="1311"/>
      <c r="Q245" s="1312"/>
      <c r="R245" s="445"/>
    </row>
    <row r="246" spans="1:18" ht="26.25" customHeight="1" thickBot="1" x14ac:dyDescent="0.3">
      <c r="A246" s="1313"/>
      <c r="B246" s="1314"/>
      <c r="C246" s="1314"/>
      <c r="D246" s="1314"/>
      <c r="E246" s="1314"/>
      <c r="F246" s="1314"/>
      <c r="G246" s="1314"/>
      <c r="H246" s="1314"/>
      <c r="I246" s="1314"/>
      <c r="J246" s="1314"/>
      <c r="K246" s="1314"/>
      <c r="L246" s="1314"/>
      <c r="M246" s="1314"/>
      <c r="N246" s="1314"/>
      <c r="O246" s="1314"/>
      <c r="P246" s="1314"/>
      <c r="Q246" s="1315"/>
      <c r="R246" s="444"/>
    </row>
    <row r="247" spans="1:18" ht="26.25" customHeight="1" x14ac:dyDescent="0.25">
      <c r="A247" s="1316" t="s">
        <v>2264</v>
      </c>
      <c r="B247" s="1317"/>
      <c r="C247" s="1317"/>
      <c r="D247" s="1317"/>
      <c r="E247" s="1317"/>
      <c r="F247" s="1317"/>
      <c r="G247" s="1317"/>
      <c r="H247" s="1317"/>
      <c r="I247" s="1317"/>
      <c r="J247" s="1317"/>
      <c r="K247" s="1317"/>
      <c r="L247" s="1317"/>
      <c r="M247" s="1317"/>
      <c r="N247" s="1317"/>
      <c r="O247" s="1317"/>
      <c r="P247" s="1317"/>
      <c r="Q247" s="1318"/>
      <c r="R247" s="445"/>
    </row>
    <row r="248" spans="1:18" ht="26.25" customHeight="1" x14ac:dyDescent="0.25">
      <c r="A248" s="1319" t="s">
        <v>2265</v>
      </c>
      <c r="B248" s="1320"/>
      <c r="C248" s="1320"/>
      <c r="D248" s="1320"/>
      <c r="E248" s="1320"/>
      <c r="F248" s="1320"/>
      <c r="G248" s="1320"/>
      <c r="H248" s="1320"/>
      <c r="I248" s="1320"/>
      <c r="J248" s="1320"/>
      <c r="K248" s="1320"/>
      <c r="L248" s="1321"/>
      <c r="M248" s="1322"/>
      <c r="N248" s="1323"/>
      <c r="O248" s="1323"/>
      <c r="P248" s="1323"/>
      <c r="Q248" s="1324"/>
      <c r="R248" s="444"/>
    </row>
    <row r="249" spans="1:18" ht="26.25" customHeight="1" x14ac:dyDescent="0.25">
      <c r="A249" s="1297" t="s">
        <v>2266</v>
      </c>
      <c r="B249" s="1328"/>
      <c r="C249" s="1328"/>
      <c r="D249" s="1328"/>
      <c r="E249" s="1328"/>
      <c r="F249" s="1328"/>
      <c r="G249" s="1328"/>
      <c r="H249" s="1328"/>
      <c r="I249" s="1328"/>
      <c r="J249" s="1328"/>
      <c r="K249" s="1328"/>
      <c r="L249" s="1329"/>
      <c r="M249" s="1299"/>
      <c r="N249" s="1300"/>
      <c r="O249" s="1300"/>
      <c r="P249" s="1300"/>
      <c r="Q249" s="1301"/>
      <c r="R249" s="444"/>
    </row>
    <row r="250" spans="1:18" ht="26.25" customHeight="1" x14ac:dyDescent="0.25">
      <c r="A250" s="1330" t="s">
        <v>2267</v>
      </c>
      <c r="B250" s="1331"/>
      <c r="C250" s="1331"/>
      <c r="D250" s="1331"/>
      <c r="E250" s="1331"/>
      <c r="F250" s="1331"/>
      <c r="G250" s="1331"/>
      <c r="H250" s="1331"/>
      <c r="I250" s="1331"/>
      <c r="J250" s="1331"/>
      <c r="K250" s="1331"/>
      <c r="L250" s="1331"/>
      <c r="M250" s="1331"/>
      <c r="N250" s="1331"/>
      <c r="O250" s="1331"/>
      <c r="P250" s="1331"/>
      <c r="Q250" s="1332"/>
      <c r="R250" s="444"/>
    </row>
    <row r="251" spans="1:18" ht="26.25" customHeight="1" x14ac:dyDescent="0.25">
      <c r="A251" s="1286"/>
      <c r="B251" s="1287"/>
      <c r="C251" s="1287"/>
      <c r="D251" s="1287"/>
      <c r="E251" s="1287"/>
      <c r="F251" s="1287"/>
      <c r="G251" s="1287"/>
      <c r="H251" s="1287"/>
      <c r="I251" s="1287"/>
      <c r="J251" s="1287"/>
      <c r="K251" s="1287"/>
      <c r="L251" s="1287"/>
      <c r="M251" s="1287"/>
      <c r="N251" s="1287"/>
      <c r="O251" s="1287"/>
      <c r="P251" s="1287"/>
      <c r="Q251" s="1296"/>
      <c r="R251" s="444"/>
    </row>
    <row r="252" spans="1:18" ht="26.25" customHeight="1" x14ac:dyDescent="0.25">
      <c r="A252" s="1333"/>
      <c r="B252" s="1334"/>
      <c r="C252" s="1334"/>
      <c r="D252" s="1334"/>
      <c r="E252" s="1334"/>
      <c r="F252" s="1334"/>
      <c r="G252" s="1334"/>
      <c r="H252" s="1334"/>
      <c r="I252" s="1334"/>
      <c r="J252" s="1334"/>
      <c r="K252" s="1334"/>
      <c r="L252" s="1334"/>
      <c r="M252" s="1334"/>
      <c r="N252" s="1334"/>
      <c r="O252" s="1334"/>
      <c r="P252" s="1334"/>
      <c r="Q252" s="1335"/>
      <c r="R252" s="444"/>
    </row>
    <row r="253" spans="1:18" ht="26.25" customHeight="1" x14ac:dyDescent="0.25">
      <c r="A253" s="1283" t="s">
        <v>2268</v>
      </c>
      <c r="B253" s="1284"/>
      <c r="C253" s="1284"/>
      <c r="D253" s="1284"/>
      <c r="E253" s="1284"/>
      <c r="F253" s="1284"/>
      <c r="G253" s="1284"/>
      <c r="H253" s="1284"/>
      <c r="I253" s="1284"/>
      <c r="J253" s="1284"/>
      <c r="K253" s="1284"/>
      <c r="L253" s="1284"/>
      <c r="M253" s="1284"/>
      <c r="N253" s="1284"/>
      <c r="O253" s="1284"/>
      <c r="P253" s="1284"/>
      <c r="Q253" s="1285"/>
      <c r="R253" s="444"/>
    </row>
    <row r="254" spans="1:18" ht="26.25" customHeight="1" x14ac:dyDescent="0.25">
      <c r="A254" s="1286"/>
      <c r="B254" s="1287"/>
      <c r="C254" s="1287"/>
      <c r="D254" s="1287"/>
      <c r="E254" s="1287"/>
      <c r="F254" s="1287"/>
      <c r="G254" s="1287"/>
      <c r="H254" s="1287"/>
      <c r="I254" s="1287"/>
      <c r="J254" s="1287"/>
      <c r="K254" s="1287"/>
      <c r="L254" s="1287"/>
      <c r="M254" s="1287"/>
      <c r="N254" s="1287"/>
      <c r="O254" s="1287"/>
      <c r="P254" s="1287"/>
      <c r="Q254" s="1288"/>
      <c r="R254" s="444"/>
    </row>
    <row r="255" spans="1:18" ht="26.25" customHeight="1" thickBot="1" x14ac:dyDescent="0.3">
      <c r="A255" s="1289"/>
      <c r="B255" s="1290"/>
      <c r="C255" s="1290"/>
      <c r="D255" s="1290"/>
      <c r="E255" s="1290"/>
      <c r="F255" s="1290"/>
      <c r="G255" s="1290"/>
      <c r="H255" s="1290"/>
      <c r="I255" s="1290"/>
      <c r="J255" s="1290"/>
      <c r="K255" s="1290"/>
      <c r="L255" s="1290"/>
      <c r="M255" s="1290"/>
      <c r="N255" s="1290"/>
      <c r="O255" s="1290"/>
      <c r="P255" s="1290"/>
      <c r="Q255" s="1291"/>
      <c r="R255" s="444"/>
    </row>
    <row r="256" spans="1:18" ht="26.25" customHeight="1" x14ac:dyDescent="0.25">
      <c r="A256" s="1292" t="s">
        <v>2269</v>
      </c>
      <c r="B256" s="1293"/>
      <c r="C256" s="1293"/>
      <c r="D256" s="1293"/>
      <c r="E256" s="1293"/>
      <c r="F256" s="1293"/>
      <c r="G256" s="1293"/>
      <c r="H256" s="1293"/>
      <c r="I256" s="1293"/>
      <c r="J256" s="1293"/>
      <c r="K256" s="1293"/>
      <c r="L256" s="1293"/>
      <c r="M256" s="1293"/>
      <c r="N256" s="1293"/>
      <c r="O256" s="1293"/>
      <c r="P256" s="1293"/>
      <c r="Q256" s="1294"/>
    </row>
    <row r="257" spans="1:19" ht="26.25" customHeight="1" x14ac:dyDescent="0.25">
      <c r="A257" s="1295"/>
      <c r="B257" s="1287"/>
      <c r="C257" s="1287"/>
      <c r="D257" s="1287"/>
      <c r="E257" s="1287"/>
      <c r="F257" s="1287"/>
      <c r="G257" s="1287"/>
      <c r="H257" s="1287"/>
      <c r="I257" s="1287"/>
      <c r="J257" s="1287"/>
      <c r="K257" s="1287"/>
      <c r="L257" s="1287"/>
      <c r="M257" s="1287"/>
      <c r="N257" s="1287"/>
      <c r="O257" s="1287"/>
      <c r="P257" s="1287"/>
      <c r="Q257" s="1296"/>
    </row>
    <row r="258" spans="1:19" ht="26.25" customHeight="1" thickBot="1" x14ac:dyDescent="0.3">
      <c r="A258" s="1289"/>
      <c r="B258" s="1290"/>
      <c r="C258" s="1290"/>
      <c r="D258" s="1290"/>
      <c r="E258" s="1290"/>
      <c r="F258" s="1290"/>
      <c r="G258" s="1290"/>
      <c r="H258" s="1290"/>
      <c r="I258" s="1290"/>
      <c r="J258" s="1290"/>
      <c r="K258" s="1290"/>
      <c r="L258" s="1290"/>
      <c r="M258" s="1290"/>
      <c r="N258" s="1290"/>
      <c r="O258" s="1290"/>
      <c r="P258" s="1290"/>
      <c r="Q258" s="1291"/>
      <c r="R258" s="368"/>
    </row>
    <row r="259" spans="1:19" ht="26.25" customHeight="1" x14ac:dyDescent="0.25">
      <c r="A259" s="1316" t="s">
        <v>2270</v>
      </c>
      <c r="B259" s="1317"/>
      <c r="C259" s="1317"/>
      <c r="D259" s="1317"/>
      <c r="E259" s="1317"/>
      <c r="F259" s="1317"/>
      <c r="G259" s="1317"/>
      <c r="H259" s="1317"/>
      <c r="I259" s="1317"/>
      <c r="J259" s="1317"/>
      <c r="K259" s="1317"/>
      <c r="L259" s="1317"/>
      <c r="M259" s="1317"/>
      <c r="N259" s="1317"/>
      <c r="O259" s="1317"/>
      <c r="P259" s="1317"/>
      <c r="Q259" s="1318"/>
      <c r="R259" s="369"/>
    </row>
    <row r="260" spans="1:19" ht="26.25" customHeight="1" x14ac:dyDescent="0.25">
      <c r="A260" s="1355"/>
      <c r="B260" s="1356"/>
      <c r="C260" s="1356"/>
      <c r="D260" s="1356"/>
      <c r="E260" s="1356"/>
      <c r="F260" s="1356"/>
      <c r="G260" s="1356"/>
      <c r="H260" s="1356"/>
      <c r="I260" s="1356"/>
      <c r="J260" s="1356"/>
      <c r="K260" s="1356"/>
      <c r="L260" s="1356"/>
      <c r="M260" s="1356"/>
      <c r="N260" s="1356"/>
      <c r="O260" s="1356"/>
      <c r="P260" s="1356"/>
      <c r="Q260" s="1400"/>
      <c r="R260" s="22"/>
    </row>
    <row r="261" spans="1:19" ht="26.25" customHeight="1" thickBot="1" x14ac:dyDescent="0.3">
      <c r="A261" s="1313"/>
      <c r="B261" s="1314"/>
      <c r="C261" s="1314"/>
      <c r="D261" s="1314"/>
      <c r="E261" s="1314"/>
      <c r="F261" s="1314"/>
      <c r="G261" s="1314"/>
      <c r="H261" s="1314"/>
      <c r="I261" s="1314"/>
      <c r="J261" s="1314"/>
      <c r="K261" s="1314"/>
      <c r="L261" s="1314"/>
      <c r="M261" s="1314"/>
      <c r="N261" s="1314"/>
      <c r="O261" s="1314"/>
      <c r="P261" s="1314"/>
      <c r="Q261" s="1315"/>
      <c r="R261" s="22"/>
    </row>
    <row r="262" spans="1:19" ht="26.25" customHeight="1" x14ac:dyDescent="0.25">
      <c r="A262" s="464" t="e">
        <f>$A$1</f>
        <v>#N/A</v>
      </c>
      <c r="B262" s="444"/>
      <c r="C262" s="444"/>
      <c r="D262" s="444"/>
      <c r="E262" s="444"/>
      <c r="F262" s="444"/>
      <c r="G262" s="444"/>
      <c r="H262" s="444"/>
      <c r="I262" s="444"/>
      <c r="J262" s="444"/>
      <c r="K262" s="444"/>
      <c r="L262" s="444"/>
      <c r="M262" s="444"/>
      <c r="N262" s="444"/>
      <c r="O262" s="444"/>
      <c r="P262" s="444"/>
      <c r="Q262" s="444"/>
      <c r="R262" s="366"/>
    </row>
    <row r="263" spans="1:19" ht="26.25" customHeight="1" x14ac:dyDescent="0.25">
      <c r="A263" s="1401" t="s">
        <v>1660</v>
      </c>
      <c r="B263" s="1402"/>
      <c r="C263" s="1402"/>
      <c r="D263" s="1402"/>
      <c r="E263" s="1402"/>
      <c r="F263" s="1402"/>
      <c r="G263" s="1402"/>
      <c r="H263" s="1402"/>
      <c r="I263" s="1402"/>
      <c r="J263" s="1402"/>
      <c r="K263" s="1402"/>
      <c r="L263" s="1402"/>
      <c r="M263" s="1402"/>
      <c r="N263" s="1403" t="s">
        <v>3626</v>
      </c>
      <c r="O263" s="1403"/>
      <c r="P263" s="1403"/>
      <c r="Q263" s="1404"/>
      <c r="R263" s="447"/>
    </row>
    <row r="264" spans="1:19" ht="26.25" customHeight="1" x14ac:dyDescent="0.25">
      <c r="A264" s="1405" t="str">
        <f>IF(ISBLANK(Cap_Expend_Name),"The Capital Expenditure Contact information has NOT been provided.  Click here to go to Capital Expenditure Contact Section to fill in this information now.","")</f>
        <v/>
      </c>
      <c r="B264" s="1406"/>
      <c r="C264" s="1406"/>
      <c r="D264" s="1406"/>
      <c r="E264" s="1406"/>
      <c r="F264" s="1406"/>
      <c r="G264" s="1406"/>
      <c r="H264" s="1406"/>
      <c r="I264" s="1406"/>
      <c r="J264" s="1406"/>
      <c r="K264" s="1406"/>
      <c r="L264" s="1406"/>
      <c r="M264" s="1406"/>
      <c r="N264" s="462" t="s">
        <v>2236</v>
      </c>
      <c r="O264" s="463"/>
      <c r="P264" s="1407"/>
      <c r="Q264" s="1408"/>
      <c r="R264" s="2"/>
    </row>
    <row r="265" spans="1:19" ht="26.25" customHeight="1" thickBot="1" x14ac:dyDescent="0.3">
      <c r="A265" s="1385" t="s">
        <v>1605</v>
      </c>
      <c r="B265" s="1386"/>
      <c r="C265" s="1386"/>
      <c r="D265" s="1386"/>
      <c r="E265" s="1387"/>
      <c r="F265" s="1388"/>
      <c r="G265" s="1388"/>
      <c r="H265" s="1388"/>
      <c r="I265" s="1388"/>
      <c r="J265" s="1388"/>
      <c r="K265" s="1388"/>
      <c r="L265" s="1389"/>
      <c r="M265" s="348"/>
      <c r="N265" s="1390" t="s">
        <v>2237</v>
      </c>
      <c r="O265" s="1391"/>
      <c r="P265" s="1391"/>
      <c r="Q265" s="1392"/>
      <c r="R265" s="2"/>
    </row>
    <row r="266" spans="1:19" ht="26.25" customHeight="1" x14ac:dyDescent="0.25">
      <c r="A266" s="1397" t="s">
        <v>2238</v>
      </c>
      <c r="B266" s="1398"/>
      <c r="C266" s="1398"/>
      <c r="D266" s="1399"/>
      <c r="E266" s="1380"/>
      <c r="F266" s="1381"/>
      <c r="G266" s="1381"/>
      <c r="H266" s="1381"/>
      <c r="I266" s="1381"/>
      <c r="J266" s="1381"/>
      <c r="K266" s="1381"/>
      <c r="L266" s="1382"/>
      <c r="M266" s="1383" t="str">
        <f>IF(AND(ISBLANK(E266),OR(NOT(ISBLANK(E267)),NOT(ISBLANK(E268)),NOT(ISBLANK(E269)),NOT(ISBLANK(I270)),NOT(ISBLANK(#REF!)))),"This information is required.","")</f>
        <v>This information is required.</v>
      </c>
      <c r="N266" s="1384"/>
      <c r="O266" s="1384"/>
      <c r="P266" s="1384"/>
      <c r="Q266" s="349"/>
      <c r="R266" s="2"/>
    </row>
    <row r="267" spans="1:19" ht="26.25" customHeight="1" x14ac:dyDescent="0.25">
      <c r="A267" s="1364" t="s">
        <v>2239</v>
      </c>
      <c r="B267" s="1365"/>
      <c r="C267" s="1365"/>
      <c r="D267" s="1366"/>
      <c r="E267" s="1380"/>
      <c r="F267" s="1381"/>
      <c r="G267" s="1381"/>
      <c r="H267" s="1381"/>
      <c r="I267" s="1381"/>
      <c r="J267" s="1381"/>
      <c r="K267" s="1381"/>
      <c r="L267" s="1382"/>
      <c r="M267" s="1383" t="str">
        <f>IF(AND(ISBLANK(E267),OR(NOT(ISBLANK(E266)),NOT(ISBLANK(E268)),NOT(ISBLANK(E269)),NOT(ISBLANK(I270)),NOT(ISBLANK(#REF!)))),"This information is required.","")</f>
        <v>This information is required.</v>
      </c>
      <c r="N267" s="1384"/>
      <c r="O267" s="1384"/>
      <c r="P267" s="1384"/>
      <c r="Q267" s="349"/>
      <c r="R267" s="2"/>
    </row>
    <row r="268" spans="1:19" ht="26.25" customHeight="1" x14ac:dyDescent="0.25">
      <c r="A268" s="1393" t="s">
        <v>2240</v>
      </c>
      <c r="B268" s="1394"/>
      <c r="C268" s="1394"/>
      <c r="D268" s="1395"/>
      <c r="E268" s="1380"/>
      <c r="F268" s="1381"/>
      <c r="G268" s="1396" t="s">
        <v>2241</v>
      </c>
      <c r="H268" s="1396"/>
      <c r="I268" s="1396"/>
      <c r="J268" s="1396"/>
      <c r="K268" s="1396"/>
      <c r="L268" s="1396"/>
      <c r="M268" s="596" t="str">
        <f>IF(AND(ISBLANK(E268),OR(NOT(ISBLANK(E266)),NOT(ISBLANK(E267)),NOT(ISBLANK(E269)),NOT(ISBLANK(I270)),NOT(ISBLANK(#REF!)))),"This information is required.","")</f>
        <v>This information is required.</v>
      </c>
      <c r="N268" s="597"/>
      <c r="O268" s="597"/>
      <c r="P268" s="597"/>
      <c r="Q268" s="350"/>
      <c r="R268" s="351"/>
    </row>
    <row r="269" spans="1:19" ht="26.25" customHeight="1" x14ac:dyDescent="0.25">
      <c r="A269" s="1364" t="s">
        <v>2242</v>
      </c>
      <c r="B269" s="1365"/>
      <c r="C269" s="1365"/>
      <c r="D269" s="1366"/>
      <c r="E269" s="1367"/>
      <c r="F269" s="1368"/>
      <c r="G269" s="352"/>
      <c r="H269" s="353"/>
      <c r="I269" s="354"/>
      <c r="J269" s="351"/>
      <c r="K269" s="351"/>
      <c r="L269" s="351"/>
      <c r="M269" s="597" t="str">
        <f>IF(AND(ISBLANK(E269),OR(NOT(ISBLANK(E266)),NOT(ISBLANK(E267)),NOT(ISBLANK(E268)),NOT(ISBLANK(I270)),NOT(ISBLANK(#REF!)))),"This information is required.","")</f>
        <v>This information is required.</v>
      </c>
      <c r="N269" s="597"/>
      <c r="O269" s="597"/>
      <c r="P269" s="597"/>
      <c r="Q269" s="350"/>
      <c r="R269" s="5"/>
      <c r="S269" s="312">
        <f>IF(ISBLANK(E269),0,1)</f>
        <v>0</v>
      </c>
    </row>
    <row r="270" spans="1:19" ht="26.25" customHeight="1" thickBot="1" x14ac:dyDescent="0.3">
      <c r="A270" s="1369" t="s">
        <v>2243</v>
      </c>
      <c r="B270" s="1370"/>
      <c r="C270" s="1370"/>
      <c r="D270" s="1370"/>
      <c r="E270" s="1371"/>
      <c r="F270" s="1371"/>
      <c r="G270" s="1371"/>
      <c r="H270" s="1371"/>
      <c r="I270" s="1372"/>
      <c r="J270" s="1373"/>
      <c r="K270" s="1374" t="s">
        <v>2244</v>
      </c>
      <c r="L270" s="1375"/>
      <c r="M270" s="1376" t="str">
        <f>IF(AND(ISBLANK(I270),OR(NOT(ISBLANK(E266)),NOT(ISBLANK(E267)),NOT(ISBLANK(E268)),NOT(ISBLANK(E269)),NOT(ISBLANK(#REF!)))),"This information is required!","")</f>
        <v>This information is required!</v>
      </c>
      <c r="N270" s="1376"/>
      <c r="O270" s="1376"/>
      <c r="P270" s="1376"/>
      <c r="Q270" s="355"/>
      <c r="R270" s="5"/>
    </row>
    <row r="271" spans="1:19" ht="26.25" customHeight="1" x14ac:dyDescent="0.25">
      <c r="A271" s="1292" t="s">
        <v>2245</v>
      </c>
      <c r="B271" s="1293"/>
      <c r="C271" s="1293"/>
      <c r="D271" s="1293"/>
      <c r="E271" s="1293"/>
      <c r="F271" s="1293"/>
      <c r="G271" s="1293"/>
      <c r="H271" s="1293"/>
      <c r="I271" s="1293"/>
      <c r="J271" s="1377"/>
      <c r="K271" s="1378" t="s">
        <v>2246</v>
      </c>
      <c r="L271" s="1378"/>
      <c r="M271" s="1378"/>
      <c r="N271" s="1378"/>
      <c r="O271" s="1353" t="s">
        <v>2247</v>
      </c>
      <c r="P271" s="1353"/>
      <c r="Q271" s="1354"/>
      <c r="R271" s="448"/>
    </row>
    <row r="272" spans="1:19" ht="45" customHeight="1" x14ac:dyDescent="0.25">
      <c r="A272" s="1355"/>
      <c r="B272" s="1356"/>
      <c r="C272" s="1356"/>
      <c r="D272" s="1356"/>
      <c r="E272" s="1356"/>
      <c r="F272" s="1356"/>
      <c r="G272" s="1356"/>
      <c r="H272" s="1356"/>
      <c r="I272" s="1356"/>
      <c r="J272" s="1357"/>
      <c r="K272" s="1379"/>
      <c r="L272" s="1379"/>
      <c r="M272" s="1379"/>
      <c r="N272" s="1379"/>
      <c r="O272" s="358"/>
      <c r="P272" s="359" t="s">
        <v>103</v>
      </c>
      <c r="Q272" s="360" t="s">
        <v>104</v>
      </c>
      <c r="R272" s="448"/>
    </row>
    <row r="273" spans="1:18" ht="26.25" customHeight="1" x14ac:dyDescent="0.25">
      <c r="A273" s="1358"/>
      <c r="B273" s="1359"/>
      <c r="C273" s="1359"/>
      <c r="D273" s="1359"/>
      <c r="E273" s="1359"/>
      <c r="F273" s="1359"/>
      <c r="G273" s="1359"/>
      <c r="H273" s="1359"/>
      <c r="I273" s="1359"/>
      <c r="J273" s="1360"/>
      <c r="K273" s="1336" t="s">
        <v>2248</v>
      </c>
      <c r="L273" s="1337"/>
      <c r="M273" s="1337"/>
      <c r="N273" s="1337"/>
      <c r="O273" s="1338"/>
      <c r="P273" s="443"/>
      <c r="Q273" s="362"/>
      <c r="R273" s="442" t="str">
        <f>IF(COUNTBLANK(P273:Q273)=2,"Please enter response.",IF(COUNTBLANK(P273:Q273)&lt;&gt;1,"Please VERIFY response.",""))</f>
        <v>Please enter response.</v>
      </c>
    </row>
    <row r="274" spans="1:18" ht="26.25" customHeight="1" x14ac:dyDescent="0.25">
      <c r="A274" s="1361" t="s">
        <v>2249</v>
      </c>
      <c r="B274" s="1362"/>
      <c r="C274" s="1362"/>
      <c r="D274" s="1362"/>
      <c r="E274" s="1362"/>
      <c r="F274" s="1362"/>
      <c r="G274" s="1362"/>
      <c r="H274" s="1362"/>
      <c r="I274" s="1362"/>
      <c r="J274" s="1363"/>
      <c r="K274" s="1336" t="s">
        <v>2250</v>
      </c>
      <c r="L274" s="1337"/>
      <c r="M274" s="1337"/>
      <c r="N274" s="1337"/>
      <c r="O274" s="1338"/>
      <c r="P274" s="443"/>
      <c r="Q274" s="362"/>
      <c r="R274" s="442" t="str">
        <f>IF(COUNTBLANK(P274:Q274)=2,"Please enter response.",IF(COUNTBLANK(P274:Q274)&lt;&gt;1,"Please VERIFY response.",""))</f>
        <v>Please enter response.</v>
      </c>
    </row>
    <row r="275" spans="1:18" ht="26.25" customHeight="1" x14ac:dyDescent="0.25">
      <c r="A275" s="1355"/>
      <c r="B275" s="1356"/>
      <c r="C275" s="1356"/>
      <c r="D275" s="1356"/>
      <c r="E275" s="1356"/>
      <c r="F275" s="1356"/>
      <c r="G275" s="1356"/>
      <c r="H275" s="1356"/>
      <c r="I275" s="1356"/>
      <c r="J275" s="1357"/>
      <c r="K275" s="1336" t="s">
        <v>2251</v>
      </c>
      <c r="L275" s="1337"/>
      <c r="M275" s="1337"/>
      <c r="N275" s="1337"/>
      <c r="O275" s="1338"/>
      <c r="P275" s="443"/>
      <c r="Q275" s="362"/>
      <c r="R275" s="442" t="str">
        <f>IF(COUNTBLANK(P275:Q275)=2,"Please enter response.",IF(COUNTBLANK(P275:Q275)&lt;&gt;1,"Please VERIFY response.",""))</f>
        <v>Please enter response.</v>
      </c>
    </row>
    <row r="276" spans="1:18" ht="26.25" customHeight="1" x14ac:dyDescent="0.25">
      <c r="A276" s="1358"/>
      <c r="B276" s="1359"/>
      <c r="C276" s="1359"/>
      <c r="D276" s="1359"/>
      <c r="E276" s="1359"/>
      <c r="F276" s="1359"/>
      <c r="G276" s="1359"/>
      <c r="H276" s="1359"/>
      <c r="I276" s="1359"/>
      <c r="J276" s="1360"/>
      <c r="K276" s="1336" t="s">
        <v>2252</v>
      </c>
      <c r="L276" s="1337"/>
      <c r="M276" s="1337"/>
      <c r="N276" s="1337"/>
      <c r="O276" s="1338"/>
      <c r="P276" s="443"/>
      <c r="Q276" s="362"/>
      <c r="R276" s="442" t="str">
        <f>IF(COUNTBLANK(P276:Q276)=2,"Please enter response.",IF(COUNTBLANK(P276:Q276)&lt;&gt;1,"Please VERIFY response.",""))</f>
        <v>Please enter response.</v>
      </c>
    </row>
    <row r="277" spans="1:18" ht="26.25" customHeight="1" x14ac:dyDescent="0.25">
      <c r="A277" s="1339" t="s">
        <v>2253</v>
      </c>
      <c r="B277" s="1340"/>
      <c r="C277" s="1340"/>
      <c r="D277" s="1340"/>
      <c r="E277" s="1340"/>
      <c r="F277" s="1340"/>
      <c r="G277" s="1340"/>
      <c r="H277" s="1340"/>
      <c r="I277" s="1340"/>
      <c r="J277" s="1340"/>
      <c r="K277" s="1340"/>
      <c r="L277" s="1340"/>
      <c r="M277" s="1340"/>
      <c r="N277" s="1340"/>
      <c r="O277" s="1340"/>
      <c r="P277" s="1340"/>
      <c r="Q277" s="1341"/>
      <c r="R277" s="363"/>
    </row>
    <row r="278" spans="1:18" ht="26.25" customHeight="1" x14ac:dyDescent="0.25">
      <c r="A278" s="1342" t="s">
        <v>2254</v>
      </c>
      <c r="B278" s="1343"/>
      <c r="C278" s="1343"/>
      <c r="D278" s="1343"/>
      <c r="E278" s="1343" t="s">
        <v>2255</v>
      </c>
      <c r="F278" s="1343"/>
      <c r="G278" s="1343"/>
      <c r="H278" s="1343"/>
      <c r="I278" s="1343" t="s">
        <v>2256</v>
      </c>
      <c r="J278" s="1343"/>
      <c r="K278" s="1343"/>
      <c r="L278" s="1343"/>
      <c r="M278" s="1344" t="s">
        <v>2257</v>
      </c>
      <c r="N278" s="1343"/>
      <c r="O278" s="1343"/>
      <c r="P278" s="1343"/>
      <c r="Q278" s="1345"/>
      <c r="R278" s="364"/>
    </row>
    <row r="279" spans="1:18" ht="26.25" customHeight="1" thickBot="1" x14ac:dyDescent="0.3">
      <c r="A279" s="1346"/>
      <c r="B279" s="1347"/>
      <c r="C279" s="1347"/>
      <c r="D279" s="1347"/>
      <c r="E279" s="1348"/>
      <c r="F279" s="1349"/>
      <c r="G279" s="1349"/>
      <c r="H279" s="1350"/>
      <c r="I279" s="1348"/>
      <c r="J279" s="1349"/>
      <c r="K279" s="1349"/>
      <c r="L279" s="1350"/>
      <c r="M279" s="1351"/>
      <c r="N279" s="1351"/>
      <c r="O279" s="1351"/>
      <c r="P279" s="1351"/>
      <c r="Q279" s="1352"/>
      <c r="R279" s="363"/>
    </row>
    <row r="280" spans="1:18" ht="26.25" customHeight="1" x14ac:dyDescent="0.25">
      <c r="A280" s="1325" t="s">
        <v>2258</v>
      </c>
      <c r="B280" s="1326"/>
      <c r="C280" s="1326"/>
      <c r="D280" s="1326"/>
      <c r="E280" s="1326"/>
      <c r="F280" s="1326"/>
      <c r="G280" s="1326"/>
      <c r="H280" s="1326"/>
      <c r="I280" s="1326"/>
      <c r="J280" s="1326"/>
      <c r="K280" s="1326"/>
      <c r="L280" s="1326"/>
      <c r="M280" s="1326"/>
      <c r="N280" s="1326"/>
      <c r="O280" s="1326"/>
      <c r="P280" s="1326"/>
      <c r="Q280" s="1327"/>
      <c r="R280" s="445"/>
    </row>
    <row r="281" spans="1:18" ht="26.25" customHeight="1" x14ac:dyDescent="0.25">
      <c r="A281" s="1297" t="s">
        <v>2259</v>
      </c>
      <c r="B281" s="1328"/>
      <c r="C281" s="1328"/>
      <c r="D281" s="1328"/>
      <c r="E281" s="1328"/>
      <c r="F281" s="1328"/>
      <c r="G281" s="1328"/>
      <c r="H281" s="1328"/>
      <c r="I281" s="1328"/>
      <c r="J281" s="1328"/>
      <c r="K281" s="1328"/>
      <c r="L281" s="1329"/>
      <c r="M281" s="1322"/>
      <c r="N281" s="1323"/>
      <c r="O281" s="1323"/>
      <c r="P281" s="1323"/>
      <c r="Q281" s="1324"/>
      <c r="R281" s="445"/>
    </row>
    <row r="282" spans="1:18" ht="26.25" customHeight="1" x14ac:dyDescent="0.25">
      <c r="A282" s="1297" t="s">
        <v>2260</v>
      </c>
      <c r="B282" s="1298"/>
      <c r="C282" s="1298"/>
      <c r="D282" s="1298"/>
      <c r="E282" s="1298"/>
      <c r="F282" s="1298"/>
      <c r="G282" s="1298"/>
      <c r="H282" s="1298"/>
      <c r="I282" s="1298"/>
      <c r="J282" s="1298"/>
      <c r="K282" s="1298"/>
      <c r="L282" s="1298"/>
      <c r="M282" s="1299"/>
      <c r="N282" s="1300"/>
      <c r="O282" s="1300"/>
      <c r="P282" s="1300"/>
      <c r="Q282" s="1301"/>
      <c r="R282" s="445"/>
    </row>
    <row r="283" spans="1:18" ht="26.25" customHeight="1" x14ac:dyDescent="0.25">
      <c r="A283" s="1297" t="s">
        <v>2261</v>
      </c>
      <c r="B283" s="1298"/>
      <c r="C283" s="1298"/>
      <c r="D283" s="1298"/>
      <c r="E283" s="1298"/>
      <c r="F283" s="1298"/>
      <c r="G283" s="1298"/>
      <c r="H283" s="1298"/>
      <c r="I283" s="1298"/>
      <c r="J283" s="1298"/>
      <c r="K283" s="1298"/>
      <c r="L283" s="1298"/>
      <c r="M283" s="1299"/>
      <c r="N283" s="1300"/>
      <c r="O283" s="1300"/>
      <c r="P283" s="1300"/>
      <c r="Q283" s="1301"/>
      <c r="R283" s="445"/>
    </row>
    <row r="284" spans="1:18" ht="26.25" customHeight="1" x14ac:dyDescent="0.25">
      <c r="A284" s="1302" t="s">
        <v>2262</v>
      </c>
      <c r="B284" s="1303"/>
      <c r="C284" s="1303"/>
      <c r="D284" s="1303"/>
      <c r="E284" s="1303"/>
      <c r="F284" s="1303"/>
      <c r="G284" s="1303"/>
      <c r="H284" s="1303"/>
      <c r="I284" s="1303"/>
      <c r="J284" s="1303"/>
      <c r="K284" s="1303"/>
      <c r="L284" s="1303"/>
      <c r="M284" s="1303"/>
      <c r="N284" s="1303"/>
      <c r="O284" s="1303"/>
      <c r="P284" s="1303"/>
      <c r="Q284" s="1304"/>
      <c r="R284" s="445"/>
    </row>
    <row r="285" spans="1:18" ht="26.25" customHeight="1" x14ac:dyDescent="0.25">
      <c r="A285" s="1286"/>
      <c r="B285" s="1287"/>
      <c r="C285" s="1287"/>
      <c r="D285" s="1287"/>
      <c r="E285" s="1287"/>
      <c r="F285" s="1287"/>
      <c r="G285" s="1287"/>
      <c r="H285" s="1287"/>
      <c r="I285" s="1287"/>
      <c r="J285" s="1287"/>
      <c r="K285" s="1287"/>
      <c r="L285" s="1287"/>
      <c r="M285" s="1287"/>
      <c r="N285" s="1287"/>
      <c r="O285" s="1287"/>
      <c r="P285" s="1287"/>
      <c r="Q285" s="1288"/>
      <c r="R285" s="445"/>
    </row>
    <row r="286" spans="1:18" ht="26.25" customHeight="1" x14ac:dyDescent="0.25">
      <c r="A286" s="1305"/>
      <c r="B286" s="1306"/>
      <c r="C286" s="1306"/>
      <c r="D286" s="1306"/>
      <c r="E286" s="1306"/>
      <c r="F286" s="1306"/>
      <c r="G286" s="1306"/>
      <c r="H286" s="1306"/>
      <c r="I286" s="1306"/>
      <c r="J286" s="1306"/>
      <c r="K286" s="1306"/>
      <c r="L286" s="1306"/>
      <c r="M286" s="1306"/>
      <c r="N286" s="1306"/>
      <c r="O286" s="1306"/>
      <c r="P286" s="1306"/>
      <c r="Q286" s="1307"/>
      <c r="R286" s="445"/>
    </row>
    <row r="287" spans="1:18" ht="26.25" customHeight="1" x14ac:dyDescent="0.25">
      <c r="A287" s="1308" t="s">
        <v>2263</v>
      </c>
      <c r="B287" s="1309"/>
      <c r="C287" s="1309"/>
      <c r="D287" s="1309"/>
      <c r="E287" s="1309"/>
      <c r="F287" s="1309"/>
      <c r="G287" s="1309"/>
      <c r="H287" s="1309"/>
      <c r="I287" s="1309"/>
      <c r="J287" s="1309"/>
      <c r="K287" s="1309"/>
      <c r="L287" s="1309"/>
      <c r="M287" s="1309"/>
      <c r="N287" s="1309"/>
      <c r="O287" s="1309"/>
      <c r="P287" s="1309"/>
      <c r="Q287" s="1310"/>
      <c r="R287" s="445"/>
    </row>
    <row r="288" spans="1:18" ht="26.25" customHeight="1" x14ac:dyDescent="0.25">
      <c r="A288" s="1286"/>
      <c r="B288" s="1311"/>
      <c r="C288" s="1311"/>
      <c r="D288" s="1311"/>
      <c r="E288" s="1311"/>
      <c r="F288" s="1311"/>
      <c r="G288" s="1311"/>
      <c r="H288" s="1311"/>
      <c r="I288" s="1311"/>
      <c r="J288" s="1311"/>
      <c r="K288" s="1311"/>
      <c r="L288" s="1311"/>
      <c r="M288" s="1311"/>
      <c r="N288" s="1311"/>
      <c r="O288" s="1311"/>
      <c r="P288" s="1311"/>
      <c r="Q288" s="1312"/>
      <c r="R288" s="445"/>
    </row>
    <row r="289" spans="1:18" ht="26.25" customHeight="1" thickBot="1" x14ac:dyDescent="0.3">
      <c r="A289" s="1313"/>
      <c r="B289" s="1314"/>
      <c r="C289" s="1314"/>
      <c r="D289" s="1314"/>
      <c r="E289" s="1314"/>
      <c r="F289" s="1314"/>
      <c r="G289" s="1314"/>
      <c r="H289" s="1314"/>
      <c r="I289" s="1314"/>
      <c r="J289" s="1314"/>
      <c r="K289" s="1314"/>
      <c r="L289" s="1314"/>
      <c r="M289" s="1314"/>
      <c r="N289" s="1314"/>
      <c r="O289" s="1314"/>
      <c r="P289" s="1314"/>
      <c r="Q289" s="1315"/>
      <c r="R289" s="444"/>
    </row>
    <row r="290" spans="1:18" ht="26.25" customHeight="1" x14ac:dyDescent="0.25">
      <c r="A290" s="1316" t="s">
        <v>2264</v>
      </c>
      <c r="B290" s="1317"/>
      <c r="C290" s="1317"/>
      <c r="D290" s="1317"/>
      <c r="E290" s="1317"/>
      <c r="F290" s="1317"/>
      <c r="G290" s="1317"/>
      <c r="H290" s="1317"/>
      <c r="I290" s="1317"/>
      <c r="J290" s="1317"/>
      <c r="K290" s="1317"/>
      <c r="L290" s="1317"/>
      <c r="M290" s="1317"/>
      <c r="N290" s="1317"/>
      <c r="O290" s="1317"/>
      <c r="P290" s="1317"/>
      <c r="Q290" s="1318"/>
      <c r="R290" s="445"/>
    </row>
    <row r="291" spans="1:18" ht="26.25" customHeight="1" x14ac:dyDescent="0.25">
      <c r="A291" s="1319" t="s">
        <v>2265</v>
      </c>
      <c r="B291" s="1320"/>
      <c r="C291" s="1320"/>
      <c r="D291" s="1320"/>
      <c r="E291" s="1320"/>
      <c r="F291" s="1320"/>
      <c r="G291" s="1320"/>
      <c r="H291" s="1320"/>
      <c r="I291" s="1320"/>
      <c r="J291" s="1320"/>
      <c r="K291" s="1320"/>
      <c r="L291" s="1321"/>
      <c r="M291" s="1322"/>
      <c r="N291" s="1323"/>
      <c r="O291" s="1323"/>
      <c r="P291" s="1323"/>
      <c r="Q291" s="1324"/>
      <c r="R291" s="444"/>
    </row>
    <row r="292" spans="1:18" ht="26.25" customHeight="1" x14ac:dyDescent="0.25">
      <c r="A292" s="1297" t="s">
        <v>2266</v>
      </c>
      <c r="B292" s="1328"/>
      <c r="C292" s="1328"/>
      <c r="D292" s="1328"/>
      <c r="E292" s="1328"/>
      <c r="F292" s="1328"/>
      <c r="G292" s="1328"/>
      <c r="H292" s="1328"/>
      <c r="I292" s="1328"/>
      <c r="J292" s="1328"/>
      <c r="K292" s="1328"/>
      <c r="L292" s="1329"/>
      <c r="M292" s="1299"/>
      <c r="N292" s="1300"/>
      <c r="O292" s="1300"/>
      <c r="P292" s="1300"/>
      <c r="Q292" s="1301"/>
      <c r="R292" s="444"/>
    </row>
    <row r="293" spans="1:18" ht="26.25" customHeight="1" x14ac:dyDescent="0.25">
      <c r="A293" s="1330" t="s">
        <v>2267</v>
      </c>
      <c r="B293" s="1331"/>
      <c r="C293" s="1331"/>
      <c r="D293" s="1331"/>
      <c r="E293" s="1331"/>
      <c r="F293" s="1331"/>
      <c r="G293" s="1331"/>
      <c r="H293" s="1331"/>
      <c r="I293" s="1331"/>
      <c r="J293" s="1331"/>
      <c r="K293" s="1331"/>
      <c r="L293" s="1331"/>
      <c r="M293" s="1331"/>
      <c r="N293" s="1331"/>
      <c r="O293" s="1331"/>
      <c r="P293" s="1331"/>
      <c r="Q293" s="1332"/>
      <c r="R293" s="444"/>
    </row>
    <row r="294" spans="1:18" ht="26.25" customHeight="1" x14ac:dyDescent="0.25">
      <c r="A294" s="1286"/>
      <c r="B294" s="1287"/>
      <c r="C294" s="1287"/>
      <c r="D294" s="1287"/>
      <c r="E294" s="1287"/>
      <c r="F294" s="1287"/>
      <c r="G294" s="1287"/>
      <c r="H294" s="1287"/>
      <c r="I294" s="1287"/>
      <c r="J294" s="1287"/>
      <c r="K294" s="1287"/>
      <c r="L294" s="1287"/>
      <c r="M294" s="1287"/>
      <c r="N294" s="1287"/>
      <c r="O294" s="1287"/>
      <c r="P294" s="1287"/>
      <c r="Q294" s="1296"/>
      <c r="R294" s="444"/>
    </row>
    <row r="295" spans="1:18" ht="26.25" customHeight="1" x14ac:dyDescent="0.25">
      <c r="A295" s="1333"/>
      <c r="B295" s="1334"/>
      <c r="C295" s="1334"/>
      <c r="D295" s="1334"/>
      <c r="E295" s="1334"/>
      <c r="F295" s="1334"/>
      <c r="G295" s="1334"/>
      <c r="H295" s="1334"/>
      <c r="I295" s="1334"/>
      <c r="J295" s="1334"/>
      <c r="K295" s="1334"/>
      <c r="L295" s="1334"/>
      <c r="M295" s="1334"/>
      <c r="N295" s="1334"/>
      <c r="O295" s="1334"/>
      <c r="P295" s="1334"/>
      <c r="Q295" s="1335"/>
      <c r="R295" s="444"/>
    </row>
    <row r="296" spans="1:18" ht="26.25" customHeight="1" x14ac:dyDescent="0.25">
      <c r="A296" s="1283" t="s">
        <v>2268</v>
      </c>
      <c r="B296" s="1284"/>
      <c r="C296" s="1284"/>
      <c r="D296" s="1284"/>
      <c r="E296" s="1284"/>
      <c r="F296" s="1284"/>
      <c r="G296" s="1284"/>
      <c r="H296" s="1284"/>
      <c r="I296" s="1284"/>
      <c r="J296" s="1284"/>
      <c r="K296" s="1284"/>
      <c r="L296" s="1284"/>
      <c r="M296" s="1284"/>
      <c r="N296" s="1284"/>
      <c r="O296" s="1284"/>
      <c r="P296" s="1284"/>
      <c r="Q296" s="1285"/>
      <c r="R296" s="444"/>
    </row>
    <row r="297" spans="1:18" ht="26.25" customHeight="1" x14ac:dyDescent="0.25">
      <c r="A297" s="1286"/>
      <c r="B297" s="1287"/>
      <c r="C297" s="1287"/>
      <c r="D297" s="1287"/>
      <c r="E297" s="1287"/>
      <c r="F297" s="1287"/>
      <c r="G297" s="1287"/>
      <c r="H297" s="1287"/>
      <c r="I297" s="1287"/>
      <c r="J297" s="1287"/>
      <c r="K297" s="1287"/>
      <c r="L297" s="1287"/>
      <c r="M297" s="1287"/>
      <c r="N297" s="1287"/>
      <c r="O297" s="1287"/>
      <c r="P297" s="1287"/>
      <c r="Q297" s="1288"/>
      <c r="R297" s="444"/>
    </row>
    <row r="298" spans="1:18" ht="26.25" customHeight="1" thickBot="1" x14ac:dyDescent="0.3">
      <c r="A298" s="1289"/>
      <c r="B298" s="1290"/>
      <c r="C298" s="1290"/>
      <c r="D298" s="1290"/>
      <c r="E298" s="1290"/>
      <c r="F298" s="1290"/>
      <c r="G298" s="1290"/>
      <c r="H298" s="1290"/>
      <c r="I298" s="1290"/>
      <c r="J298" s="1290"/>
      <c r="K298" s="1290"/>
      <c r="L298" s="1290"/>
      <c r="M298" s="1290"/>
      <c r="N298" s="1290"/>
      <c r="O298" s="1290"/>
      <c r="P298" s="1290"/>
      <c r="Q298" s="1291"/>
      <c r="R298" s="444"/>
    </row>
    <row r="299" spans="1:18" ht="26.25" customHeight="1" x14ac:dyDescent="0.25">
      <c r="A299" s="1292" t="s">
        <v>2269</v>
      </c>
      <c r="B299" s="1293"/>
      <c r="C299" s="1293"/>
      <c r="D299" s="1293"/>
      <c r="E299" s="1293"/>
      <c r="F299" s="1293"/>
      <c r="G299" s="1293"/>
      <c r="H299" s="1293"/>
      <c r="I299" s="1293"/>
      <c r="J299" s="1293"/>
      <c r="K299" s="1293"/>
      <c r="L299" s="1293"/>
      <c r="M299" s="1293"/>
      <c r="N299" s="1293"/>
      <c r="O299" s="1293"/>
      <c r="P299" s="1293"/>
      <c r="Q299" s="1294"/>
    </row>
    <row r="300" spans="1:18" ht="26.25" customHeight="1" x14ac:dyDescent="0.25">
      <c r="A300" s="1295"/>
      <c r="B300" s="1287"/>
      <c r="C300" s="1287"/>
      <c r="D300" s="1287"/>
      <c r="E300" s="1287"/>
      <c r="F300" s="1287"/>
      <c r="G300" s="1287"/>
      <c r="H300" s="1287"/>
      <c r="I300" s="1287"/>
      <c r="J300" s="1287"/>
      <c r="K300" s="1287"/>
      <c r="L300" s="1287"/>
      <c r="M300" s="1287"/>
      <c r="N300" s="1287"/>
      <c r="O300" s="1287"/>
      <c r="P300" s="1287"/>
      <c r="Q300" s="1296"/>
    </row>
    <row r="301" spans="1:18" ht="26.25" customHeight="1" thickBot="1" x14ac:dyDescent="0.3">
      <c r="A301" s="1289"/>
      <c r="B301" s="1290"/>
      <c r="C301" s="1290"/>
      <c r="D301" s="1290"/>
      <c r="E301" s="1290"/>
      <c r="F301" s="1290"/>
      <c r="G301" s="1290"/>
      <c r="H301" s="1290"/>
      <c r="I301" s="1290"/>
      <c r="J301" s="1290"/>
      <c r="K301" s="1290"/>
      <c r="L301" s="1290"/>
      <c r="M301" s="1290"/>
      <c r="N301" s="1290"/>
      <c r="O301" s="1290"/>
      <c r="P301" s="1290"/>
      <c r="Q301" s="1291"/>
      <c r="R301" s="368"/>
    </row>
    <row r="302" spans="1:18" ht="26.25" customHeight="1" x14ac:dyDescent="0.25">
      <c r="A302" s="1316" t="s">
        <v>2270</v>
      </c>
      <c r="B302" s="1317"/>
      <c r="C302" s="1317"/>
      <c r="D302" s="1317"/>
      <c r="E302" s="1317"/>
      <c r="F302" s="1317"/>
      <c r="G302" s="1317"/>
      <c r="H302" s="1317"/>
      <c r="I302" s="1317"/>
      <c r="J302" s="1317"/>
      <c r="K302" s="1317"/>
      <c r="L302" s="1317"/>
      <c r="M302" s="1317"/>
      <c r="N302" s="1317"/>
      <c r="O302" s="1317"/>
      <c r="P302" s="1317"/>
      <c r="Q302" s="1318"/>
      <c r="R302" s="369"/>
    </row>
    <row r="303" spans="1:18" ht="26.25" customHeight="1" x14ac:dyDescent="0.25">
      <c r="A303" s="1355"/>
      <c r="B303" s="1356"/>
      <c r="C303" s="1356"/>
      <c r="D303" s="1356"/>
      <c r="E303" s="1356"/>
      <c r="F303" s="1356"/>
      <c r="G303" s="1356"/>
      <c r="H303" s="1356"/>
      <c r="I303" s="1356"/>
      <c r="J303" s="1356"/>
      <c r="K303" s="1356"/>
      <c r="L303" s="1356"/>
      <c r="M303" s="1356"/>
      <c r="N303" s="1356"/>
      <c r="O303" s="1356"/>
      <c r="P303" s="1356"/>
      <c r="Q303" s="1400"/>
      <c r="R303" s="22"/>
    </row>
    <row r="304" spans="1:18" ht="26.25" customHeight="1" thickBot="1" x14ac:dyDescent="0.3">
      <c r="A304" s="1313"/>
      <c r="B304" s="1314"/>
      <c r="C304" s="1314"/>
      <c r="D304" s="1314"/>
      <c r="E304" s="1314"/>
      <c r="F304" s="1314"/>
      <c r="G304" s="1314"/>
      <c r="H304" s="1314"/>
      <c r="I304" s="1314"/>
      <c r="J304" s="1314"/>
      <c r="K304" s="1314"/>
      <c r="L304" s="1314"/>
      <c r="M304" s="1314"/>
      <c r="N304" s="1314"/>
      <c r="O304" s="1314"/>
      <c r="P304" s="1314"/>
      <c r="Q304" s="1315"/>
      <c r="R304" s="22"/>
    </row>
    <row r="305" spans="1:19" ht="26.25" customHeight="1" x14ac:dyDescent="0.25">
      <c r="A305" s="464" t="e">
        <f>$A$1</f>
        <v>#N/A</v>
      </c>
      <c r="B305" s="444"/>
      <c r="C305" s="444"/>
      <c r="D305" s="444"/>
      <c r="E305" s="444"/>
      <c r="F305" s="444"/>
      <c r="G305" s="444"/>
      <c r="H305" s="444"/>
      <c r="I305" s="444"/>
      <c r="J305" s="444"/>
      <c r="K305" s="444"/>
      <c r="L305" s="444"/>
      <c r="M305" s="444"/>
      <c r="N305" s="444"/>
      <c r="O305" s="444"/>
      <c r="P305" s="444"/>
      <c r="Q305" s="444"/>
      <c r="R305" s="366"/>
    </row>
    <row r="306" spans="1:19" ht="26.25" customHeight="1" x14ac:dyDescent="0.25">
      <c r="A306" s="1401" t="s">
        <v>1661</v>
      </c>
      <c r="B306" s="1402"/>
      <c r="C306" s="1402"/>
      <c r="D306" s="1402"/>
      <c r="E306" s="1402"/>
      <c r="F306" s="1402"/>
      <c r="G306" s="1402"/>
      <c r="H306" s="1402"/>
      <c r="I306" s="1402"/>
      <c r="J306" s="1402"/>
      <c r="K306" s="1402"/>
      <c r="L306" s="1402"/>
      <c r="M306" s="1402"/>
      <c r="N306" s="1403" t="s">
        <v>3626</v>
      </c>
      <c r="O306" s="1403"/>
      <c r="P306" s="1403"/>
      <c r="Q306" s="1404"/>
      <c r="R306" s="447"/>
    </row>
    <row r="307" spans="1:19" ht="26.25" customHeight="1" x14ac:dyDescent="0.25">
      <c r="A307" s="1405" t="str">
        <f>IF(ISBLANK(Cap_Expend_Name),"The Capital Expenditure Contact information has NOT been provided.  Click here to go to Capital Expenditure Contact Section to fill in this information now.","")</f>
        <v/>
      </c>
      <c r="B307" s="1406"/>
      <c r="C307" s="1406"/>
      <c r="D307" s="1406"/>
      <c r="E307" s="1406"/>
      <c r="F307" s="1406"/>
      <c r="G307" s="1406"/>
      <c r="H307" s="1406"/>
      <c r="I307" s="1406"/>
      <c r="J307" s="1406"/>
      <c r="K307" s="1406"/>
      <c r="L307" s="1406"/>
      <c r="M307" s="1406"/>
      <c r="N307" s="462" t="s">
        <v>2236</v>
      </c>
      <c r="O307" s="463"/>
      <c r="P307" s="1407"/>
      <c r="Q307" s="1408"/>
      <c r="R307" s="2"/>
    </row>
    <row r="308" spans="1:19" ht="26.25" customHeight="1" thickBot="1" x14ac:dyDescent="0.3">
      <c r="A308" s="1385" t="s">
        <v>1605</v>
      </c>
      <c r="B308" s="1386"/>
      <c r="C308" s="1386"/>
      <c r="D308" s="1386"/>
      <c r="E308" s="1387"/>
      <c r="F308" s="1388"/>
      <c r="G308" s="1388"/>
      <c r="H308" s="1388"/>
      <c r="I308" s="1388"/>
      <c r="J308" s="1388"/>
      <c r="K308" s="1388"/>
      <c r="L308" s="1389"/>
      <c r="M308" s="348"/>
      <c r="N308" s="1390" t="s">
        <v>2237</v>
      </c>
      <c r="O308" s="1391"/>
      <c r="P308" s="1391"/>
      <c r="Q308" s="1392"/>
      <c r="R308" s="2"/>
    </row>
    <row r="309" spans="1:19" ht="26.25" customHeight="1" x14ac:dyDescent="0.25">
      <c r="A309" s="1397" t="s">
        <v>2238</v>
      </c>
      <c r="B309" s="1398"/>
      <c r="C309" s="1398"/>
      <c r="D309" s="1399"/>
      <c r="E309" s="1380"/>
      <c r="F309" s="1381"/>
      <c r="G309" s="1381"/>
      <c r="H309" s="1381"/>
      <c r="I309" s="1381"/>
      <c r="J309" s="1381"/>
      <c r="K309" s="1381"/>
      <c r="L309" s="1382"/>
      <c r="M309" s="1383" t="str">
        <f>IF(AND(ISBLANK(E309),OR(NOT(ISBLANK(E310)),NOT(ISBLANK(E311)),NOT(ISBLANK(E312)),NOT(ISBLANK(I313)),NOT(ISBLANK(#REF!)))),"This information is required.","")</f>
        <v>This information is required.</v>
      </c>
      <c r="N309" s="1384"/>
      <c r="O309" s="1384"/>
      <c r="P309" s="1384"/>
      <c r="Q309" s="349"/>
      <c r="R309" s="2"/>
    </row>
    <row r="310" spans="1:19" ht="26.25" customHeight="1" x14ac:dyDescent="0.25">
      <c r="A310" s="1364" t="s">
        <v>2239</v>
      </c>
      <c r="B310" s="1365"/>
      <c r="C310" s="1365"/>
      <c r="D310" s="1366"/>
      <c r="E310" s="1380"/>
      <c r="F310" s="1381"/>
      <c r="G310" s="1381"/>
      <c r="H310" s="1381"/>
      <c r="I310" s="1381"/>
      <c r="J310" s="1381"/>
      <c r="K310" s="1381"/>
      <c r="L310" s="1382"/>
      <c r="M310" s="1383" t="str">
        <f>IF(AND(ISBLANK(E310),OR(NOT(ISBLANK(E309)),NOT(ISBLANK(E311)),NOT(ISBLANK(E312)),NOT(ISBLANK(I313)),NOT(ISBLANK(#REF!)))),"This information is required.","")</f>
        <v>This information is required.</v>
      </c>
      <c r="N310" s="1384"/>
      <c r="O310" s="1384"/>
      <c r="P310" s="1384"/>
      <c r="Q310" s="349"/>
      <c r="R310" s="2"/>
    </row>
    <row r="311" spans="1:19" ht="26.25" customHeight="1" x14ac:dyDescent="0.25">
      <c r="A311" s="1393" t="s">
        <v>2240</v>
      </c>
      <c r="B311" s="1394"/>
      <c r="C311" s="1394"/>
      <c r="D311" s="1395"/>
      <c r="E311" s="1380"/>
      <c r="F311" s="1381"/>
      <c r="G311" s="1396" t="s">
        <v>2241</v>
      </c>
      <c r="H311" s="1396"/>
      <c r="I311" s="1396"/>
      <c r="J311" s="1396"/>
      <c r="K311" s="1396"/>
      <c r="L311" s="1396"/>
      <c r="M311" s="596" t="str">
        <f>IF(AND(ISBLANK(E311),OR(NOT(ISBLANK(E309)),NOT(ISBLANK(E310)),NOT(ISBLANK(E312)),NOT(ISBLANK(I313)),NOT(ISBLANK(#REF!)))),"This information is required.","")</f>
        <v>This information is required.</v>
      </c>
      <c r="N311" s="597"/>
      <c r="O311" s="597"/>
      <c r="P311" s="597"/>
      <c r="Q311" s="350"/>
      <c r="R311" s="351"/>
    </row>
    <row r="312" spans="1:19" ht="26.25" customHeight="1" x14ac:dyDescent="0.25">
      <c r="A312" s="1364" t="s">
        <v>2242</v>
      </c>
      <c r="B312" s="1365"/>
      <c r="C312" s="1365"/>
      <c r="D312" s="1366"/>
      <c r="E312" s="1367"/>
      <c r="F312" s="1368"/>
      <c r="G312" s="352"/>
      <c r="H312" s="353"/>
      <c r="I312" s="354"/>
      <c r="J312" s="351"/>
      <c r="K312" s="351"/>
      <c r="L312" s="351"/>
      <c r="M312" s="597" t="str">
        <f>IF(AND(ISBLANK(E312),OR(NOT(ISBLANK(E309)),NOT(ISBLANK(E310)),NOT(ISBLANK(E311)),NOT(ISBLANK(I313)),NOT(ISBLANK(#REF!)))),"This information is required.","")</f>
        <v>This information is required.</v>
      </c>
      <c r="N312" s="597"/>
      <c r="O312" s="597"/>
      <c r="P312" s="597"/>
      <c r="Q312" s="350"/>
      <c r="R312" s="5"/>
      <c r="S312" s="312">
        <f>IF(ISBLANK(E312),0,1)</f>
        <v>0</v>
      </c>
    </row>
    <row r="313" spans="1:19" ht="26.25" customHeight="1" thickBot="1" x14ac:dyDescent="0.3">
      <c r="A313" s="1369" t="s">
        <v>2243</v>
      </c>
      <c r="B313" s="1370"/>
      <c r="C313" s="1370"/>
      <c r="D313" s="1370"/>
      <c r="E313" s="1371"/>
      <c r="F313" s="1371"/>
      <c r="G313" s="1371"/>
      <c r="H313" s="1371"/>
      <c r="I313" s="1372"/>
      <c r="J313" s="1373"/>
      <c r="K313" s="1374" t="s">
        <v>2244</v>
      </c>
      <c r="L313" s="1375"/>
      <c r="M313" s="1376" t="str">
        <f>IF(AND(ISBLANK(I313),OR(NOT(ISBLANK(E309)),NOT(ISBLANK(E310)),NOT(ISBLANK(E311)),NOT(ISBLANK(E312)),NOT(ISBLANK(#REF!)))),"This information is required!","")</f>
        <v>This information is required!</v>
      </c>
      <c r="N313" s="1376"/>
      <c r="O313" s="1376"/>
      <c r="P313" s="1376"/>
      <c r="Q313" s="355"/>
      <c r="R313" s="5"/>
    </row>
    <row r="314" spans="1:19" ht="27" customHeight="1" x14ac:dyDescent="0.25">
      <c r="A314" s="1292" t="s">
        <v>2245</v>
      </c>
      <c r="B314" s="1293"/>
      <c r="C314" s="1293"/>
      <c r="D314" s="1293"/>
      <c r="E314" s="1293"/>
      <c r="F314" s="1293"/>
      <c r="G314" s="1293"/>
      <c r="H314" s="1293"/>
      <c r="I314" s="1293"/>
      <c r="J314" s="1377"/>
      <c r="K314" s="1378" t="s">
        <v>2246</v>
      </c>
      <c r="L314" s="1378"/>
      <c r="M314" s="1378"/>
      <c r="N314" s="1378"/>
      <c r="O314" s="1353" t="s">
        <v>2247</v>
      </c>
      <c r="P314" s="1353"/>
      <c r="Q314" s="1354"/>
      <c r="R314" s="448"/>
    </row>
    <row r="315" spans="1:19" ht="45" customHeight="1" x14ac:dyDescent="0.25">
      <c r="A315" s="1355"/>
      <c r="B315" s="1356"/>
      <c r="C315" s="1356"/>
      <c r="D315" s="1356"/>
      <c r="E315" s="1356"/>
      <c r="F315" s="1356"/>
      <c r="G315" s="1356"/>
      <c r="H315" s="1356"/>
      <c r="I315" s="1356"/>
      <c r="J315" s="1357"/>
      <c r="K315" s="1379"/>
      <c r="L315" s="1379"/>
      <c r="M315" s="1379"/>
      <c r="N315" s="1379"/>
      <c r="O315" s="358"/>
      <c r="P315" s="359" t="s">
        <v>103</v>
      </c>
      <c r="Q315" s="360" t="s">
        <v>104</v>
      </c>
      <c r="R315" s="448"/>
    </row>
    <row r="316" spans="1:19" ht="26.25" customHeight="1" x14ac:dyDescent="0.25">
      <c r="A316" s="1358"/>
      <c r="B316" s="1359"/>
      <c r="C316" s="1359"/>
      <c r="D316" s="1359"/>
      <c r="E316" s="1359"/>
      <c r="F316" s="1359"/>
      <c r="G316" s="1359"/>
      <c r="H316" s="1359"/>
      <c r="I316" s="1359"/>
      <c r="J316" s="1360"/>
      <c r="K316" s="1336" t="s">
        <v>2248</v>
      </c>
      <c r="L316" s="1337"/>
      <c r="M316" s="1337"/>
      <c r="N316" s="1337"/>
      <c r="O316" s="1338"/>
      <c r="P316" s="443"/>
      <c r="Q316" s="362"/>
      <c r="R316" s="442" t="str">
        <f>IF(COUNTBLANK(P316:Q316)=2,"Please enter response.",IF(COUNTBLANK(P316:Q316)&lt;&gt;1,"Please VERIFY response.",""))</f>
        <v>Please enter response.</v>
      </c>
    </row>
    <row r="317" spans="1:19" ht="26.25" customHeight="1" x14ac:dyDescent="0.25">
      <c r="A317" s="1361" t="s">
        <v>2249</v>
      </c>
      <c r="B317" s="1362"/>
      <c r="C317" s="1362"/>
      <c r="D317" s="1362"/>
      <c r="E317" s="1362"/>
      <c r="F317" s="1362"/>
      <c r="G317" s="1362"/>
      <c r="H317" s="1362"/>
      <c r="I317" s="1362"/>
      <c r="J317" s="1363"/>
      <c r="K317" s="1336" t="s">
        <v>2250</v>
      </c>
      <c r="L317" s="1337"/>
      <c r="M317" s="1337"/>
      <c r="N317" s="1337"/>
      <c r="O317" s="1338"/>
      <c r="P317" s="443"/>
      <c r="Q317" s="362"/>
      <c r="R317" s="442" t="str">
        <f>IF(COUNTBLANK(P317:Q317)=2,"Please enter response.",IF(COUNTBLANK(P317:Q317)&lt;&gt;1,"Please VERIFY response.",""))</f>
        <v>Please enter response.</v>
      </c>
    </row>
    <row r="318" spans="1:19" ht="26.25" customHeight="1" x14ac:dyDescent="0.25">
      <c r="A318" s="1355"/>
      <c r="B318" s="1356"/>
      <c r="C318" s="1356"/>
      <c r="D318" s="1356"/>
      <c r="E318" s="1356"/>
      <c r="F318" s="1356"/>
      <c r="G318" s="1356"/>
      <c r="H318" s="1356"/>
      <c r="I318" s="1356"/>
      <c r="J318" s="1357"/>
      <c r="K318" s="1336" t="s">
        <v>2251</v>
      </c>
      <c r="L318" s="1337"/>
      <c r="M318" s="1337"/>
      <c r="N318" s="1337"/>
      <c r="O318" s="1338"/>
      <c r="P318" s="443"/>
      <c r="Q318" s="362"/>
      <c r="R318" s="442" t="str">
        <f>IF(COUNTBLANK(P318:Q318)=2,"Please enter response.",IF(COUNTBLANK(P318:Q318)&lt;&gt;1,"Please VERIFY response.",""))</f>
        <v>Please enter response.</v>
      </c>
    </row>
    <row r="319" spans="1:19" ht="26.25" customHeight="1" x14ac:dyDescent="0.25">
      <c r="A319" s="1358"/>
      <c r="B319" s="1359"/>
      <c r="C319" s="1359"/>
      <c r="D319" s="1359"/>
      <c r="E319" s="1359"/>
      <c r="F319" s="1359"/>
      <c r="G319" s="1359"/>
      <c r="H319" s="1359"/>
      <c r="I319" s="1359"/>
      <c r="J319" s="1360"/>
      <c r="K319" s="1336" t="s">
        <v>2252</v>
      </c>
      <c r="L319" s="1337"/>
      <c r="M319" s="1337"/>
      <c r="N319" s="1337"/>
      <c r="O319" s="1338"/>
      <c r="P319" s="443"/>
      <c r="Q319" s="362"/>
      <c r="R319" s="442" t="str">
        <f>IF(COUNTBLANK(P319:Q319)=2,"Please enter response.",IF(COUNTBLANK(P319:Q319)&lt;&gt;1,"Please VERIFY response.",""))</f>
        <v>Please enter response.</v>
      </c>
    </row>
    <row r="320" spans="1:19" ht="26.25" customHeight="1" x14ac:dyDescent="0.25">
      <c r="A320" s="1339" t="s">
        <v>2253</v>
      </c>
      <c r="B320" s="1340"/>
      <c r="C320" s="1340"/>
      <c r="D320" s="1340"/>
      <c r="E320" s="1340"/>
      <c r="F320" s="1340"/>
      <c r="G320" s="1340"/>
      <c r="H320" s="1340"/>
      <c r="I320" s="1340"/>
      <c r="J320" s="1340"/>
      <c r="K320" s="1340"/>
      <c r="L320" s="1340"/>
      <c r="M320" s="1340"/>
      <c r="N320" s="1340"/>
      <c r="O320" s="1340"/>
      <c r="P320" s="1340"/>
      <c r="Q320" s="1341"/>
      <c r="R320" s="363"/>
    </row>
    <row r="321" spans="1:18" ht="26.25" customHeight="1" x14ac:dyDescent="0.25">
      <c r="A321" s="1342" t="s">
        <v>2254</v>
      </c>
      <c r="B321" s="1343"/>
      <c r="C321" s="1343"/>
      <c r="D321" s="1343"/>
      <c r="E321" s="1343" t="s">
        <v>2255</v>
      </c>
      <c r="F321" s="1343"/>
      <c r="G321" s="1343"/>
      <c r="H321" s="1343"/>
      <c r="I321" s="1343" t="s">
        <v>2256</v>
      </c>
      <c r="J321" s="1343"/>
      <c r="K321" s="1343"/>
      <c r="L321" s="1343"/>
      <c r="M321" s="1344" t="s">
        <v>2257</v>
      </c>
      <c r="N321" s="1343"/>
      <c r="O321" s="1343"/>
      <c r="P321" s="1343"/>
      <c r="Q321" s="1345"/>
      <c r="R321" s="364"/>
    </row>
    <row r="322" spans="1:18" ht="26.25" customHeight="1" thickBot="1" x14ac:dyDescent="0.3">
      <c r="A322" s="1346"/>
      <c r="B322" s="1347"/>
      <c r="C322" s="1347"/>
      <c r="D322" s="1347"/>
      <c r="E322" s="1348"/>
      <c r="F322" s="1349"/>
      <c r="G322" s="1349"/>
      <c r="H322" s="1350"/>
      <c r="I322" s="1348"/>
      <c r="J322" s="1349"/>
      <c r="K322" s="1349"/>
      <c r="L322" s="1350"/>
      <c r="M322" s="1351"/>
      <c r="N322" s="1351"/>
      <c r="O322" s="1351"/>
      <c r="P322" s="1351"/>
      <c r="Q322" s="1352"/>
      <c r="R322" s="363"/>
    </row>
    <row r="323" spans="1:18" ht="26.25" customHeight="1" x14ac:dyDescent="0.25">
      <c r="A323" s="1325" t="s">
        <v>2258</v>
      </c>
      <c r="B323" s="1326"/>
      <c r="C323" s="1326"/>
      <c r="D323" s="1326"/>
      <c r="E323" s="1326"/>
      <c r="F323" s="1326"/>
      <c r="G323" s="1326"/>
      <c r="H323" s="1326"/>
      <c r="I323" s="1326"/>
      <c r="J323" s="1326"/>
      <c r="K323" s="1326"/>
      <c r="L323" s="1326"/>
      <c r="M323" s="1326"/>
      <c r="N323" s="1326"/>
      <c r="O323" s="1326"/>
      <c r="P323" s="1326"/>
      <c r="Q323" s="1327"/>
      <c r="R323" s="445"/>
    </row>
    <row r="324" spans="1:18" ht="26.25" customHeight="1" x14ac:dyDescent="0.25">
      <c r="A324" s="1297" t="s">
        <v>2259</v>
      </c>
      <c r="B324" s="1328"/>
      <c r="C324" s="1328"/>
      <c r="D324" s="1328"/>
      <c r="E324" s="1328"/>
      <c r="F324" s="1328"/>
      <c r="G324" s="1328"/>
      <c r="H324" s="1328"/>
      <c r="I324" s="1328"/>
      <c r="J324" s="1328"/>
      <c r="K324" s="1328"/>
      <c r="L324" s="1329"/>
      <c r="M324" s="1322"/>
      <c r="N324" s="1323"/>
      <c r="O324" s="1323"/>
      <c r="P324" s="1323"/>
      <c r="Q324" s="1324"/>
      <c r="R324" s="445"/>
    </row>
    <row r="325" spans="1:18" ht="26.25" customHeight="1" x14ac:dyDescent="0.25">
      <c r="A325" s="1297" t="s">
        <v>2260</v>
      </c>
      <c r="B325" s="1298"/>
      <c r="C325" s="1298"/>
      <c r="D325" s="1298"/>
      <c r="E325" s="1298"/>
      <c r="F325" s="1298"/>
      <c r="G325" s="1298"/>
      <c r="H325" s="1298"/>
      <c r="I325" s="1298"/>
      <c r="J325" s="1298"/>
      <c r="K325" s="1298"/>
      <c r="L325" s="1298"/>
      <c r="M325" s="1299"/>
      <c r="N325" s="1300"/>
      <c r="O325" s="1300"/>
      <c r="P325" s="1300"/>
      <c r="Q325" s="1301"/>
      <c r="R325" s="445"/>
    </row>
    <row r="326" spans="1:18" ht="26.25" customHeight="1" x14ac:dyDescent="0.25">
      <c r="A326" s="1297" t="s">
        <v>2261</v>
      </c>
      <c r="B326" s="1298"/>
      <c r="C326" s="1298"/>
      <c r="D326" s="1298"/>
      <c r="E326" s="1298"/>
      <c r="F326" s="1298"/>
      <c r="G326" s="1298"/>
      <c r="H326" s="1298"/>
      <c r="I326" s="1298"/>
      <c r="J326" s="1298"/>
      <c r="K326" s="1298"/>
      <c r="L326" s="1298"/>
      <c r="M326" s="1299"/>
      <c r="N326" s="1300"/>
      <c r="O326" s="1300"/>
      <c r="P326" s="1300"/>
      <c r="Q326" s="1301"/>
      <c r="R326" s="445"/>
    </row>
    <row r="327" spans="1:18" ht="26.25" customHeight="1" x14ac:dyDescent="0.25">
      <c r="A327" s="1302" t="s">
        <v>2262</v>
      </c>
      <c r="B327" s="1303"/>
      <c r="C327" s="1303"/>
      <c r="D327" s="1303"/>
      <c r="E327" s="1303"/>
      <c r="F327" s="1303"/>
      <c r="G327" s="1303"/>
      <c r="H327" s="1303"/>
      <c r="I327" s="1303"/>
      <c r="J327" s="1303"/>
      <c r="K327" s="1303"/>
      <c r="L327" s="1303"/>
      <c r="M327" s="1303"/>
      <c r="N327" s="1303"/>
      <c r="O327" s="1303"/>
      <c r="P327" s="1303"/>
      <c r="Q327" s="1304"/>
      <c r="R327" s="445"/>
    </row>
    <row r="328" spans="1:18" ht="26.25" customHeight="1" x14ac:dyDescent="0.25">
      <c r="A328" s="1286"/>
      <c r="B328" s="1287"/>
      <c r="C328" s="1287"/>
      <c r="D328" s="1287"/>
      <c r="E328" s="1287"/>
      <c r="F328" s="1287"/>
      <c r="G328" s="1287"/>
      <c r="H328" s="1287"/>
      <c r="I328" s="1287"/>
      <c r="J328" s="1287"/>
      <c r="K328" s="1287"/>
      <c r="L328" s="1287"/>
      <c r="M328" s="1287"/>
      <c r="N328" s="1287"/>
      <c r="O328" s="1287"/>
      <c r="P328" s="1287"/>
      <c r="Q328" s="1288"/>
      <c r="R328" s="445"/>
    </row>
    <row r="329" spans="1:18" ht="26.25" customHeight="1" x14ac:dyDescent="0.25">
      <c r="A329" s="1305"/>
      <c r="B329" s="1306"/>
      <c r="C329" s="1306"/>
      <c r="D329" s="1306"/>
      <c r="E329" s="1306"/>
      <c r="F329" s="1306"/>
      <c r="G329" s="1306"/>
      <c r="H329" s="1306"/>
      <c r="I329" s="1306"/>
      <c r="J329" s="1306"/>
      <c r="K329" s="1306"/>
      <c r="L329" s="1306"/>
      <c r="M329" s="1306"/>
      <c r="N329" s="1306"/>
      <c r="O329" s="1306"/>
      <c r="P329" s="1306"/>
      <c r="Q329" s="1307"/>
      <c r="R329" s="445"/>
    </row>
    <row r="330" spans="1:18" ht="26.25" customHeight="1" x14ac:dyDescent="0.25">
      <c r="A330" s="1308" t="s">
        <v>2263</v>
      </c>
      <c r="B330" s="1309"/>
      <c r="C330" s="1309"/>
      <c r="D330" s="1309"/>
      <c r="E330" s="1309"/>
      <c r="F330" s="1309"/>
      <c r="G330" s="1309"/>
      <c r="H330" s="1309"/>
      <c r="I330" s="1309"/>
      <c r="J330" s="1309"/>
      <c r="K330" s="1309"/>
      <c r="L330" s="1309"/>
      <c r="M330" s="1309"/>
      <c r="N330" s="1309"/>
      <c r="O330" s="1309"/>
      <c r="P330" s="1309"/>
      <c r="Q330" s="1310"/>
      <c r="R330" s="445"/>
    </row>
    <row r="331" spans="1:18" ht="26.25" customHeight="1" x14ac:dyDescent="0.25">
      <c r="A331" s="1286"/>
      <c r="B331" s="1311"/>
      <c r="C331" s="1311"/>
      <c r="D331" s="1311"/>
      <c r="E331" s="1311"/>
      <c r="F331" s="1311"/>
      <c r="G331" s="1311"/>
      <c r="H331" s="1311"/>
      <c r="I331" s="1311"/>
      <c r="J331" s="1311"/>
      <c r="K331" s="1311"/>
      <c r="L331" s="1311"/>
      <c r="M331" s="1311"/>
      <c r="N331" s="1311"/>
      <c r="O331" s="1311"/>
      <c r="P331" s="1311"/>
      <c r="Q331" s="1312"/>
      <c r="R331" s="445"/>
    </row>
    <row r="332" spans="1:18" ht="26.25" customHeight="1" thickBot="1" x14ac:dyDescent="0.3">
      <c r="A332" s="1313"/>
      <c r="B332" s="1314"/>
      <c r="C332" s="1314"/>
      <c r="D332" s="1314"/>
      <c r="E332" s="1314"/>
      <c r="F332" s="1314"/>
      <c r="G332" s="1314"/>
      <c r="H332" s="1314"/>
      <c r="I332" s="1314"/>
      <c r="J332" s="1314"/>
      <c r="K332" s="1314"/>
      <c r="L332" s="1314"/>
      <c r="M332" s="1314"/>
      <c r="N332" s="1314"/>
      <c r="O332" s="1314"/>
      <c r="P332" s="1314"/>
      <c r="Q332" s="1315"/>
      <c r="R332" s="444"/>
    </row>
    <row r="333" spans="1:18" ht="26.25" customHeight="1" x14ac:dyDescent="0.25">
      <c r="A333" s="1316" t="s">
        <v>2264</v>
      </c>
      <c r="B333" s="1317"/>
      <c r="C333" s="1317"/>
      <c r="D333" s="1317"/>
      <c r="E333" s="1317"/>
      <c r="F333" s="1317"/>
      <c r="G333" s="1317"/>
      <c r="H333" s="1317"/>
      <c r="I333" s="1317"/>
      <c r="J333" s="1317"/>
      <c r="K333" s="1317"/>
      <c r="L333" s="1317"/>
      <c r="M333" s="1317"/>
      <c r="N333" s="1317"/>
      <c r="O333" s="1317"/>
      <c r="P333" s="1317"/>
      <c r="Q333" s="1318"/>
      <c r="R333" s="445"/>
    </row>
    <row r="334" spans="1:18" ht="26.25" customHeight="1" x14ac:dyDescent="0.25">
      <c r="A334" s="1319" t="s">
        <v>2265</v>
      </c>
      <c r="B334" s="1320"/>
      <c r="C334" s="1320"/>
      <c r="D334" s="1320"/>
      <c r="E334" s="1320"/>
      <c r="F334" s="1320"/>
      <c r="G334" s="1320"/>
      <c r="H334" s="1320"/>
      <c r="I334" s="1320"/>
      <c r="J334" s="1320"/>
      <c r="K334" s="1320"/>
      <c r="L334" s="1321"/>
      <c r="M334" s="1322"/>
      <c r="N334" s="1323"/>
      <c r="O334" s="1323"/>
      <c r="P334" s="1323"/>
      <c r="Q334" s="1324"/>
      <c r="R334" s="444"/>
    </row>
    <row r="335" spans="1:18" ht="26.25" customHeight="1" x14ac:dyDescent="0.25">
      <c r="A335" s="1297" t="s">
        <v>2266</v>
      </c>
      <c r="B335" s="1328"/>
      <c r="C335" s="1328"/>
      <c r="D335" s="1328"/>
      <c r="E335" s="1328"/>
      <c r="F335" s="1328"/>
      <c r="G335" s="1328"/>
      <c r="H335" s="1328"/>
      <c r="I335" s="1328"/>
      <c r="J335" s="1328"/>
      <c r="K335" s="1328"/>
      <c r="L335" s="1329"/>
      <c r="M335" s="1299"/>
      <c r="N335" s="1300"/>
      <c r="O335" s="1300"/>
      <c r="P335" s="1300"/>
      <c r="Q335" s="1301"/>
      <c r="R335" s="444"/>
    </row>
    <row r="336" spans="1:18" ht="26.25" customHeight="1" x14ac:dyDescent="0.25">
      <c r="A336" s="1330" t="s">
        <v>2267</v>
      </c>
      <c r="B336" s="1331"/>
      <c r="C336" s="1331"/>
      <c r="D336" s="1331"/>
      <c r="E336" s="1331"/>
      <c r="F336" s="1331"/>
      <c r="G336" s="1331"/>
      <c r="H336" s="1331"/>
      <c r="I336" s="1331"/>
      <c r="J336" s="1331"/>
      <c r="K336" s="1331"/>
      <c r="L336" s="1331"/>
      <c r="M336" s="1331"/>
      <c r="N336" s="1331"/>
      <c r="O336" s="1331"/>
      <c r="P336" s="1331"/>
      <c r="Q336" s="1332"/>
      <c r="R336" s="444"/>
    </row>
    <row r="337" spans="1:18" ht="26.25" customHeight="1" x14ac:dyDescent="0.25">
      <c r="A337" s="1286"/>
      <c r="B337" s="1287"/>
      <c r="C337" s="1287"/>
      <c r="D337" s="1287"/>
      <c r="E337" s="1287"/>
      <c r="F337" s="1287"/>
      <c r="G337" s="1287"/>
      <c r="H337" s="1287"/>
      <c r="I337" s="1287"/>
      <c r="J337" s="1287"/>
      <c r="K337" s="1287"/>
      <c r="L337" s="1287"/>
      <c r="M337" s="1287"/>
      <c r="N337" s="1287"/>
      <c r="O337" s="1287"/>
      <c r="P337" s="1287"/>
      <c r="Q337" s="1296"/>
      <c r="R337" s="444"/>
    </row>
    <row r="338" spans="1:18" ht="26.25" customHeight="1" x14ac:dyDescent="0.25">
      <c r="A338" s="1333"/>
      <c r="B338" s="1334"/>
      <c r="C338" s="1334"/>
      <c r="D338" s="1334"/>
      <c r="E338" s="1334"/>
      <c r="F338" s="1334"/>
      <c r="G338" s="1334"/>
      <c r="H338" s="1334"/>
      <c r="I338" s="1334"/>
      <c r="J338" s="1334"/>
      <c r="K338" s="1334"/>
      <c r="L338" s="1334"/>
      <c r="M338" s="1334"/>
      <c r="N338" s="1334"/>
      <c r="O338" s="1334"/>
      <c r="P338" s="1334"/>
      <c r="Q338" s="1335"/>
      <c r="R338" s="444"/>
    </row>
    <row r="339" spans="1:18" ht="26.25" customHeight="1" x14ac:dyDescent="0.25">
      <c r="A339" s="1283" t="s">
        <v>2268</v>
      </c>
      <c r="B339" s="1284"/>
      <c r="C339" s="1284"/>
      <c r="D339" s="1284"/>
      <c r="E339" s="1284"/>
      <c r="F339" s="1284"/>
      <c r="G339" s="1284"/>
      <c r="H339" s="1284"/>
      <c r="I339" s="1284"/>
      <c r="J339" s="1284"/>
      <c r="K339" s="1284"/>
      <c r="L339" s="1284"/>
      <c r="M339" s="1284"/>
      <c r="N339" s="1284"/>
      <c r="O339" s="1284"/>
      <c r="P339" s="1284"/>
      <c r="Q339" s="1285"/>
      <c r="R339" s="444"/>
    </row>
    <row r="340" spans="1:18" ht="26.25" customHeight="1" x14ac:dyDescent="0.25">
      <c r="A340" s="1286"/>
      <c r="B340" s="1287"/>
      <c r="C340" s="1287"/>
      <c r="D340" s="1287"/>
      <c r="E340" s="1287"/>
      <c r="F340" s="1287"/>
      <c r="G340" s="1287"/>
      <c r="H340" s="1287"/>
      <c r="I340" s="1287"/>
      <c r="J340" s="1287"/>
      <c r="K340" s="1287"/>
      <c r="L340" s="1287"/>
      <c r="M340" s="1287"/>
      <c r="N340" s="1287"/>
      <c r="O340" s="1287"/>
      <c r="P340" s="1287"/>
      <c r="Q340" s="1288"/>
      <c r="R340" s="444"/>
    </row>
    <row r="341" spans="1:18" ht="26.25" customHeight="1" thickBot="1" x14ac:dyDescent="0.3">
      <c r="A341" s="1289"/>
      <c r="B341" s="1290"/>
      <c r="C341" s="1290"/>
      <c r="D341" s="1290"/>
      <c r="E341" s="1290"/>
      <c r="F341" s="1290"/>
      <c r="G341" s="1290"/>
      <c r="H341" s="1290"/>
      <c r="I341" s="1290"/>
      <c r="J341" s="1290"/>
      <c r="K341" s="1290"/>
      <c r="L341" s="1290"/>
      <c r="M341" s="1290"/>
      <c r="N341" s="1290"/>
      <c r="O341" s="1290"/>
      <c r="P341" s="1290"/>
      <c r="Q341" s="1291"/>
      <c r="R341" s="444"/>
    </row>
    <row r="342" spans="1:18" ht="26.25" customHeight="1" x14ac:dyDescent="0.25">
      <c r="A342" s="1292" t="s">
        <v>2269</v>
      </c>
      <c r="B342" s="1293"/>
      <c r="C342" s="1293"/>
      <c r="D342" s="1293"/>
      <c r="E342" s="1293"/>
      <c r="F342" s="1293"/>
      <c r="G342" s="1293"/>
      <c r="H342" s="1293"/>
      <c r="I342" s="1293"/>
      <c r="J342" s="1293"/>
      <c r="K342" s="1293"/>
      <c r="L342" s="1293"/>
      <c r="M342" s="1293"/>
      <c r="N342" s="1293"/>
      <c r="O342" s="1293"/>
      <c r="P342" s="1293"/>
      <c r="Q342" s="1294"/>
    </row>
    <row r="343" spans="1:18" ht="26.25" customHeight="1" x14ac:dyDescent="0.25">
      <c r="A343" s="1295"/>
      <c r="B343" s="1287"/>
      <c r="C343" s="1287"/>
      <c r="D343" s="1287"/>
      <c r="E343" s="1287"/>
      <c r="F343" s="1287"/>
      <c r="G343" s="1287"/>
      <c r="H343" s="1287"/>
      <c r="I343" s="1287"/>
      <c r="J343" s="1287"/>
      <c r="K343" s="1287"/>
      <c r="L343" s="1287"/>
      <c r="M343" s="1287"/>
      <c r="N343" s="1287"/>
      <c r="O343" s="1287"/>
      <c r="P343" s="1287"/>
      <c r="Q343" s="1296"/>
    </row>
    <row r="344" spans="1:18" ht="26.25" customHeight="1" thickBot="1" x14ac:dyDescent="0.3">
      <c r="A344" s="1289"/>
      <c r="B344" s="1290"/>
      <c r="C344" s="1290"/>
      <c r="D344" s="1290"/>
      <c r="E344" s="1290"/>
      <c r="F344" s="1290"/>
      <c r="G344" s="1290"/>
      <c r="H344" s="1290"/>
      <c r="I344" s="1290"/>
      <c r="J344" s="1290"/>
      <c r="K344" s="1290"/>
      <c r="L344" s="1290"/>
      <c r="M344" s="1290"/>
      <c r="N344" s="1290"/>
      <c r="O344" s="1290"/>
      <c r="P344" s="1290"/>
      <c r="Q344" s="1291"/>
      <c r="R344" s="368"/>
    </row>
    <row r="345" spans="1:18" ht="26.25" customHeight="1" x14ac:dyDescent="0.25">
      <c r="A345" s="1316" t="s">
        <v>2270</v>
      </c>
      <c r="B345" s="1317"/>
      <c r="C345" s="1317"/>
      <c r="D345" s="1317"/>
      <c r="E345" s="1317"/>
      <c r="F345" s="1317"/>
      <c r="G345" s="1317"/>
      <c r="H345" s="1317"/>
      <c r="I345" s="1317"/>
      <c r="J345" s="1317"/>
      <c r="K345" s="1317"/>
      <c r="L345" s="1317"/>
      <c r="M345" s="1317"/>
      <c r="N345" s="1317"/>
      <c r="O345" s="1317"/>
      <c r="P345" s="1317"/>
      <c r="Q345" s="1318"/>
      <c r="R345" s="369"/>
    </row>
    <row r="346" spans="1:18" ht="26.25" customHeight="1" x14ac:dyDescent="0.25">
      <c r="A346" s="1355"/>
      <c r="B346" s="1356"/>
      <c r="C346" s="1356"/>
      <c r="D346" s="1356"/>
      <c r="E346" s="1356"/>
      <c r="F346" s="1356"/>
      <c r="G346" s="1356"/>
      <c r="H346" s="1356"/>
      <c r="I346" s="1356"/>
      <c r="J346" s="1356"/>
      <c r="K346" s="1356"/>
      <c r="L346" s="1356"/>
      <c r="M346" s="1356"/>
      <c r="N346" s="1356"/>
      <c r="O346" s="1356"/>
      <c r="P346" s="1356"/>
      <c r="Q346" s="1400"/>
      <c r="R346" s="22"/>
    </row>
    <row r="347" spans="1:18" ht="26.25" customHeight="1" thickBot="1" x14ac:dyDescent="0.3">
      <c r="A347" s="1313"/>
      <c r="B347" s="1314"/>
      <c r="C347" s="1314"/>
      <c r="D347" s="1314"/>
      <c r="E347" s="1314"/>
      <c r="F347" s="1314"/>
      <c r="G347" s="1314"/>
      <c r="H347" s="1314"/>
      <c r="I347" s="1314"/>
      <c r="J347" s="1314"/>
      <c r="K347" s="1314"/>
      <c r="L347" s="1314"/>
      <c r="M347" s="1314"/>
      <c r="N347" s="1314"/>
      <c r="O347" s="1314"/>
      <c r="P347" s="1314"/>
      <c r="Q347" s="1315"/>
      <c r="R347" s="22"/>
    </row>
    <row r="348" spans="1:18" ht="26.25" customHeight="1" x14ac:dyDescent="0.25">
      <c r="A348" s="464" t="e">
        <f>$A$1</f>
        <v>#N/A</v>
      </c>
      <c r="B348" s="375"/>
      <c r="C348" s="375"/>
      <c r="D348" s="375"/>
      <c r="E348" s="375"/>
      <c r="F348" s="375"/>
      <c r="G348" s="375"/>
      <c r="H348" s="375"/>
      <c r="I348" s="375"/>
      <c r="J348" s="375"/>
      <c r="K348" s="375"/>
      <c r="L348" s="375"/>
      <c r="M348" s="375"/>
      <c r="N348" s="375"/>
      <c r="O348" s="375"/>
      <c r="P348" s="375"/>
      <c r="Q348" s="375"/>
      <c r="R348" s="365"/>
    </row>
    <row r="349" spans="1:18" ht="26.25" customHeight="1" x14ac:dyDescent="0.25">
      <c r="A349" s="1401" t="s">
        <v>1662</v>
      </c>
      <c r="B349" s="1402"/>
      <c r="C349" s="1402"/>
      <c r="D349" s="1402"/>
      <c r="E349" s="1402"/>
      <c r="F349" s="1402"/>
      <c r="G349" s="1402"/>
      <c r="H349" s="1402"/>
      <c r="I349" s="1402"/>
      <c r="J349" s="1402"/>
      <c r="K349" s="1402"/>
      <c r="L349" s="1402"/>
      <c r="M349" s="1402"/>
      <c r="N349" s="1403" t="s">
        <v>3626</v>
      </c>
      <c r="O349" s="1403"/>
      <c r="P349" s="1403"/>
      <c r="Q349" s="1404"/>
      <c r="R349" s="447"/>
    </row>
    <row r="350" spans="1:18" ht="26.25" customHeight="1" x14ac:dyDescent="0.25">
      <c r="A350" s="1405" t="str">
        <f>IF(ISBLANK(Cap_Expend_Name),"The Capital Expenditure Contact information has NOT been provided.  Click here to go to Capital Expenditure Contact Section to fill in this information now.","")</f>
        <v/>
      </c>
      <c r="B350" s="1406"/>
      <c r="C350" s="1406"/>
      <c r="D350" s="1406"/>
      <c r="E350" s="1406"/>
      <c r="F350" s="1406"/>
      <c r="G350" s="1406"/>
      <c r="H350" s="1406"/>
      <c r="I350" s="1406"/>
      <c r="J350" s="1406"/>
      <c r="K350" s="1406"/>
      <c r="L350" s="1406"/>
      <c r="M350" s="1406"/>
      <c r="N350" s="462" t="s">
        <v>2236</v>
      </c>
      <c r="O350" s="463"/>
      <c r="P350" s="1407"/>
      <c r="Q350" s="1408"/>
      <c r="R350" s="2"/>
    </row>
    <row r="351" spans="1:18" ht="26.25" customHeight="1" thickBot="1" x14ac:dyDescent="0.3">
      <c r="A351" s="1385" t="s">
        <v>1605</v>
      </c>
      <c r="B351" s="1386"/>
      <c r="C351" s="1386"/>
      <c r="D351" s="1386"/>
      <c r="E351" s="1387"/>
      <c r="F351" s="1388"/>
      <c r="G351" s="1388"/>
      <c r="H351" s="1388"/>
      <c r="I351" s="1388"/>
      <c r="J351" s="1388"/>
      <c r="K351" s="1388"/>
      <c r="L351" s="1389"/>
      <c r="M351" s="348"/>
      <c r="N351" s="1390" t="s">
        <v>2237</v>
      </c>
      <c r="O351" s="1391"/>
      <c r="P351" s="1391"/>
      <c r="Q351" s="1392"/>
      <c r="R351" s="2"/>
    </row>
    <row r="352" spans="1:18" ht="26.25" customHeight="1" x14ac:dyDescent="0.25">
      <c r="A352" s="1397" t="s">
        <v>2238</v>
      </c>
      <c r="B352" s="1398"/>
      <c r="C352" s="1398"/>
      <c r="D352" s="1399"/>
      <c r="E352" s="1380"/>
      <c r="F352" s="1381"/>
      <c r="G352" s="1381"/>
      <c r="H352" s="1381"/>
      <c r="I352" s="1381"/>
      <c r="J352" s="1381"/>
      <c r="K352" s="1381"/>
      <c r="L352" s="1382"/>
      <c r="M352" s="1383" t="str">
        <f>IF(AND(ISBLANK(E352),OR(NOT(ISBLANK(E353)),NOT(ISBLANK(E354)),NOT(ISBLANK(E355)),NOT(ISBLANK(I356)),NOT(ISBLANK(#REF!)))),"This information is required.","")</f>
        <v>This information is required.</v>
      </c>
      <c r="N352" s="1384"/>
      <c r="O352" s="1384"/>
      <c r="P352" s="1384"/>
      <c r="Q352" s="349"/>
      <c r="R352" s="2"/>
    </row>
    <row r="353" spans="1:19" ht="26.25" customHeight="1" x14ac:dyDescent="0.25">
      <c r="A353" s="1364" t="s">
        <v>2239</v>
      </c>
      <c r="B353" s="1365"/>
      <c r="C353" s="1365"/>
      <c r="D353" s="1366"/>
      <c r="E353" s="1380"/>
      <c r="F353" s="1381"/>
      <c r="G353" s="1381"/>
      <c r="H353" s="1381"/>
      <c r="I353" s="1381"/>
      <c r="J353" s="1381"/>
      <c r="K353" s="1381"/>
      <c r="L353" s="1382"/>
      <c r="M353" s="1383" t="str">
        <f>IF(AND(ISBLANK(E353),OR(NOT(ISBLANK(E352)),NOT(ISBLANK(E354)),NOT(ISBLANK(E355)),NOT(ISBLANK(I356)),NOT(ISBLANK(#REF!)))),"This information is required.","")</f>
        <v>This information is required.</v>
      </c>
      <c r="N353" s="1384"/>
      <c r="O353" s="1384"/>
      <c r="P353" s="1384"/>
      <c r="Q353" s="349"/>
      <c r="R353" s="2"/>
    </row>
    <row r="354" spans="1:19" ht="26.25" customHeight="1" x14ac:dyDescent="0.25">
      <c r="A354" s="1393" t="s">
        <v>2240</v>
      </c>
      <c r="B354" s="1394"/>
      <c r="C354" s="1394"/>
      <c r="D354" s="1395"/>
      <c r="E354" s="1380"/>
      <c r="F354" s="1381"/>
      <c r="G354" s="1396" t="s">
        <v>2241</v>
      </c>
      <c r="H354" s="1396"/>
      <c r="I354" s="1396"/>
      <c r="J354" s="1396"/>
      <c r="K354" s="1396"/>
      <c r="L354" s="1396"/>
      <c r="M354" s="596" t="str">
        <f>IF(AND(ISBLANK(E354),OR(NOT(ISBLANK(E352)),NOT(ISBLANK(E353)),NOT(ISBLANK(E355)),NOT(ISBLANK(I356)),NOT(ISBLANK(#REF!)))),"This information is required.","")</f>
        <v>This information is required.</v>
      </c>
      <c r="N354" s="597"/>
      <c r="O354" s="597"/>
      <c r="P354" s="597"/>
      <c r="Q354" s="350"/>
      <c r="R354" s="351"/>
    </row>
    <row r="355" spans="1:19" ht="26.25" customHeight="1" x14ac:dyDescent="0.25">
      <c r="A355" s="1364" t="s">
        <v>2242</v>
      </c>
      <c r="B355" s="1365"/>
      <c r="C355" s="1365"/>
      <c r="D355" s="1366"/>
      <c r="E355" s="1367"/>
      <c r="F355" s="1368"/>
      <c r="G355" s="352"/>
      <c r="H355" s="353"/>
      <c r="I355" s="354"/>
      <c r="J355" s="351"/>
      <c r="K355" s="351"/>
      <c r="L355" s="351"/>
      <c r="M355" s="597" t="str">
        <f>IF(AND(ISBLANK(E355),OR(NOT(ISBLANK(E352)),NOT(ISBLANK(E353)),NOT(ISBLANK(E354)),NOT(ISBLANK(I356)),NOT(ISBLANK(#REF!)))),"This information is required.","")</f>
        <v>This information is required.</v>
      </c>
      <c r="N355" s="597"/>
      <c r="O355" s="597"/>
      <c r="P355" s="597"/>
      <c r="Q355" s="350"/>
      <c r="R355" s="5"/>
      <c r="S355" s="312">
        <f>IF(ISBLANK(E355),0,1)</f>
        <v>0</v>
      </c>
    </row>
    <row r="356" spans="1:19" ht="26.25" customHeight="1" thickBot="1" x14ac:dyDescent="0.3">
      <c r="A356" s="1369" t="s">
        <v>2243</v>
      </c>
      <c r="B356" s="1370"/>
      <c r="C356" s="1370"/>
      <c r="D356" s="1370"/>
      <c r="E356" s="1371"/>
      <c r="F356" s="1371"/>
      <c r="G356" s="1371"/>
      <c r="H356" s="1371"/>
      <c r="I356" s="1372"/>
      <c r="J356" s="1373"/>
      <c r="K356" s="1374" t="s">
        <v>2244</v>
      </c>
      <c r="L356" s="1375"/>
      <c r="M356" s="1376" t="str">
        <f>IF(AND(ISBLANK(I356),OR(NOT(ISBLANK(E352)),NOT(ISBLANK(E353)),NOT(ISBLANK(E354)),NOT(ISBLANK(E355)),NOT(ISBLANK(#REF!)))),"This information is required!","")</f>
        <v>This information is required!</v>
      </c>
      <c r="N356" s="1376"/>
      <c r="O356" s="1376"/>
      <c r="P356" s="1376"/>
      <c r="Q356" s="355"/>
      <c r="R356" s="5"/>
    </row>
    <row r="357" spans="1:19" ht="26.25" customHeight="1" x14ac:dyDescent="0.25">
      <c r="A357" s="1292" t="s">
        <v>2245</v>
      </c>
      <c r="B357" s="1293"/>
      <c r="C357" s="1293"/>
      <c r="D357" s="1293"/>
      <c r="E357" s="1293"/>
      <c r="F357" s="1293"/>
      <c r="G357" s="1293"/>
      <c r="H357" s="1293"/>
      <c r="I357" s="1293"/>
      <c r="J357" s="1377"/>
      <c r="K357" s="1378" t="s">
        <v>2246</v>
      </c>
      <c r="L357" s="1378"/>
      <c r="M357" s="1378"/>
      <c r="N357" s="1378"/>
      <c r="O357" s="1353" t="s">
        <v>2247</v>
      </c>
      <c r="P357" s="1353"/>
      <c r="Q357" s="1354"/>
      <c r="R357" s="448"/>
    </row>
    <row r="358" spans="1:19" ht="45" customHeight="1" x14ac:dyDescent="0.25">
      <c r="A358" s="1355"/>
      <c r="B358" s="1356"/>
      <c r="C358" s="1356"/>
      <c r="D358" s="1356"/>
      <c r="E358" s="1356"/>
      <c r="F358" s="1356"/>
      <c r="G358" s="1356"/>
      <c r="H358" s="1356"/>
      <c r="I358" s="1356"/>
      <c r="J358" s="1357"/>
      <c r="K358" s="1379"/>
      <c r="L358" s="1379"/>
      <c r="M358" s="1379"/>
      <c r="N358" s="1379"/>
      <c r="O358" s="358"/>
      <c r="P358" s="359" t="s">
        <v>103</v>
      </c>
      <c r="Q358" s="360" t="s">
        <v>104</v>
      </c>
      <c r="R358" s="448"/>
    </row>
    <row r="359" spans="1:19" ht="26.25" customHeight="1" x14ac:dyDescent="0.25">
      <c r="A359" s="1358"/>
      <c r="B359" s="1359"/>
      <c r="C359" s="1359"/>
      <c r="D359" s="1359"/>
      <c r="E359" s="1359"/>
      <c r="F359" s="1359"/>
      <c r="G359" s="1359"/>
      <c r="H359" s="1359"/>
      <c r="I359" s="1359"/>
      <c r="J359" s="1360"/>
      <c r="K359" s="1336" t="s">
        <v>2248</v>
      </c>
      <c r="L359" s="1337"/>
      <c r="M359" s="1337"/>
      <c r="N359" s="1337"/>
      <c r="O359" s="1338"/>
      <c r="P359" s="443"/>
      <c r="Q359" s="362"/>
      <c r="R359" s="442" t="str">
        <f>IF(COUNTBLANK(P359:Q359)=2,"Please enter response.",IF(COUNTBLANK(P359:Q359)&lt;&gt;1,"Please VERIFY response.",""))</f>
        <v>Please enter response.</v>
      </c>
    </row>
    <row r="360" spans="1:19" ht="26.25" customHeight="1" x14ac:dyDescent="0.25">
      <c r="A360" s="1361" t="s">
        <v>2249</v>
      </c>
      <c r="B360" s="1362"/>
      <c r="C360" s="1362"/>
      <c r="D360" s="1362"/>
      <c r="E360" s="1362"/>
      <c r="F360" s="1362"/>
      <c r="G360" s="1362"/>
      <c r="H360" s="1362"/>
      <c r="I360" s="1362"/>
      <c r="J360" s="1363"/>
      <c r="K360" s="1336" t="s">
        <v>2250</v>
      </c>
      <c r="L360" s="1337"/>
      <c r="M360" s="1337"/>
      <c r="N360" s="1337"/>
      <c r="O360" s="1338"/>
      <c r="P360" s="443"/>
      <c r="Q360" s="362"/>
      <c r="R360" s="442" t="str">
        <f>IF(COUNTBLANK(P360:Q360)=2,"Please enter response.",IF(COUNTBLANK(P360:Q360)&lt;&gt;1,"Please VERIFY response.",""))</f>
        <v>Please enter response.</v>
      </c>
    </row>
    <row r="361" spans="1:19" ht="26.25" customHeight="1" x14ac:dyDescent="0.25">
      <c r="A361" s="1355"/>
      <c r="B361" s="1356"/>
      <c r="C361" s="1356"/>
      <c r="D361" s="1356"/>
      <c r="E361" s="1356"/>
      <c r="F361" s="1356"/>
      <c r="G361" s="1356"/>
      <c r="H361" s="1356"/>
      <c r="I361" s="1356"/>
      <c r="J361" s="1357"/>
      <c r="K361" s="1336" t="s">
        <v>2251</v>
      </c>
      <c r="L361" s="1337"/>
      <c r="M361" s="1337"/>
      <c r="N361" s="1337"/>
      <c r="O361" s="1338"/>
      <c r="P361" s="443"/>
      <c r="Q361" s="362"/>
      <c r="R361" s="442" t="str">
        <f>IF(COUNTBLANK(P361:Q361)=2,"Please enter response.",IF(COUNTBLANK(P361:Q361)&lt;&gt;1,"Please VERIFY response.",""))</f>
        <v>Please enter response.</v>
      </c>
    </row>
    <row r="362" spans="1:19" ht="26.25" customHeight="1" x14ac:dyDescent="0.25">
      <c r="A362" s="1358"/>
      <c r="B362" s="1359"/>
      <c r="C362" s="1359"/>
      <c r="D362" s="1359"/>
      <c r="E362" s="1359"/>
      <c r="F362" s="1359"/>
      <c r="G362" s="1359"/>
      <c r="H362" s="1359"/>
      <c r="I362" s="1359"/>
      <c r="J362" s="1360"/>
      <c r="K362" s="1336" t="s">
        <v>2252</v>
      </c>
      <c r="L362" s="1337"/>
      <c r="M362" s="1337"/>
      <c r="N362" s="1337"/>
      <c r="O362" s="1338"/>
      <c r="P362" s="443"/>
      <c r="Q362" s="362"/>
      <c r="R362" s="442" t="str">
        <f>IF(COUNTBLANK(P362:Q362)=2,"Please enter response.",IF(COUNTBLANK(P362:Q362)&lt;&gt;1,"Please VERIFY response.",""))</f>
        <v>Please enter response.</v>
      </c>
    </row>
    <row r="363" spans="1:19" ht="26.25" customHeight="1" x14ac:dyDescent="0.25">
      <c r="A363" s="1339" t="s">
        <v>2253</v>
      </c>
      <c r="B363" s="1340"/>
      <c r="C363" s="1340"/>
      <c r="D363" s="1340"/>
      <c r="E363" s="1340"/>
      <c r="F363" s="1340"/>
      <c r="G363" s="1340"/>
      <c r="H363" s="1340"/>
      <c r="I363" s="1340"/>
      <c r="J363" s="1340"/>
      <c r="K363" s="1340"/>
      <c r="L363" s="1340"/>
      <c r="M363" s="1340"/>
      <c r="N363" s="1340"/>
      <c r="O363" s="1340"/>
      <c r="P363" s="1340"/>
      <c r="Q363" s="1341"/>
      <c r="R363" s="363"/>
    </row>
    <row r="364" spans="1:19" ht="26.25" customHeight="1" x14ac:dyDescent="0.25">
      <c r="A364" s="1342" t="s">
        <v>2254</v>
      </c>
      <c r="B364" s="1343"/>
      <c r="C364" s="1343"/>
      <c r="D364" s="1343"/>
      <c r="E364" s="1343" t="s">
        <v>2255</v>
      </c>
      <c r="F364" s="1343"/>
      <c r="G364" s="1343"/>
      <c r="H364" s="1343"/>
      <c r="I364" s="1343" t="s">
        <v>2256</v>
      </c>
      <c r="J364" s="1343"/>
      <c r="K364" s="1343"/>
      <c r="L364" s="1343"/>
      <c r="M364" s="1344" t="s">
        <v>2257</v>
      </c>
      <c r="N364" s="1343"/>
      <c r="O364" s="1343"/>
      <c r="P364" s="1343"/>
      <c r="Q364" s="1345"/>
      <c r="R364" s="364"/>
    </row>
    <row r="365" spans="1:19" ht="26.25" customHeight="1" thickBot="1" x14ac:dyDescent="0.3">
      <c r="A365" s="1346"/>
      <c r="B365" s="1347"/>
      <c r="C365" s="1347"/>
      <c r="D365" s="1347"/>
      <c r="E365" s="1348"/>
      <c r="F365" s="1349"/>
      <c r="G365" s="1349"/>
      <c r="H365" s="1350"/>
      <c r="I365" s="1348"/>
      <c r="J365" s="1349"/>
      <c r="K365" s="1349"/>
      <c r="L365" s="1350"/>
      <c r="M365" s="1351"/>
      <c r="N365" s="1351"/>
      <c r="O365" s="1351"/>
      <c r="P365" s="1351"/>
      <c r="Q365" s="1352"/>
      <c r="R365" s="363"/>
    </row>
    <row r="366" spans="1:19" ht="26.25" customHeight="1" x14ac:dyDescent="0.25">
      <c r="A366" s="1325" t="s">
        <v>2258</v>
      </c>
      <c r="B366" s="1326"/>
      <c r="C366" s="1326"/>
      <c r="D366" s="1326"/>
      <c r="E366" s="1326"/>
      <c r="F366" s="1326"/>
      <c r="G366" s="1326"/>
      <c r="H366" s="1326"/>
      <c r="I366" s="1326"/>
      <c r="J366" s="1326"/>
      <c r="K366" s="1326"/>
      <c r="L366" s="1326"/>
      <c r="M366" s="1326"/>
      <c r="N366" s="1326"/>
      <c r="O366" s="1326"/>
      <c r="P366" s="1326"/>
      <c r="Q366" s="1327"/>
      <c r="R366" s="445"/>
    </row>
    <row r="367" spans="1:19" ht="26.25" customHeight="1" x14ac:dyDescent="0.25">
      <c r="A367" s="1297" t="s">
        <v>2259</v>
      </c>
      <c r="B367" s="1328"/>
      <c r="C367" s="1328"/>
      <c r="D367" s="1328"/>
      <c r="E367" s="1328"/>
      <c r="F367" s="1328"/>
      <c r="G367" s="1328"/>
      <c r="H367" s="1328"/>
      <c r="I367" s="1328"/>
      <c r="J367" s="1328"/>
      <c r="K367" s="1328"/>
      <c r="L367" s="1329"/>
      <c r="M367" s="1322"/>
      <c r="N367" s="1323"/>
      <c r="O367" s="1323"/>
      <c r="P367" s="1323"/>
      <c r="Q367" s="1324"/>
      <c r="R367" s="445"/>
    </row>
    <row r="368" spans="1:19" ht="26.25" customHeight="1" x14ac:dyDescent="0.25">
      <c r="A368" s="1297" t="s">
        <v>2260</v>
      </c>
      <c r="B368" s="1298"/>
      <c r="C368" s="1298"/>
      <c r="D368" s="1298"/>
      <c r="E368" s="1298"/>
      <c r="F368" s="1298"/>
      <c r="G368" s="1298"/>
      <c r="H368" s="1298"/>
      <c r="I368" s="1298"/>
      <c r="J368" s="1298"/>
      <c r="K368" s="1298"/>
      <c r="L368" s="1298"/>
      <c r="M368" s="1299"/>
      <c r="N368" s="1300"/>
      <c r="O368" s="1300"/>
      <c r="P368" s="1300"/>
      <c r="Q368" s="1301"/>
      <c r="R368" s="445"/>
    </row>
    <row r="369" spans="1:18" ht="26.25" customHeight="1" x14ac:dyDescent="0.25">
      <c r="A369" s="1297" t="s">
        <v>2261</v>
      </c>
      <c r="B369" s="1298"/>
      <c r="C369" s="1298"/>
      <c r="D369" s="1298"/>
      <c r="E369" s="1298"/>
      <c r="F369" s="1298"/>
      <c r="G369" s="1298"/>
      <c r="H369" s="1298"/>
      <c r="I369" s="1298"/>
      <c r="J369" s="1298"/>
      <c r="K369" s="1298"/>
      <c r="L369" s="1298"/>
      <c r="M369" s="1299"/>
      <c r="N369" s="1300"/>
      <c r="O369" s="1300"/>
      <c r="P369" s="1300"/>
      <c r="Q369" s="1301"/>
      <c r="R369" s="445"/>
    </row>
    <row r="370" spans="1:18" ht="26.25" customHeight="1" x14ac:dyDescent="0.25">
      <c r="A370" s="1302" t="s">
        <v>2262</v>
      </c>
      <c r="B370" s="1303"/>
      <c r="C370" s="1303"/>
      <c r="D370" s="1303"/>
      <c r="E370" s="1303"/>
      <c r="F370" s="1303"/>
      <c r="G370" s="1303"/>
      <c r="H370" s="1303"/>
      <c r="I370" s="1303"/>
      <c r="J370" s="1303"/>
      <c r="K370" s="1303"/>
      <c r="L370" s="1303"/>
      <c r="M370" s="1303"/>
      <c r="N370" s="1303"/>
      <c r="O370" s="1303"/>
      <c r="P370" s="1303"/>
      <c r="Q370" s="1304"/>
      <c r="R370" s="445"/>
    </row>
    <row r="371" spans="1:18" ht="26.25" customHeight="1" x14ac:dyDescent="0.25">
      <c r="A371" s="1286"/>
      <c r="B371" s="1287"/>
      <c r="C371" s="1287"/>
      <c r="D371" s="1287"/>
      <c r="E371" s="1287"/>
      <c r="F371" s="1287"/>
      <c r="G371" s="1287"/>
      <c r="H371" s="1287"/>
      <c r="I371" s="1287"/>
      <c r="J371" s="1287"/>
      <c r="K371" s="1287"/>
      <c r="L371" s="1287"/>
      <c r="M371" s="1287"/>
      <c r="N371" s="1287"/>
      <c r="O371" s="1287"/>
      <c r="P371" s="1287"/>
      <c r="Q371" s="1288"/>
      <c r="R371" s="445"/>
    </row>
    <row r="372" spans="1:18" ht="26.25" customHeight="1" x14ac:dyDescent="0.25">
      <c r="A372" s="1305"/>
      <c r="B372" s="1306"/>
      <c r="C372" s="1306"/>
      <c r="D372" s="1306"/>
      <c r="E372" s="1306"/>
      <c r="F372" s="1306"/>
      <c r="G372" s="1306"/>
      <c r="H372" s="1306"/>
      <c r="I372" s="1306"/>
      <c r="J372" s="1306"/>
      <c r="K372" s="1306"/>
      <c r="L372" s="1306"/>
      <c r="M372" s="1306"/>
      <c r="N372" s="1306"/>
      <c r="O372" s="1306"/>
      <c r="P372" s="1306"/>
      <c r="Q372" s="1307"/>
      <c r="R372" s="445"/>
    </row>
    <row r="373" spans="1:18" ht="26.25" customHeight="1" x14ac:dyDescent="0.25">
      <c r="A373" s="1308" t="s">
        <v>2263</v>
      </c>
      <c r="B373" s="1309"/>
      <c r="C373" s="1309"/>
      <c r="D373" s="1309"/>
      <c r="E373" s="1309"/>
      <c r="F373" s="1309"/>
      <c r="G373" s="1309"/>
      <c r="H373" s="1309"/>
      <c r="I373" s="1309"/>
      <c r="J373" s="1309"/>
      <c r="K373" s="1309"/>
      <c r="L373" s="1309"/>
      <c r="M373" s="1309"/>
      <c r="N373" s="1309"/>
      <c r="O373" s="1309"/>
      <c r="P373" s="1309"/>
      <c r="Q373" s="1310"/>
      <c r="R373" s="445"/>
    </row>
    <row r="374" spans="1:18" ht="26.25" customHeight="1" x14ac:dyDescent="0.25">
      <c r="A374" s="1286"/>
      <c r="B374" s="1311"/>
      <c r="C374" s="1311"/>
      <c r="D374" s="1311"/>
      <c r="E374" s="1311"/>
      <c r="F374" s="1311"/>
      <c r="G374" s="1311"/>
      <c r="H374" s="1311"/>
      <c r="I374" s="1311"/>
      <c r="J374" s="1311"/>
      <c r="K374" s="1311"/>
      <c r="L374" s="1311"/>
      <c r="M374" s="1311"/>
      <c r="N374" s="1311"/>
      <c r="O374" s="1311"/>
      <c r="P374" s="1311"/>
      <c r="Q374" s="1312"/>
      <c r="R374" s="445"/>
    </row>
    <row r="375" spans="1:18" ht="26.25" customHeight="1" thickBot="1" x14ac:dyDescent="0.3">
      <c r="A375" s="1313"/>
      <c r="B375" s="1314"/>
      <c r="C375" s="1314"/>
      <c r="D375" s="1314"/>
      <c r="E375" s="1314"/>
      <c r="F375" s="1314"/>
      <c r="G375" s="1314"/>
      <c r="H375" s="1314"/>
      <c r="I375" s="1314"/>
      <c r="J375" s="1314"/>
      <c r="K375" s="1314"/>
      <c r="L375" s="1314"/>
      <c r="M375" s="1314"/>
      <c r="N375" s="1314"/>
      <c r="O375" s="1314"/>
      <c r="P375" s="1314"/>
      <c r="Q375" s="1315"/>
      <c r="R375" s="444"/>
    </row>
    <row r="376" spans="1:18" ht="26.25" customHeight="1" x14ac:dyDescent="0.25">
      <c r="A376" s="1316" t="s">
        <v>2264</v>
      </c>
      <c r="B376" s="1317"/>
      <c r="C376" s="1317"/>
      <c r="D376" s="1317"/>
      <c r="E376" s="1317"/>
      <c r="F376" s="1317"/>
      <c r="G376" s="1317"/>
      <c r="H376" s="1317"/>
      <c r="I376" s="1317"/>
      <c r="J376" s="1317"/>
      <c r="K376" s="1317"/>
      <c r="L376" s="1317"/>
      <c r="M376" s="1317"/>
      <c r="N376" s="1317"/>
      <c r="O376" s="1317"/>
      <c r="P376" s="1317"/>
      <c r="Q376" s="1318"/>
      <c r="R376" s="445"/>
    </row>
    <row r="377" spans="1:18" ht="26.25" customHeight="1" x14ac:dyDescent="0.25">
      <c r="A377" s="1319" t="s">
        <v>2265</v>
      </c>
      <c r="B377" s="1320"/>
      <c r="C377" s="1320"/>
      <c r="D377" s="1320"/>
      <c r="E377" s="1320"/>
      <c r="F377" s="1320"/>
      <c r="G377" s="1320"/>
      <c r="H377" s="1320"/>
      <c r="I377" s="1320"/>
      <c r="J377" s="1320"/>
      <c r="K377" s="1320"/>
      <c r="L377" s="1321"/>
      <c r="M377" s="1322"/>
      <c r="N377" s="1323"/>
      <c r="O377" s="1323"/>
      <c r="P377" s="1323"/>
      <c r="Q377" s="1324"/>
      <c r="R377" s="444"/>
    </row>
    <row r="378" spans="1:18" ht="26.25" customHeight="1" x14ac:dyDescent="0.25">
      <c r="A378" s="1297" t="s">
        <v>2266</v>
      </c>
      <c r="B378" s="1328"/>
      <c r="C378" s="1328"/>
      <c r="D378" s="1328"/>
      <c r="E378" s="1328"/>
      <c r="F378" s="1328"/>
      <c r="G378" s="1328"/>
      <c r="H378" s="1328"/>
      <c r="I378" s="1328"/>
      <c r="J378" s="1328"/>
      <c r="K378" s="1328"/>
      <c r="L378" s="1329"/>
      <c r="M378" s="1299"/>
      <c r="N378" s="1300"/>
      <c r="O378" s="1300"/>
      <c r="P378" s="1300"/>
      <c r="Q378" s="1301"/>
      <c r="R378" s="444"/>
    </row>
    <row r="379" spans="1:18" ht="26.25" customHeight="1" x14ac:dyDescent="0.25">
      <c r="A379" s="1330" t="s">
        <v>2267</v>
      </c>
      <c r="B379" s="1331"/>
      <c r="C379" s="1331"/>
      <c r="D379" s="1331"/>
      <c r="E379" s="1331"/>
      <c r="F379" s="1331"/>
      <c r="G379" s="1331"/>
      <c r="H379" s="1331"/>
      <c r="I379" s="1331"/>
      <c r="J379" s="1331"/>
      <c r="K379" s="1331"/>
      <c r="L379" s="1331"/>
      <c r="M379" s="1331"/>
      <c r="N379" s="1331"/>
      <c r="O379" s="1331"/>
      <c r="P379" s="1331"/>
      <c r="Q379" s="1332"/>
      <c r="R379" s="444"/>
    </row>
    <row r="380" spans="1:18" ht="26.25" customHeight="1" x14ac:dyDescent="0.25">
      <c r="A380" s="1286"/>
      <c r="B380" s="1287"/>
      <c r="C380" s="1287"/>
      <c r="D380" s="1287"/>
      <c r="E380" s="1287"/>
      <c r="F380" s="1287"/>
      <c r="G380" s="1287"/>
      <c r="H380" s="1287"/>
      <c r="I380" s="1287"/>
      <c r="J380" s="1287"/>
      <c r="K380" s="1287"/>
      <c r="L380" s="1287"/>
      <c r="M380" s="1287"/>
      <c r="N380" s="1287"/>
      <c r="O380" s="1287"/>
      <c r="P380" s="1287"/>
      <c r="Q380" s="1296"/>
      <c r="R380" s="444"/>
    </row>
    <row r="381" spans="1:18" ht="26.25" customHeight="1" x14ac:dyDescent="0.25">
      <c r="A381" s="1333"/>
      <c r="B381" s="1334"/>
      <c r="C381" s="1334"/>
      <c r="D381" s="1334"/>
      <c r="E381" s="1334"/>
      <c r="F381" s="1334"/>
      <c r="G381" s="1334"/>
      <c r="H381" s="1334"/>
      <c r="I381" s="1334"/>
      <c r="J381" s="1334"/>
      <c r="K381" s="1334"/>
      <c r="L381" s="1334"/>
      <c r="M381" s="1334"/>
      <c r="N381" s="1334"/>
      <c r="O381" s="1334"/>
      <c r="P381" s="1334"/>
      <c r="Q381" s="1335"/>
      <c r="R381" s="444"/>
    </row>
    <row r="382" spans="1:18" ht="26.25" customHeight="1" x14ac:dyDescent="0.25">
      <c r="A382" s="1283" t="s">
        <v>2268</v>
      </c>
      <c r="B382" s="1284"/>
      <c r="C382" s="1284"/>
      <c r="D382" s="1284"/>
      <c r="E382" s="1284"/>
      <c r="F382" s="1284"/>
      <c r="G382" s="1284"/>
      <c r="H382" s="1284"/>
      <c r="I382" s="1284"/>
      <c r="J382" s="1284"/>
      <c r="K382" s="1284"/>
      <c r="L382" s="1284"/>
      <c r="M382" s="1284"/>
      <c r="N382" s="1284"/>
      <c r="O382" s="1284"/>
      <c r="P382" s="1284"/>
      <c r="Q382" s="1285"/>
      <c r="R382" s="444"/>
    </row>
    <row r="383" spans="1:18" ht="26.25" customHeight="1" x14ac:dyDescent="0.25">
      <c r="A383" s="1286"/>
      <c r="B383" s="1287"/>
      <c r="C383" s="1287"/>
      <c r="D383" s="1287"/>
      <c r="E383" s="1287"/>
      <c r="F383" s="1287"/>
      <c r="G383" s="1287"/>
      <c r="H383" s="1287"/>
      <c r="I383" s="1287"/>
      <c r="J383" s="1287"/>
      <c r="K383" s="1287"/>
      <c r="L383" s="1287"/>
      <c r="M383" s="1287"/>
      <c r="N383" s="1287"/>
      <c r="O383" s="1287"/>
      <c r="P383" s="1287"/>
      <c r="Q383" s="1288"/>
      <c r="R383" s="444"/>
    </row>
    <row r="384" spans="1:18" ht="26.25" customHeight="1" thickBot="1" x14ac:dyDescent="0.3">
      <c r="A384" s="1289"/>
      <c r="B384" s="1290"/>
      <c r="C384" s="1290"/>
      <c r="D384" s="1290"/>
      <c r="E384" s="1290"/>
      <c r="F384" s="1290"/>
      <c r="G384" s="1290"/>
      <c r="H384" s="1290"/>
      <c r="I384" s="1290"/>
      <c r="J384" s="1290"/>
      <c r="K384" s="1290"/>
      <c r="L384" s="1290"/>
      <c r="M384" s="1290"/>
      <c r="N384" s="1290"/>
      <c r="O384" s="1290"/>
      <c r="P384" s="1290"/>
      <c r="Q384" s="1291"/>
      <c r="R384" s="444"/>
    </row>
    <row r="385" spans="1:19" ht="26.25" customHeight="1" x14ac:dyDescent="0.25">
      <c r="A385" s="1292" t="s">
        <v>2269</v>
      </c>
      <c r="B385" s="1293"/>
      <c r="C385" s="1293"/>
      <c r="D385" s="1293"/>
      <c r="E385" s="1293"/>
      <c r="F385" s="1293"/>
      <c r="G385" s="1293"/>
      <c r="H385" s="1293"/>
      <c r="I385" s="1293"/>
      <c r="J385" s="1293"/>
      <c r="K385" s="1293"/>
      <c r="L385" s="1293"/>
      <c r="M385" s="1293"/>
      <c r="N385" s="1293"/>
      <c r="O385" s="1293"/>
      <c r="P385" s="1293"/>
      <c r="Q385" s="1294"/>
    </row>
    <row r="386" spans="1:19" ht="26.25" customHeight="1" x14ac:dyDescent="0.25">
      <c r="A386" s="1295"/>
      <c r="B386" s="1287"/>
      <c r="C386" s="1287"/>
      <c r="D386" s="1287"/>
      <c r="E386" s="1287"/>
      <c r="F386" s="1287"/>
      <c r="G386" s="1287"/>
      <c r="H386" s="1287"/>
      <c r="I386" s="1287"/>
      <c r="J386" s="1287"/>
      <c r="K386" s="1287"/>
      <c r="L386" s="1287"/>
      <c r="M386" s="1287"/>
      <c r="N386" s="1287"/>
      <c r="O386" s="1287"/>
      <c r="P386" s="1287"/>
      <c r="Q386" s="1296"/>
    </row>
    <row r="387" spans="1:19" ht="26.25" customHeight="1" thickBot="1" x14ac:dyDescent="0.3">
      <c r="A387" s="1289"/>
      <c r="B387" s="1290"/>
      <c r="C387" s="1290"/>
      <c r="D387" s="1290"/>
      <c r="E387" s="1290"/>
      <c r="F387" s="1290"/>
      <c r="G387" s="1290"/>
      <c r="H387" s="1290"/>
      <c r="I387" s="1290"/>
      <c r="J387" s="1290"/>
      <c r="K387" s="1290"/>
      <c r="L387" s="1290"/>
      <c r="M387" s="1290"/>
      <c r="N387" s="1290"/>
      <c r="O387" s="1290"/>
      <c r="P387" s="1290"/>
      <c r="Q387" s="1291"/>
      <c r="R387" s="368"/>
    </row>
    <row r="388" spans="1:19" ht="26.25" customHeight="1" x14ac:dyDescent="0.25">
      <c r="A388" s="1316" t="s">
        <v>2270</v>
      </c>
      <c r="B388" s="1317"/>
      <c r="C388" s="1317"/>
      <c r="D388" s="1317"/>
      <c r="E388" s="1317"/>
      <c r="F388" s="1317"/>
      <c r="G388" s="1317"/>
      <c r="H388" s="1317"/>
      <c r="I388" s="1317"/>
      <c r="J388" s="1317"/>
      <c r="K388" s="1317"/>
      <c r="L388" s="1317"/>
      <c r="M388" s="1317"/>
      <c r="N388" s="1317"/>
      <c r="O388" s="1317"/>
      <c r="P388" s="1317"/>
      <c r="Q388" s="1318"/>
      <c r="R388" s="369"/>
    </row>
    <row r="389" spans="1:19" ht="26.25" customHeight="1" x14ac:dyDescent="0.25">
      <c r="A389" s="1355"/>
      <c r="B389" s="1356"/>
      <c r="C389" s="1356"/>
      <c r="D389" s="1356"/>
      <c r="E389" s="1356"/>
      <c r="F389" s="1356"/>
      <c r="G389" s="1356"/>
      <c r="H389" s="1356"/>
      <c r="I389" s="1356"/>
      <c r="J389" s="1356"/>
      <c r="K389" s="1356"/>
      <c r="L389" s="1356"/>
      <c r="M389" s="1356"/>
      <c r="N389" s="1356"/>
      <c r="O389" s="1356"/>
      <c r="P389" s="1356"/>
      <c r="Q389" s="1400"/>
      <c r="R389" s="22"/>
    </row>
    <row r="390" spans="1:19" ht="26.25" customHeight="1" thickBot="1" x14ac:dyDescent="0.3">
      <c r="A390" s="1313"/>
      <c r="B390" s="1314"/>
      <c r="C390" s="1314"/>
      <c r="D390" s="1314"/>
      <c r="E390" s="1314"/>
      <c r="F390" s="1314"/>
      <c r="G390" s="1314"/>
      <c r="H390" s="1314"/>
      <c r="I390" s="1314"/>
      <c r="J390" s="1314"/>
      <c r="K390" s="1314"/>
      <c r="L390" s="1314"/>
      <c r="M390" s="1314"/>
      <c r="N390" s="1314"/>
      <c r="O390" s="1314"/>
      <c r="P390" s="1314"/>
      <c r="Q390" s="1315"/>
      <c r="R390" s="22"/>
    </row>
    <row r="391" spans="1:19" ht="26.25" customHeight="1" x14ac:dyDescent="0.25">
      <c r="A391" s="464" t="e">
        <f>$A$1</f>
        <v>#N/A</v>
      </c>
      <c r="B391" s="444"/>
      <c r="C391" s="444"/>
      <c r="D391" s="444"/>
      <c r="E391" s="444"/>
      <c r="F391" s="444"/>
      <c r="G391" s="444"/>
      <c r="H391" s="444"/>
      <c r="I391" s="444"/>
      <c r="J391" s="444"/>
      <c r="K391" s="444"/>
      <c r="L391" s="444"/>
      <c r="M391" s="444"/>
      <c r="N391" s="444"/>
      <c r="O391" s="444"/>
      <c r="P391" s="444"/>
      <c r="Q391" s="444"/>
      <c r="R391" s="366"/>
    </row>
    <row r="392" spans="1:19" ht="26.25" customHeight="1" x14ac:dyDescent="0.25">
      <c r="A392" s="1401" t="s">
        <v>1663</v>
      </c>
      <c r="B392" s="1402"/>
      <c r="C392" s="1402"/>
      <c r="D392" s="1402"/>
      <c r="E392" s="1402"/>
      <c r="F392" s="1402"/>
      <c r="G392" s="1402"/>
      <c r="H392" s="1402"/>
      <c r="I392" s="1402"/>
      <c r="J392" s="1402"/>
      <c r="K392" s="1402"/>
      <c r="L392" s="1402"/>
      <c r="M392" s="1402"/>
      <c r="N392" s="1403" t="s">
        <v>3626</v>
      </c>
      <c r="O392" s="1403"/>
      <c r="P392" s="1403"/>
      <c r="Q392" s="1404"/>
      <c r="R392" s="447"/>
    </row>
    <row r="393" spans="1:19" ht="26.25" customHeight="1" x14ac:dyDescent="0.25">
      <c r="A393" s="1405" t="str">
        <f>IF(ISBLANK(Cap_Expend_Name),"The Capital Expenditure Contact information has NOT been provided.  Click here to go to Capital Expenditure Contact Section to fill in this information now.","")</f>
        <v/>
      </c>
      <c r="B393" s="1406"/>
      <c r="C393" s="1406"/>
      <c r="D393" s="1406"/>
      <c r="E393" s="1406"/>
      <c r="F393" s="1406"/>
      <c r="G393" s="1406"/>
      <c r="H393" s="1406"/>
      <c r="I393" s="1406"/>
      <c r="J393" s="1406"/>
      <c r="K393" s="1406"/>
      <c r="L393" s="1406"/>
      <c r="M393" s="1406"/>
      <c r="N393" s="462" t="s">
        <v>2236</v>
      </c>
      <c r="O393" s="463"/>
      <c r="P393" s="1407"/>
      <c r="Q393" s="1408"/>
      <c r="R393" s="2"/>
    </row>
    <row r="394" spans="1:19" ht="26.25" customHeight="1" thickBot="1" x14ac:dyDescent="0.3">
      <c r="A394" s="1385" t="s">
        <v>1605</v>
      </c>
      <c r="B394" s="1386"/>
      <c r="C394" s="1386"/>
      <c r="D394" s="1386"/>
      <c r="E394" s="1387"/>
      <c r="F394" s="1388"/>
      <c r="G394" s="1388"/>
      <c r="H394" s="1388"/>
      <c r="I394" s="1388"/>
      <c r="J394" s="1388"/>
      <c r="K394" s="1388"/>
      <c r="L394" s="1389"/>
      <c r="M394" s="348"/>
      <c r="N394" s="1390" t="s">
        <v>2237</v>
      </c>
      <c r="O394" s="1391"/>
      <c r="P394" s="1391"/>
      <c r="Q394" s="1392"/>
      <c r="R394" s="2"/>
    </row>
    <row r="395" spans="1:19" ht="26.25" customHeight="1" x14ac:dyDescent="0.25">
      <c r="A395" s="1397" t="s">
        <v>2238</v>
      </c>
      <c r="B395" s="1398"/>
      <c r="C395" s="1398"/>
      <c r="D395" s="1399"/>
      <c r="E395" s="1380"/>
      <c r="F395" s="1381"/>
      <c r="G395" s="1381"/>
      <c r="H395" s="1381"/>
      <c r="I395" s="1381"/>
      <c r="J395" s="1381"/>
      <c r="K395" s="1381"/>
      <c r="L395" s="1382"/>
      <c r="M395" s="1383" t="str">
        <f>IF(AND(ISBLANK(E395),OR(NOT(ISBLANK(E396)),NOT(ISBLANK(E397)),NOT(ISBLANK(E398)),NOT(ISBLANK(I399)),NOT(ISBLANK(#REF!)))),"This information is required.","")</f>
        <v>This information is required.</v>
      </c>
      <c r="N395" s="1384"/>
      <c r="O395" s="1384"/>
      <c r="P395" s="1384"/>
      <c r="Q395" s="349"/>
      <c r="R395" s="2"/>
    </row>
    <row r="396" spans="1:19" ht="26.25" customHeight="1" x14ac:dyDescent="0.25">
      <c r="A396" s="1364" t="s">
        <v>2239</v>
      </c>
      <c r="B396" s="1365"/>
      <c r="C396" s="1365"/>
      <c r="D396" s="1366"/>
      <c r="E396" s="1380"/>
      <c r="F396" s="1381"/>
      <c r="G396" s="1381"/>
      <c r="H396" s="1381"/>
      <c r="I396" s="1381"/>
      <c r="J396" s="1381"/>
      <c r="K396" s="1381"/>
      <c r="L396" s="1382"/>
      <c r="M396" s="1383" t="str">
        <f>IF(AND(ISBLANK(E396),OR(NOT(ISBLANK(E395)),NOT(ISBLANK(E397)),NOT(ISBLANK(E398)),NOT(ISBLANK(I399)),NOT(ISBLANK(#REF!)))),"This information is required.","")</f>
        <v>This information is required.</v>
      </c>
      <c r="N396" s="1384"/>
      <c r="O396" s="1384"/>
      <c r="P396" s="1384"/>
      <c r="Q396" s="349"/>
      <c r="R396" s="2"/>
    </row>
    <row r="397" spans="1:19" ht="26.25" customHeight="1" x14ac:dyDescent="0.25">
      <c r="A397" s="1393" t="s">
        <v>2240</v>
      </c>
      <c r="B397" s="1394"/>
      <c r="C397" s="1394"/>
      <c r="D397" s="1395"/>
      <c r="E397" s="1429"/>
      <c r="F397" s="1381"/>
      <c r="G397" s="1396" t="s">
        <v>2241</v>
      </c>
      <c r="H397" s="1396"/>
      <c r="I397" s="1396"/>
      <c r="J397" s="1396"/>
      <c r="K397" s="1396"/>
      <c r="L397" s="1396"/>
      <c r="M397" s="596" t="str">
        <f>IF(AND(ISBLANK(E397),OR(NOT(ISBLANK(E395)),NOT(ISBLANK(E396)),NOT(ISBLANK(E398)),NOT(ISBLANK(I399)),NOT(ISBLANK(#REF!)))),"This information is required.","")</f>
        <v>This information is required.</v>
      </c>
      <c r="N397" s="597"/>
      <c r="O397" s="597"/>
      <c r="P397" s="597"/>
      <c r="Q397" s="350"/>
      <c r="R397" s="351"/>
    </row>
    <row r="398" spans="1:19" ht="26.25" customHeight="1" x14ac:dyDescent="0.25">
      <c r="A398" s="1364" t="s">
        <v>2242</v>
      </c>
      <c r="B398" s="1365"/>
      <c r="C398" s="1365"/>
      <c r="D398" s="1366"/>
      <c r="E398" s="1367"/>
      <c r="F398" s="1368"/>
      <c r="G398" s="352"/>
      <c r="H398" s="353"/>
      <c r="I398" s="354"/>
      <c r="J398" s="351"/>
      <c r="K398" s="351"/>
      <c r="L398" s="351"/>
      <c r="M398" s="597" t="str">
        <f>IF(AND(ISBLANK(E398),OR(NOT(ISBLANK(E395)),NOT(ISBLANK(E396)),NOT(ISBLANK(E397)),NOT(ISBLANK(I399)),NOT(ISBLANK(#REF!)))),"This information is required.","")</f>
        <v>This information is required.</v>
      </c>
      <c r="N398" s="597"/>
      <c r="O398" s="597"/>
      <c r="P398" s="597"/>
      <c r="Q398" s="350"/>
      <c r="R398" s="5"/>
      <c r="S398" s="312">
        <f>IF(ISBLANK(E398),0,1)</f>
        <v>0</v>
      </c>
    </row>
    <row r="399" spans="1:19" ht="26.25" customHeight="1" thickBot="1" x14ac:dyDescent="0.3">
      <c r="A399" s="1369" t="s">
        <v>2243</v>
      </c>
      <c r="B399" s="1370"/>
      <c r="C399" s="1370"/>
      <c r="D399" s="1370"/>
      <c r="E399" s="1371"/>
      <c r="F399" s="1371"/>
      <c r="G399" s="1371"/>
      <c r="H399" s="1371"/>
      <c r="I399" s="1372"/>
      <c r="J399" s="1373"/>
      <c r="K399" s="1374" t="s">
        <v>2244</v>
      </c>
      <c r="L399" s="1375"/>
      <c r="M399" s="1376" t="str">
        <f>IF(AND(ISBLANK(I399),OR(NOT(ISBLANK(E395)),NOT(ISBLANK(E396)),NOT(ISBLANK(E397)),NOT(ISBLANK(E398)),NOT(ISBLANK(#REF!)))),"This information is required!","")</f>
        <v>This information is required!</v>
      </c>
      <c r="N399" s="1376"/>
      <c r="O399" s="1376"/>
      <c r="P399" s="1376"/>
      <c r="Q399" s="355"/>
      <c r="R399" s="5"/>
    </row>
    <row r="400" spans="1:19" ht="26.25" customHeight="1" x14ac:dyDescent="0.25">
      <c r="A400" s="1292" t="s">
        <v>2245</v>
      </c>
      <c r="B400" s="1293"/>
      <c r="C400" s="1293"/>
      <c r="D400" s="1293"/>
      <c r="E400" s="1293"/>
      <c r="F400" s="1293"/>
      <c r="G400" s="1293"/>
      <c r="H400" s="1293"/>
      <c r="I400" s="1293"/>
      <c r="J400" s="1377"/>
      <c r="K400" s="1378" t="s">
        <v>2246</v>
      </c>
      <c r="L400" s="1378"/>
      <c r="M400" s="1378"/>
      <c r="N400" s="1378"/>
      <c r="O400" s="1353" t="s">
        <v>2247</v>
      </c>
      <c r="P400" s="1353"/>
      <c r="Q400" s="1354"/>
      <c r="R400" s="448"/>
    </row>
    <row r="401" spans="1:18" ht="45" customHeight="1" x14ac:dyDescent="0.25">
      <c r="A401" s="1355"/>
      <c r="B401" s="1356"/>
      <c r="C401" s="1356"/>
      <c r="D401" s="1356"/>
      <c r="E401" s="1356"/>
      <c r="F401" s="1356"/>
      <c r="G401" s="1356"/>
      <c r="H401" s="1356"/>
      <c r="I401" s="1356"/>
      <c r="J401" s="1357"/>
      <c r="K401" s="1379"/>
      <c r="L401" s="1379"/>
      <c r="M401" s="1379"/>
      <c r="N401" s="1379"/>
      <c r="O401" s="358"/>
      <c r="P401" s="359" t="s">
        <v>103</v>
      </c>
      <c r="Q401" s="360" t="s">
        <v>104</v>
      </c>
      <c r="R401" s="448"/>
    </row>
    <row r="402" spans="1:18" ht="26.25" customHeight="1" x14ac:dyDescent="0.25">
      <c r="A402" s="1358"/>
      <c r="B402" s="1359"/>
      <c r="C402" s="1359"/>
      <c r="D402" s="1359"/>
      <c r="E402" s="1359"/>
      <c r="F402" s="1359"/>
      <c r="G402" s="1359"/>
      <c r="H402" s="1359"/>
      <c r="I402" s="1359"/>
      <c r="J402" s="1360"/>
      <c r="K402" s="1336" t="s">
        <v>2248</v>
      </c>
      <c r="L402" s="1337"/>
      <c r="M402" s="1337"/>
      <c r="N402" s="1337"/>
      <c r="O402" s="1338"/>
      <c r="P402" s="443"/>
      <c r="Q402" s="362"/>
      <c r="R402" s="442" t="str">
        <f>IF(COUNTBLANK(P402:Q402)=2,"Please enter response.",IF(COUNTBLANK(P402:Q402)&lt;&gt;1,"Please VERIFY response.",""))</f>
        <v>Please enter response.</v>
      </c>
    </row>
    <row r="403" spans="1:18" ht="26.25" customHeight="1" x14ac:dyDescent="0.25">
      <c r="A403" s="1361" t="s">
        <v>2249</v>
      </c>
      <c r="B403" s="1362"/>
      <c r="C403" s="1362"/>
      <c r="D403" s="1362"/>
      <c r="E403" s="1362"/>
      <c r="F403" s="1362"/>
      <c r="G403" s="1362"/>
      <c r="H403" s="1362"/>
      <c r="I403" s="1362"/>
      <c r="J403" s="1363"/>
      <c r="K403" s="1336" t="s">
        <v>2250</v>
      </c>
      <c r="L403" s="1337"/>
      <c r="M403" s="1337"/>
      <c r="N403" s="1337"/>
      <c r="O403" s="1338"/>
      <c r="P403" s="443"/>
      <c r="Q403" s="362"/>
      <c r="R403" s="442" t="str">
        <f>IF(COUNTBLANK(P403:Q403)=2,"Please enter response.",IF(COUNTBLANK(P403:Q403)&lt;&gt;1,"Please VERIFY response.",""))</f>
        <v>Please enter response.</v>
      </c>
    </row>
    <row r="404" spans="1:18" ht="26.25" customHeight="1" x14ac:dyDescent="0.25">
      <c r="A404" s="1355"/>
      <c r="B404" s="1356"/>
      <c r="C404" s="1356"/>
      <c r="D404" s="1356"/>
      <c r="E404" s="1356"/>
      <c r="F404" s="1356"/>
      <c r="G404" s="1356"/>
      <c r="H404" s="1356"/>
      <c r="I404" s="1356"/>
      <c r="J404" s="1357"/>
      <c r="K404" s="1336" t="s">
        <v>2251</v>
      </c>
      <c r="L404" s="1337"/>
      <c r="M404" s="1337"/>
      <c r="N404" s="1337"/>
      <c r="O404" s="1338"/>
      <c r="P404" s="443"/>
      <c r="Q404" s="362"/>
      <c r="R404" s="442" t="str">
        <f>IF(COUNTBLANK(P404:Q404)=2,"Please enter response.",IF(COUNTBLANK(P404:Q404)&lt;&gt;1,"Please VERIFY response.",""))</f>
        <v>Please enter response.</v>
      </c>
    </row>
    <row r="405" spans="1:18" ht="26.25" customHeight="1" x14ac:dyDescent="0.25">
      <c r="A405" s="1358"/>
      <c r="B405" s="1359"/>
      <c r="C405" s="1359"/>
      <c r="D405" s="1359"/>
      <c r="E405" s="1359"/>
      <c r="F405" s="1359"/>
      <c r="G405" s="1359"/>
      <c r="H405" s="1359"/>
      <c r="I405" s="1359"/>
      <c r="J405" s="1360"/>
      <c r="K405" s="1336" t="s">
        <v>2252</v>
      </c>
      <c r="L405" s="1337"/>
      <c r="M405" s="1337"/>
      <c r="N405" s="1337"/>
      <c r="O405" s="1338"/>
      <c r="P405" s="443"/>
      <c r="Q405" s="362"/>
      <c r="R405" s="442" t="str">
        <f>IF(COUNTBLANK(P405:Q405)=2,"Please enter response.",IF(COUNTBLANK(P405:Q405)&lt;&gt;1,"Please VERIFY response.",""))</f>
        <v>Please enter response.</v>
      </c>
    </row>
    <row r="406" spans="1:18" ht="26.25" customHeight="1" x14ac:dyDescent="0.25">
      <c r="A406" s="1339" t="s">
        <v>2253</v>
      </c>
      <c r="B406" s="1340"/>
      <c r="C406" s="1340"/>
      <c r="D406" s="1340"/>
      <c r="E406" s="1340"/>
      <c r="F406" s="1340"/>
      <c r="G406" s="1340"/>
      <c r="H406" s="1340"/>
      <c r="I406" s="1340"/>
      <c r="J406" s="1340"/>
      <c r="K406" s="1340"/>
      <c r="L406" s="1340"/>
      <c r="M406" s="1340"/>
      <c r="N406" s="1340"/>
      <c r="O406" s="1340"/>
      <c r="P406" s="1340"/>
      <c r="Q406" s="1341"/>
      <c r="R406" s="363"/>
    </row>
    <row r="407" spans="1:18" ht="26.25" customHeight="1" x14ac:dyDescent="0.25">
      <c r="A407" s="1342" t="s">
        <v>2254</v>
      </c>
      <c r="B407" s="1343"/>
      <c r="C407" s="1343"/>
      <c r="D407" s="1343"/>
      <c r="E407" s="1343" t="s">
        <v>2255</v>
      </c>
      <c r="F407" s="1343"/>
      <c r="G407" s="1343"/>
      <c r="H407" s="1343"/>
      <c r="I407" s="1343" t="s">
        <v>2256</v>
      </c>
      <c r="J407" s="1343"/>
      <c r="K407" s="1343"/>
      <c r="L407" s="1343"/>
      <c r="M407" s="1344" t="s">
        <v>2257</v>
      </c>
      <c r="N407" s="1343"/>
      <c r="O407" s="1343"/>
      <c r="P407" s="1343"/>
      <c r="Q407" s="1345"/>
      <c r="R407" s="364"/>
    </row>
    <row r="408" spans="1:18" ht="26.25" customHeight="1" thickBot="1" x14ac:dyDescent="0.3">
      <c r="A408" s="1346"/>
      <c r="B408" s="1347"/>
      <c r="C408" s="1347"/>
      <c r="D408" s="1347"/>
      <c r="E408" s="1348"/>
      <c r="F408" s="1349"/>
      <c r="G408" s="1349"/>
      <c r="H408" s="1350"/>
      <c r="I408" s="1348"/>
      <c r="J408" s="1349"/>
      <c r="K408" s="1349"/>
      <c r="L408" s="1350"/>
      <c r="M408" s="1351"/>
      <c r="N408" s="1351"/>
      <c r="O408" s="1351"/>
      <c r="P408" s="1351"/>
      <c r="Q408" s="1352"/>
      <c r="R408" s="363"/>
    </row>
    <row r="409" spans="1:18" ht="26.25" customHeight="1" x14ac:dyDescent="0.25">
      <c r="A409" s="1325" t="s">
        <v>2258</v>
      </c>
      <c r="B409" s="1326"/>
      <c r="C409" s="1326"/>
      <c r="D409" s="1326"/>
      <c r="E409" s="1326"/>
      <c r="F409" s="1326"/>
      <c r="G409" s="1326"/>
      <c r="H409" s="1326"/>
      <c r="I409" s="1326"/>
      <c r="J409" s="1326"/>
      <c r="K409" s="1326"/>
      <c r="L409" s="1326"/>
      <c r="M409" s="1326"/>
      <c r="N409" s="1326"/>
      <c r="O409" s="1326"/>
      <c r="P409" s="1326"/>
      <c r="Q409" s="1327"/>
      <c r="R409" s="445"/>
    </row>
    <row r="410" spans="1:18" ht="26.25" customHeight="1" x14ac:dyDescent="0.25">
      <c r="A410" s="1297" t="s">
        <v>2259</v>
      </c>
      <c r="B410" s="1328"/>
      <c r="C410" s="1328"/>
      <c r="D410" s="1328"/>
      <c r="E410" s="1328"/>
      <c r="F410" s="1328"/>
      <c r="G410" s="1328"/>
      <c r="H410" s="1328"/>
      <c r="I410" s="1328"/>
      <c r="J410" s="1328"/>
      <c r="K410" s="1328"/>
      <c r="L410" s="1329"/>
      <c r="M410" s="1322"/>
      <c r="N410" s="1323"/>
      <c r="O410" s="1323"/>
      <c r="P410" s="1323"/>
      <c r="Q410" s="1324"/>
      <c r="R410" s="445"/>
    </row>
    <row r="411" spans="1:18" ht="26.25" customHeight="1" x14ac:dyDescent="0.25">
      <c r="A411" s="1297" t="s">
        <v>2260</v>
      </c>
      <c r="B411" s="1298"/>
      <c r="C411" s="1298"/>
      <c r="D411" s="1298"/>
      <c r="E411" s="1298"/>
      <c r="F411" s="1298"/>
      <c r="G411" s="1298"/>
      <c r="H411" s="1298"/>
      <c r="I411" s="1298"/>
      <c r="J411" s="1298"/>
      <c r="K411" s="1298"/>
      <c r="L411" s="1298"/>
      <c r="M411" s="1299"/>
      <c r="N411" s="1300"/>
      <c r="O411" s="1300"/>
      <c r="P411" s="1300"/>
      <c r="Q411" s="1301"/>
      <c r="R411" s="445"/>
    </row>
    <row r="412" spans="1:18" ht="26.25" customHeight="1" x14ac:dyDescent="0.25">
      <c r="A412" s="1297" t="s">
        <v>2261</v>
      </c>
      <c r="B412" s="1298"/>
      <c r="C412" s="1298"/>
      <c r="D412" s="1298"/>
      <c r="E412" s="1298"/>
      <c r="F412" s="1298"/>
      <c r="G412" s="1298"/>
      <c r="H412" s="1298"/>
      <c r="I412" s="1298"/>
      <c r="J412" s="1298"/>
      <c r="K412" s="1298"/>
      <c r="L412" s="1298"/>
      <c r="M412" s="1299"/>
      <c r="N412" s="1300"/>
      <c r="O412" s="1300"/>
      <c r="P412" s="1300"/>
      <c r="Q412" s="1301"/>
      <c r="R412" s="445"/>
    </row>
    <row r="413" spans="1:18" ht="26.25" customHeight="1" x14ac:dyDescent="0.25">
      <c r="A413" s="1302" t="s">
        <v>2262</v>
      </c>
      <c r="B413" s="1303"/>
      <c r="C413" s="1303"/>
      <c r="D413" s="1303"/>
      <c r="E413" s="1303"/>
      <c r="F413" s="1303"/>
      <c r="G413" s="1303"/>
      <c r="H413" s="1303"/>
      <c r="I413" s="1303"/>
      <c r="J413" s="1303"/>
      <c r="K413" s="1303"/>
      <c r="L413" s="1303"/>
      <c r="M413" s="1303"/>
      <c r="N413" s="1303"/>
      <c r="O413" s="1303"/>
      <c r="P413" s="1303"/>
      <c r="Q413" s="1304"/>
      <c r="R413" s="445"/>
    </row>
    <row r="414" spans="1:18" ht="26.25" customHeight="1" x14ac:dyDescent="0.25">
      <c r="A414" s="1286"/>
      <c r="B414" s="1287"/>
      <c r="C414" s="1287"/>
      <c r="D414" s="1287"/>
      <c r="E414" s="1287"/>
      <c r="F414" s="1287"/>
      <c r="G414" s="1287"/>
      <c r="H414" s="1287"/>
      <c r="I414" s="1287"/>
      <c r="J414" s="1287"/>
      <c r="K414" s="1287"/>
      <c r="L414" s="1287"/>
      <c r="M414" s="1287"/>
      <c r="N414" s="1287"/>
      <c r="O414" s="1287"/>
      <c r="P414" s="1287"/>
      <c r="Q414" s="1288"/>
      <c r="R414" s="445"/>
    </row>
    <row r="415" spans="1:18" ht="26.25" customHeight="1" x14ac:dyDescent="0.25">
      <c r="A415" s="1305"/>
      <c r="B415" s="1306"/>
      <c r="C415" s="1306"/>
      <c r="D415" s="1306"/>
      <c r="E415" s="1306"/>
      <c r="F415" s="1306"/>
      <c r="G415" s="1306"/>
      <c r="H415" s="1306"/>
      <c r="I415" s="1306"/>
      <c r="J415" s="1306"/>
      <c r="K415" s="1306"/>
      <c r="L415" s="1306"/>
      <c r="M415" s="1306"/>
      <c r="N415" s="1306"/>
      <c r="O415" s="1306"/>
      <c r="P415" s="1306"/>
      <c r="Q415" s="1307"/>
      <c r="R415" s="445"/>
    </row>
    <row r="416" spans="1:18" ht="26.25" customHeight="1" x14ac:dyDescent="0.25">
      <c r="A416" s="1308" t="s">
        <v>2263</v>
      </c>
      <c r="B416" s="1309"/>
      <c r="C416" s="1309"/>
      <c r="D416" s="1309"/>
      <c r="E416" s="1309"/>
      <c r="F416" s="1309"/>
      <c r="G416" s="1309"/>
      <c r="H416" s="1309"/>
      <c r="I416" s="1309"/>
      <c r="J416" s="1309"/>
      <c r="K416" s="1309"/>
      <c r="L416" s="1309"/>
      <c r="M416" s="1309"/>
      <c r="N416" s="1309"/>
      <c r="O416" s="1309"/>
      <c r="P416" s="1309"/>
      <c r="Q416" s="1310"/>
      <c r="R416" s="445"/>
    </row>
    <row r="417" spans="1:18" ht="26.25" customHeight="1" x14ac:dyDescent="0.25">
      <c r="A417" s="1286"/>
      <c r="B417" s="1311"/>
      <c r="C417" s="1311"/>
      <c r="D417" s="1311"/>
      <c r="E417" s="1311"/>
      <c r="F417" s="1311"/>
      <c r="G417" s="1311"/>
      <c r="H417" s="1311"/>
      <c r="I417" s="1311"/>
      <c r="J417" s="1311"/>
      <c r="K417" s="1311"/>
      <c r="L417" s="1311"/>
      <c r="M417" s="1311"/>
      <c r="N417" s="1311"/>
      <c r="O417" s="1311"/>
      <c r="P417" s="1311"/>
      <c r="Q417" s="1312"/>
      <c r="R417" s="445"/>
    </row>
    <row r="418" spans="1:18" ht="26.25" customHeight="1" thickBot="1" x14ac:dyDescent="0.3">
      <c r="A418" s="1313"/>
      <c r="B418" s="1314"/>
      <c r="C418" s="1314"/>
      <c r="D418" s="1314"/>
      <c r="E418" s="1314"/>
      <c r="F418" s="1314"/>
      <c r="G418" s="1314"/>
      <c r="H418" s="1314"/>
      <c r="I418" s="1314"/>
      <c r="J418" s="1314"/>
      <c r="K418" s="1314"/>
      <c r="L418" s="1314"/>
      <c r="M418" s="1314"/>
      <c r="N418" s="1314"/>
      <c r="O418" s="1314"/>
      <c r="P418" s="1314"/>
      <c r="Q418" s="1315"/>
      <c r="R418" s="444"/>
    </row>
    <row r="419" spans="1:18" ht="26.25" customHeight="1" x14ac:dyDescent="0.25">
      <c r="A419" s="1316" t="s">
        <v>2264</v>
      </c>
      <c r="B419" s="1317"/>
      <c r="C419" s="1317"/>
      <c r="D419" s="1317"/>
      <c r="E419" s="1317"/>
      <c r="F419" s="1317"/>
      <c r="G419" s="1317"/>
      <c r="H419" s="1317"/>
      <c r="I419" s="1317"/>
      <c r="J419" s="1317"/>
      <c r="K419" s="1317"/>
      <c r="L419" s="1317"/>
      <c r="M419" s="1317"/>
      <c r="N419" s="1317"/>
      <c r="O419" s="1317"/>
      <c r="P419" s="1317"/>
      <c r="Q419" s="1318"/>
      <c r="R419" s="445"/>
    </row>
    <row r="420" spans="1:18" ht="26.25" customHeight="1" x14ac:dyDescent="0.25">
      <c r="A420" s="1319" t="s">
        <v>2265</v>
      </c>
      <c r="B420" s="1320"/>
      <c r="C420" s="1320"/>
      <c r="D420" s="1320"/>
      <c r="E420" s="1320"/>
      <c r="F420" s="1320"/>
      <c r="G420" s="1320"/>
      <c r="H420" s="1320"/>
      <c r="I420" s="1320"/>
      <c r="J420" s="1320"/>
      <c r="K420" s="1320"/>
      <c r="L420" s="1321"/>
      <c r="M420" s="1322"/>
      <c r="N420" s="1323"/>
      <c r="O420" s="1323"/>
      <c r="P420" s="1323"/>
      <c r="Q420" s="1324"/>
      <c r="R420" s="444"/>
    </row>
    <row r="421" spans="1:18" ht="26.25" customHeight="1" x14ac:dyDescent="0.25">
      <c r="A421" s="1297" t="s">
        <v>2266</v>
      </c>
      <c r="B421" s="1328"/>
      <c r="C421" s="1328"/>
      <c r="D421" s="1328"/>
      <c r="E421" s="1328"/>
      <c r="F421" s="1328"/>
      <c r="G421" s="1328"/>
      <c r="H421" s="1328"/>
      <c r="I421" s="1328"/>
      <c r="J421" s="1328"/>
      <c r="K421" s="1328"/>
      <c r="L421" s="1329"/>
      <c r="M421" s="1299"/>
      <c r="N421" s="1300"/>
      <c r="O421" s="1300"/>
      <c r="P421" s="1300"/>
      <c r="Q421" s="1301"/>
      <c r="R421" s="444"/>
    </row>
    <row r="422" spans="1:18" ht="26.25" customHeight="1" x14ac:dyDescent="0.25">
      <c r="A422" s="1330" t="s">
        <v>2267</v>
      </c>
      <c r="B422" s="1331"/>
      <c r="C422" s="1331"/>
      <c r="D422" s="1331"/>
      <c r="E422" s="1331"/>
      <c r="F422" s="1331"/>
      <c r="G422" s="1331"/>
      <c r="H422" s="1331"/>
      <c r="I422" s="1331"/>
      <c r="J422" s="1331"/>
      <c r="K422" s="1331"/>
      <c r="L422" s="1331"/>
      <c r="M422" s="1331"/>
      <c r="N422" s="1331"/>
      <c r="O422" s="1331"/>
      <c r="P422" s="1331"/>
      <c r="Q422" s="1332"/>
      <c r="R422" s="444"/>
    </row>
    <row r="423" spans="1:18" ht="26.25" customHeight="1" x14ac:dyDescent="0.25">
      <c r="A423" s="1286"/>
      <c r="B423" s="1287"/>
      <c r="C423" s="1287"/>
      <c r="D423" s="1287"/>
      <c r="E423" s="1287"/>
      <c r="F423" s="1287"/>
      <c r="G423" s="1287"/>
      <c r="H423" s="1287"/>
      <c r="I423" s="1287"/>
      <c r="J423" s="1287"/>
      <c r="K423" s="1287"/>
      <c r="L423" s="1287"/>
      <c r="M423" s="1287"/>
      <c r="N423" s="1287"/>
      <c r="O423" s="1287"/>
      <c r="P423" s="1287"/>
      <c r="Q423" s="1296"/>
      <c r="R423" s="444"/>
    </row>
    <row r="424" spans="1:18" ht="26.25" customHeight="1" x14ac:dyDescent="0.25">
      <c r="A424" s="1333"/>
      <c r="B424" s="1334"/>
      <c r="C424" s="1334"/>
      <c r="D424" s="1334"/>
      <c r="E424" s="1334"/>
      <c r="F424" s="1334"/>
      <c r="G424" s="1334"/>
      <c r="H424" s="1334"/>
      <c r="I424" s="1334"/>
      <c r="J424" s="1334"/>
      <c r="K424" s="1334"/>
      <c r="L424" s="1334"/>
      <c r="M424" s="1334"/>
      <c r="N424" s="1334"/>
      <c r="O424" s="1334"/>
      <c r="P424" s="1334"/>
      <c r="Q424" s="1335"/>
      <c r="R424" s="444"/>
    </row>
    <row r="425" spans="1:18" ht="26.25" customHeight="1" x14ac:dyDescent="0.25">
      <c r="A425" s="1283" t="s">
        <v>2268</v>
      </c>
      <c r="B425" s="1284"/>
      <c r="C425" s="1284"/>
      <c r="D425" s="1284"/>
      <c r="E425" s="1284"/>
      <c r="F425" s="1284"/>
      <c r="G425" s="1284"/>
      <c r="H425" s="1284"/>
      <c r="I425" s="1284"/>
      <c r="J425" s="1284"/>
      <c r="K425" s="1284"/>
      <c r="L425" s="1284"/>
      <c r="M425" s="1284"/>
      <c r="N425" s="1284"/>
      <c r="O425" s="1284"/>
      <c r="P425" s="1284"/>
      <c r="Q425" s="1285"/>
      <c r="R425" s="444"/>
    </row>
    <row r="426" spans="1:18" ht="26.25" customHeight="1" x14ac:dyDescent="0.25">
      <c r="A426" s="1286"/>
      <c r="B426" s="1287"/>
      <c r="C426" s="1287"/>
      <c r="D426" s="1287"/>
      <c r="E426" s="1287"/>
      <c r="F426" s="1287"/>
      <c r="G426" s="1287"/>
      <c r="H426" s="1287"/>
      <c r="I426" s="1287"/>
      <c r="J426" s="1287"/>
      <c r="K426" s="1287"/>
      <c r="L426" s="1287"/>
      <c r="M426" s="1287"/>
      <c r="N426" s="1287"/>
      <c r="O426" s="1287"/>
      <c r="P426" s="1287"/>
      <c r="Q426" s="1288"/>
      <c r="R426" s="444"/>
    </row>
    <row r="427" spans="1:18" ht="26.25" customHeight="1" thickBot="1" x14ac:dyDescent="0.3">
      <c r="A427" s="1289"/>
      <c r="B427" s="1290"/>
      <c r="C427" s="1290"/>
      <c r="D427" s="1290"/>
      <c r="E427" s="1290"/>
      <c r="F427" s="1290"/>
      <c r="G427" s="1290"/>
      <c r="H427" s="1290"/>
      <c r="I427" s="1290"/>
      <c r="J427" s="1290"/>
      <c r="K427" s="1290"/>
      <c r="L427" s="1290"/>
      <c r="M427" s="1290"/>
      <c r="N427" s="1290"/>
      <c r="O427" s="1290"/>
      <c r="P427" s="1290"/>
      <c r="Q427" s="1291"/>
      <c r="R427" s="444"/>
    </row>
    <row r="428" spans="1:18" ht="26.25" customHeight="1" x14ac:dyDescent="0.25">
      <c r="A428" s="1292" t="s">
        <v>2269</v>
      </c>
      <c r="B428" s="1293"/>
      <c r="C428" s="1293"/>
      <c r="D428" s="1293"/>
      <c r="E428" s="1293"/>
      <c r="F428" s="1293"/>
      <c r="G428" s="1293"/>
      <c r="H428" s="1293"/>
      <c r="I428" s="1293"/>
      <c r="J428" s="1293"/>
      <c r="K428" s="1293"/>
      <c r="L428" s="1293"/>
      <c r="M428" s="1293"/>
      <c r="N428" s="1293"/>
      <c r="O428" s="1293"/>
      <c r="P428" s="1293"/>
      <c r="Q428" s="1294"/>
    </row>
    <row r="429" spans="1:18" ht="26.25" customHeight="1" x14ac:dyDescent="0.25">
      <c r="A429" s="1295"/>
      <c r="B429" s="1287"/>
      <c r="C429" s="1287"/>
      <c r="D429" s="1287"/>
      <c r="E429" s="1287"/>
      <c r="F429" s="1287"/>
      <c r="G429" s="1287"/>
      <c r="H429" s="1287"/>
      <c r="I429" s="1287"/>
      <c r="J429" s="1287"/>
      <c r="K429" s="1287"/>
      <c r="L429" s="1287"/>
      <c r="M429" s="1287"/>
      <c r="N429" s="1287"/>
      <c r="O429" s="1287"/>
      <c r="P429" s="1287"/>
      <c r="Q429" s="1296"/>
    </row>
    <row r="430" spans="1:18" ht="26.25" customHeight="1" thickBot="1" x14ac:dyDescent="0.3">
      <c r="A430" s="1289"/>
      <c r="B430" s="1290"/>
      <c r="C430" s="1290"/>
      <c r="D430" s="1290"/>
      <c r="E430" s="1290"/>
      <c r="F430" s="1290"/>
      <c r="G430" s="1290"/>
      <c r="H430" s="1290"/>
      <c r="I430" s="1290"/>
      <c r="J430" s="1290"/>
      <c r="K430" s="1290"/>
      <c r="L430" s="1290"/>
      <c r="M430" s="1290"/>
      <c r="N430" s="1290"/>
      <c r="O430" s="1290"/>
      <c r="P430" s="1290"/>
      <c r="Q430" s="1291"/>
      <c r="R430" s="368"/>
    </row>
    <row r="431" spans="1:18" ht="26.25" customHeight="1" x14ac:dyDescent="0.25">
      <c r="A431" s="1316" t="s">
        <v>2270</v>
      </c>
      <c r="B431" s="1317"/>
      <c r="C431" s="1317"/>
      <c r="D431" s="1317"/>
      <c r="E431" s="1317"/>
      <c r="F431" s="1317"/>
      <c r="G431" s="1317"/>
      <c r="H431" s="1317"/>
      <c r="I431" s="1317"/>
      <c r="J431" s="1317"/>
      <c r="K431" s="1317"/>
      <c r="L431" s="1317"/>
      <c r="M431" s="1317"/>
      <c r="N431" s="1317"/>
      <c r="O431" s="1317"/>
      <c r="P431" s="1317"/>
      <c r="Q431" s="1318"/>
      <c r="R431" s="369"/>
    </row>
    <row r="432" spans="1:18" ht="26.25" customHeight="1" x14ac:dyDescent="0.25">
      <c r="A432" s="1355"/>
      <c r="B432" s="1356"/>
      <c r="C432" s="1356"/>
      <c r="D432" s="1356"/>
      <c r="E432" s="1356"/>
      <c r="F432" s="1356"/>
      <c r="G432" s="1356"/>
      <c r="H432" s="1356"/>
      <c r="I432" s="1356"/>
      <c r="J432" s="1356"/>
      <c r="K432" s="1356"/>
      <c r="L432" s="1356"/>
      <c r="M432" s="1356"/>
      <c r="N432" s="1356"/>
      <c r="O432" s="1356"/>
      <c r="P432" s="1356"/>
      <c r="Q432" s="1400"/>
      <c r="R432" s="22"/>
    </row>
    <row r="433" spans="1:18" ht="26.25" customHeight="1" thickBot="1" x14ac:dyDescent="0.3">
      <c r="A433" s="1313"/>
      <c r="B433" s="1314"/>
      <c r="C433" s="1314"/>
      <c r="D433" s="1314"/>
      <c r="E433" s="1314"/>
      <c r="F433" s="1314"/>
      <c r="G433" s="1314"/>
      <c r="H433" s="1314"/>
      <c r="I433" s="1314"/>
      <c r="J433" s="1314"/>
      <c r="K433" s="1314"/>
      <c r="L433" s="1314"/>
      <c r="M433" s="1314"/>
      <c r="N433" s="1314"/>
      <c r="O433" s="1314"/>
      <c r="P433" s="1314"/>
      <c r="Q433" s="1315"/>
      <c r="R433" s="22"/>
    </row>
    <row r="434" spans="1:18" ht="26.25" customHeight="1" x14ac:dyDescent="0.25">
      <c r="A434" s="1412"/>
      <c r="B434" s="1412"/>
      <c r="C434" s="1412"/>
      <c r="D434" s="1412"/>
      <c r="E434" s="1412"/>
      <c r="F434" s="1412"/>
      <c r="G434" s="1412"/>
      <c r="H434" s="1412"/>
      <c r="I434" s="1412"/>
      <c r="J434" s="1412"/>
      <c r="K434" s="1412"/>
      <c r="L434" s="1412"/>
      <c r="M434" s="1412"/>
      <c r="N434" s="1412"/>
      <c r="O434" s="1412"/>
      <c r="P434" s="1412"/>
      <c r="Q434" s="1412"/>
      <c r="R434" s="366"/>
    </row>
    <row r="435" spans="1:18" ht="26.25" customHeight="1" x14ac:dyDescent="0.25">
      <c r="A435" s="1412"/>
      <c r="B435" s="1412"/>
      <c r="C435" s="1412"/>
      <c r="D435" s="1412"/>
      <c r="E435" s="1412"/>
      <c r="F435" s="1412"/>
      <c r="G435" s="1412"/>
      <c r="H435" s="1412"/>
      <c r="I435" s="1412"/>
      <c r="J435" s="1412"/>
      <c r="K435" s="1412"/>
      <c r="L435" s="1412"/>
      <c r="M435" s="1412"/>
      <c r="N435" s="1412"/>
      <c r="O435" s="1412"/>
      <c r="P435" s="1412"/>
      <c r="Q435" s="1412"/>
      <c r="R435" s="366"/>
    </row>
    <row r="436" spans="1:18" ht="26.25" customHeight="1" x14ac:dyDescent="0.25">
      <c r="A436" s="1412"/>
      <c r="B436" s="1412"/>
      <c r="C436" s="1412"/>
      <c r="D436" s="1412"/>
      <c r="E436" s="1412"/>
      <c r="F436" s="1412"/>
      <c r="G436" s="1412"/>
      <c r="H436" s="1412"/>
      <c r="I436" s="1412"/>
      <c r="J436" s="1412"/>
      <c r="K436" s="1412"/>
      <c r="L436" s="1412"/>
      <c r="M436" s="1412"/>
      <c r="N436" s="1412"/>
      <c r="O436" s="1412"/>
      <c r="P436" s="1412"/>
      <c r="Q436" s="1412"/>
      <c r="R436" s="366"/>
    </row>
    <row r="437" spans="1:18" ht="26.25" customHeight="1" x14ac:dyDescent="0.25">
      <c r="A437" s="1412"/>
      <c r="B437" s="1412"/>
      <c r="C437" s="1412"/>
      <c r="D437" s="1412"/>
      <c r="E437" s="1412"/>
      <c r="F437" s="1412"/>
      <c r="G437" s="1412"/>
      <c r="H437" s="1412"/>
      <c r="I437" s="1412"/>
      <c r="J437" s="1412"/>
      <c r="K437" s="1412"/>
      <c r="L437" s="1412"/>
      <c r="M437" s="1412"/>
      <c r="N437" s="1412"/>
      <c r="O437" s="1412"/>
      <c r="P437" s="1412"/>
      <c r="Q437" s="1412"/>
      <c r="R437" s="366"/>
    </row>
    <row r="438" spans="1:18" ht="26.25" customHeight="1" x14ac:dyDescent="0.25">
      <c r="A438" s="1412"/>
      <c r="B438" s="1412"/>
      <c r="C438" s="1412"/>
      <c r="D438" s="1412"/>
      <c r="E438" s="1412"/>
      <c r="F438" s="1412"/>
      <c r="G438" s="1412"/>
      <c r="H438" s="1412"/>
      <c r="I438" s="1412"/>
      <c r="J438" s="1412"/>
      <c r="K438" s="1412"/>
      <c r="L438" s="1412"/>
      <c r="M438" s="1412"/>
      <c r="N438" s="1412"/>
      <c r="O438" s="1412"/>
      <c r="P438" s="1412"/>
      <c r="Q438" s="1412"/>
      <c r="R438" s="366"/>
    </row>
    <row r="439" spans="1:18" ht="26.25" customHeight="1" x14ac:dyDescent="0.25">
      <c r="A439" s="1412"/>
      <c r="B439" s="1412"/>
      <c r="C439" s="1412"/>
      <c r="D439" s="1412"/>
      <c r="E439" s="1412"/>
      <c r="F439" s="1412"/>
      <c r="G439" s="1412"/>
      <c r="H439" s="1412"/>
      <c r="I439" s="1412"/>
      <c r="J439" s="1412"/>
      <c r="K439" s="1412"/>
      <c r="L439" s="1412"/>
      <c r="M439" s="1412"/>
      <c r="N439" s="1412"/>
      <c r="O439" s="1412"/>
      <c r="P439" s="1412"/>
      <c r="Q439" s="1412"/>
      <c r="R439" s="366"/>
    </row>
    <row r="440" spans="1:18" ht="26.25" customHeight="1" x14ac:dyDescent="0.25">
      <c r="A440" s="1412"/>
      <c r="B440" s="1412"/>
      <c r="C440" s="1412"/>
      <c r="D440" s="1412"/>
      <c r="E440" s="1412"/>
      <c r="F440" s="1412"/>
      <c r="G440" s="1412"/>
      <c r="H440" s="1412"/>
      <c r="I440" s="1412"/>
      <c r="J440" s="1412"/>
      <c r="K440" s="1412"/>
      <c r="L440" s="1412"/>
      <c r="M440" s="1412"/>
      <c r="N440" s="1412"/>
      <c r="O440" s="1412"/>
      <c r="P440" s="1412"/>
      <c r="Q440" s="1412"/>
      <c r="R440" s="366"/>
    </row>
    <row r="441" spans="1:18" ht="26.25" customHeight="1" x14ac:dyDescent="0.25">
      <c r="A441" s="1412"/>
      <c r="B441" s="1412"/>
      <c r="C441" s="1412"/>
      <c r="D441" s="1412"/>
      <c r="E441" s="1412"/>
      <c r="F441" s="1412"/>
      <c r="G441" s="1412"/>
      <c r="H441" s="1412"/>
      <c r="I441" s="1412"/>
      <c r="J441" s="1412"/>
      <c r="K441" s="1412"/>
      <c r="L441" s="1412"/>
      <c r="M441" s="1412"/>
      <c r="N441" s="1412"/>
      <c r="O441" s="1412"/>
      <c r="P441" s="1412"/>
      <c r="Q441" s="1412"/>
      <c r="R441" s="366"/>
    </row>
    <row r="442" spans="1:18" ht="26.25" customHeight="1" x14ac:dyDescent="0.25">
      <c r="A442" s="1412"/>
      <c r="B442" s="1412"/>
      <c r="C442" s="1412"/>
      <c r="D442" s="1412"/>
      <c r="E442" s="1412"/>
      <c r="F442" s="1412"/>
      <c r="G442" s="1412"/>
      <c r="H442" s="1412"/>
      <c r="I442" s="1412"/>
      <c r="J442" s="1412"/>
      <c r="K442" s="1412"/>
      <c r="L442" s="1412"/>
      <c r="M442" s="1412"/>
      <c r="N442" s="1412"/>
      <c r="O442" s="1412"/>
      <c r="P442" s="1412"/>
      <c r="Q442" s="1412"/>
      <c r="R442" s="366"/>
    </row>
    <row r="443" spans="1:18" ht="26.25" customHeight="1" x14ac:dyDescent="0.25">
      <c r="A443" s="371"/>
      <c r="B443" s="371"/>
      <c r="C443" s="371"/>
      <c r="D443" s="371"/>
      <c r="E443" s="371"/>
      <c r="F443" s="371"/>
      <c r="G443" s="371"/>
      <c r="H443" s="371"/>
      <c r="I443" s="371"/>
      <c r="J443" s="371"/>
      <c r="K443" s="371"/>
      <c r="L443" s="371"/>
      <c r="M443" s="371"/>
      <c r="N443" s="371"/>
      <c r="O443" s="371"/>
      <c r="P443" s="371"/>
      <c r="Q443" s="371"/>
      <c r="R443" s="371"/>
    </row>
    <row r="444" spans="1:18" ht="26.25" customHeight="1" x14ac:dyDescent="0.25">
      <c r="A444" s="1411"/>
      <c r="B444" s="1411"/>
      <c r="C444" s="1411"/>
      <c r="D444" s="1411"/>
      <c r="E444" s="1411"/>
      <c r="F444" s="1411"/>
      <c r="G444" s="1411"/>
      <c r="H444" s="1411"/>
      <c r="I444" s="1411"/>
      <c r="J444" s="1411"/>
      <c r="K444" s="1411"/>
      <c r="L444" s="1411"/>
      <c r="M444" s="1411"/>
      <c r="N444" s="1411"/>
      <c r="O444" s="1411"/>
      <c r="P444" s="1411"/>
      <c r="Q444" s="1411"/>
      <c r="R444" s="365"/>
    </row>
    <row r="445" spans="1:18" ht="26.25" customHeight="1" x14ac:dyDescent="0.25">
      <c r="A445" s="1412"/>
      <c r="B445" s="1412"/>
      <c r="C445" s="1412"/>
      <c r="D445" s="1412"/>
      <c r="E445" s="1412"/>
      <c r="F445" s="1412"/>
      <c r="G445" s="1412"/>
      <c r="H445" s="1412"/>
      <c r="I445" s="1412"/>
      <c r="J445" s="1412"/>
      <c r="K445" s="1412"/>
      <c r="L445" s="1412"/>
      <c r="M445" s="1412"/>
      <c r="N445" s="1412"/>
      <c r="O445" s="1412"/>
      <c r="P445" s="1412"/>
      <c r="Q445" s="1412"/>
      <c r="R445" s="366"/>
    </row>
    <row r="446" spans="1:18" ht="26.25" customHeight="1" x14ac:dyDescent="0.25">
      <c r="A446" s="1412"/>
      <c r="B446" s="1412"/>
      <c r="C446" s="1412"/>
      <c r="D446" s="1412"/>
      <c r="E446" s="1412"/>
      <c r="F446" s="1412"/>
      <c r="G446" s="1412"/>
      <c r="H446" s="1412"/>
      <c r="I446" s="1412"/>
      <c r="J446" s="1412"/>
      <c r="K446" s="1412"/>
      <c r="L446" s="1412"/>
      <c r="M446" s="1412"/>
      <c r="N446" s="1412"/>
      <c r="O446" s="1412"/>
      <c r="P446" s="1412"/>
      <c r="Q446" s="1412"/>
      <c r="R446" s="366"/>
    </row>
    <row r="447" spans="1:18" ht="26.25" customHeight="1" x14ac:dyDescent="0.25">
      <c r="A447" s="1412"/>
      <c r="B447" s="1412"/>
      <c r="C447" s="1412"/>
      <c r="D447" s="1412"/>
      <c r="E447" s="1412"/>
      <c r="F447" s="1412"/>
      <c r="G447" s="1412"/>
      <c r="H447" s="1412"/>
      <c r="I447" s="1412"/>
      <c r="J447" s="1412"/>
      <c r="K447" s="1412"/>
      <c r="L447" s="1412"/>
      <c r="M447" s="1412"/>
      <c r="N447" s="1412"/>
      <c r="O447" s="1412"/>
      <c r="P447" s="1412"/>
      <c r="Q447" s="1412"/>
      <c r="R447" s="366"/>
    </row>
    <row r="448" spans="1:18" ht="26.25" customHeight="1" x14ac:dyDescent="0.25">
      <c r="A448" s="1412"/>
      <c r="B448" s="1412"/>
      <c r="C448" s="1412"/>
      <c r="D448" s="1412"/>
      <c r="E448" s="1412"/>
      <c r="F448" s="1412"/>
      <c r="G448" s="1412"/>
      <c r="H448" s="1412"/>
      <c r="I448" s="1412"/>
      <c r="J448" s="1412"/>
      <c r="K448" s="1412"/>
      <c r="L448" s="1412"/>
      <c r="M448" s="1412"/>
      <c r="N448" s="1412"/>
      <c r="O448" s="1412"/>
      <c r="P448" s="1412"/>
      <c r="Q448" s="1412"/>
      <c r="R448" s="366"/>
    </row>
    <row r="449" spans="1:18" ht="26.25" customHeight="1" x14ac:dyDescent="0.25">
      <c r="A449" s="1412"/>
      <c r="B449" s="1412"/>
      <c r="C449" s="1412"/>
      <c r="D449" s="1412"/>
      <c r="E449" s="1412"/>
      <c r="F449" s="1412"/>
      <c r="G449" s="1412"/>
      <c r="H449" s="1412"/>
      <c r="I449" s="1412"/>
      <c r="J449" s="1412"/>
      <c r="K449" s="1412"/>
      <c r="L449" s="1412"/>
      <c r="M449" s="1412"/>
      <c r="N449" s="1412"/>
      <c r="O449" s="1412"/>
      <c r="P449" s="1412"/>
      <c r="Q449" s="1412"/>
      <c r="R449" s="366"/>
    </row>
    <row r="450" spans="1:18" ht="26.25" customHeight="1" x14ac:dyDescent="0.25">
      <c r="A450" s="1412"/>
      <c r="B450" s="1412"/>
      <c r="C450" s="1412"/>
      <c r="D450" s="1412"/>
      <c r="E450" s="1412"/>
      <c r="F450" s="1412"/>
      <c r="G450" s="1412"/>
      <c r="H450" s="1412"/>
      <c r="I450" s="1412"/>
      <c r="J450" s="1412"/>
      <c r="K450" s="1412"/>
      <c r="L450" s="1412"/>
      <c r="M450" s="1412"/>
      <c r="N450" s="1412"/>
      <c r="O450" s="1412"/>
      <c r="P450" s="1412"/>
      <c r="Q450" s="1412"/>
      <c r="R450" s="366"/>
    </row>
    <row r="451" spans="1:18" ht="26.25" customHeight="1" x14ac:dyDescent="0.25">
      <c r="A451" s="1412"/>
      <c r="B451" s="1412"/>
      <c r="C451" s="1412"/>
      <c r="D451" s="1412"/>
      <c r="E451" s="1412"/>
      <c r="F451" s="1412"/>
      <c r="G451" s="1412"/>
      <c r="H451" s="1412"/>
      <c r="I451" s="1412"/>
      <c r="J451" s="1412"/>
      <c r="K451" s="1412"/>
      <c r="L451" s="1412"/>
      <c r="M451" s="1412"/>
      <c r="N451" s="1412"/>
      <c r="O451" s="1412"/>
      <c r="P451" s="1412"/>
      <c r="Q451" s="1412"/>
      <c r="R451" s="366"/>
    </row>
    <row r="452" spans="1:18" ht="26.25" customHeight="1" x14ac:dyDescent="0.25">
      <c r="A452" s="1412"/>
      <c r="B452" s="1412"/>
      <c r="C452" s="1412"/>
      <c r="D452" s="1412"/>
      <c r="E452" s="1412"/>
      <c r="F452" s="1412"/>
      <c r="G452" s="1412"/>
      <c r="H452" s="1412"/>
      <c r="I452" s="1412"/>
      <c r="J452" s="1412"/>
      <c r="K452" s="1412"/>
      <c r="L452" s="1412"/>
      <c r="M452" s="1412"/>
      <c r="N452" s="1412"/>
      <c r="O452" s="1412"/>
      <c r="P452" s="1412"/>
      <c r="Q452" s="1412"/>
      <c r="R452" s="366"/>
    </row>
    <row r="453" spans="1:18" ht="26.25" customHeight="1" x14ac:dyDescent="0.25">
      <c r="A453" s="1412"/>
      <c r="B453" s="1412"/>
      <c r="C453" s="1412"/>
      <c r="D453" s="1412"/>
      <c r="E453" s="1412"/>
      <c r="F453" s="1412"/>
      <c r="G453" s="1412"/>
      <c r="H453" s="1412"/>
      <c r="I453" s="1412"/>
      <c r="J453" s="1412"/>
      <c r="K453" s="1412"/>
      <c r="L453" s="1412"/>
      <c r="M453" s="1412"/>
      <c r="N453" s="1412"/>
      <c r="O453" s="1412"/>
      <c r="P453" s="1412"/>
      <c r="Q453" s="1412"/>
      <c r="R453" s="366"/>
    </row>
    <row r="454" spans="1:18" ht="26.25" customHeight="1" x14ac:dyDescent="0.25">
      <c r="A454" s="370"/>
      <c r="B454" s="366"/>
      <c r="C454" s="366"/>
      <c r="D454" s="366"/>
      <c r="E454" s="366"/>
      <c r="F454" s="366"/>
      <c r="G454" s="366"/>
      <c r="H454" s="366"/>
      <c r="I454" s="366"/>
      <c r="J454" s="366"/>
      <c r="K454" s="366"/>
      <c r="L454" s="366"/>
      <c r="M454" s="366"/>
      <c r="N454" s="366"/>
      <c r="O454" s="366"/>
      <c r="P454" s="1410"/>
      <c r="Q454" s="1410"/>
      <c r="R454" s="372"/>
    </row>
    <row r="455" spans="1:18" ht="51.75" customHeight="1" x14ac:dyDescent="0.25">
      <c r="A455" s="1411"/>
      <c r="B455" s="1411"/>
      <c r="C455" s="1411"/>
      <c r="D455" s="1411"/>
      <c r="E455" s="1411"/>
      <c r="F455" s="1411"/>
      <c r="G455" s="1411"/>
      <c r="H455" s="1411"/>
      <c r="I455" s="1411"/>
      <c r="J455" s="1411"/>
      <c r="K455" s="1411"/>
      <c r="L455" s="1411"/>
      <c r="M455" s="1411"/>
      <c r="N455" s="1411"/>
      <c r="O455" s="1411"/>
      <c r="P455" s="1411"/>
      <c r="Q455" s="1411"/>
      <c r="R455" s="365"/>
    </row>
    <row r="456" spans="1:18" ht="26.25" customHeight="1" x14ac:dyDescent="0.25">
      <c r="A456" s="1412"/>
      <c r="B456" s="1412"/>
      <c r="C456" s="1412"/>
      <c r="D456" s="1412"/>
      <c r="E456" s="1412"/>
      <c r="F456" s="1412"/>
      <c r="G456" s="1412"/>
      <c r="H456" s="1412"/>
      <c r="I456" s="1412"/>
      <c r="J456" s="1412"/>
      <c r="K456" s="1412"/>
      <c r="L456" s="1412"/>
      <c r="M456" s="1412"/>
      <c r="N456" s="1412"/>
      <c r="O456" s="1412"/>
      <c r="P456" s="1412"/>
      <c r="Q456" s="1412"/>
      <c r="R456" s="366"/>
    </row>
    <row r="457" spans="1:18" ht="26.25" customHeight="1" x14ac:dyDescent="0.25">
      <c r="A457" s="1412"/>
      <c r="B457" s="1412"/>
      <c r="C457" s="1412"/>
      <c r="D457" s="1412"/>
      <c r="E457" s="1412"/>
      <c r="F457" s="1412"/>
      <c r="G457" s="1412"/>
      <c r="H457" s="1412"/>
      <c r="I457" s="1412"/>
      <c r="J457" s="1412"/>
      <c r="K457" s="1412"/>
      <c r="L457" s="1412"/>
      <c r="M457" s="1412"/>
      <c r="N457" s="1412"/>
      <c r="O457" s="1412"/>
      <c r="P457" s="1412"/>
      <c r="Q457" s="1412"/>
      <c r="R457" s="366"/>
    </row>
    <row r="458" spans="1:18" ht="26.25" customHeight="1" x14ac:dyDescent="0.25">
      <c r="A458" s="1412"/>
      <c r="B458" s="1412"/>
      <c r="C458" s="1412"/>
      <c r="D458" s="1412"/>
      <c r="E458" s="1412"/>
      <c r="F458" s="1412"/>
      <c r="G458" s="1412"/>
      <c r="H458" s="1412"/>
      <c r="I458" s="1412"/>
      <c r="J458" s="1412"/>
      <c r="K458" s="1412"/>
      <c r="L458" s="1412"/>
      <c r="M458" s="1412"/>
      <c r="N458" s="1412"/>
      <c r="O458" s="1412"/>
      <c r="P458" s="1412"/>
      <c r="Q458" s="1412"/>
      <c r="R458" s="366"/>
    </row>
    <row r="459" spans="1:18" ht="26.25" customHeight="1" x14ac:dyDescent="0.25">
      <c r="A459" s="1412"/>
      <c r="B459" s="1412"/>
      <c r="C459" s="1412"/>
      <c r="D459" s="1412"/>
      <c r="E459" s="1412"/>
      <c r="F459" s="1412"/>
      <c r="G459" s="1412"/>
      <c r="H459" s="1412"/>
      <c r="I459" s="1412"/>
      <c r="J459" s="1412"/>
      <c r="K459" s="1412"/>
      <c r="L459" s="1412"/>
      <c r="M459" s="1412"/>
      <c r="N459" s="1412"/>
      <c r="O459" s="1412"/>
      <c r="P459" s="1412"/>
      <c r="Q459" s="1412"/>
      <c r="R459" s="366"/>
    </row>
    <row r="460" spans="1:18" ht="26.25" customHeight="1" x14ac:dyDescent="0.25">
      <c r="A460" s="1412"/>
      <c r="B460" s="1412"/>
      <c r="C460" s="1412"/>
      <c r="D460" s="1412"/>
      <c r="E460" s="1412"/>
      <c r="F460" s="1412"/>
      <c r="G460" s="1412"/>
      <c r="H460" s="1412"/>
      <c r="I460" s="1412"/>
      <c r="J460" s="1412"/>
      <c r="K460" s="1412"/>
      <c r="L460" s="1412"/>
      <c r="M460" s="1412"/>
      <c r="N460" s="1412"/>
      <c r="O460" s="1412"/>
      <c r="P460" s="1412"/>
      <c r="Q460" s="1412"/>
      <c r="R460" s="366"/>
    </row>
    <row r="461" spans="1:18" ht="26.25" customHeight="1" x14ac:dyDescent="0.25">
      <c r="A461" s="1412"/>
      <c r="B461" s="1412"/>
      <c r="C461" s="1412"/>
      <c r="D461" s="1412"/>
      <c r="E461" s="1412"/>
      <c r="F461" s="1412"/>
      <c r="G461" s="1412"/>
      <c r="H461" s="1412"/>
      <c r="I461" s="1412"/>
      <c r="J461" s="1412"/>
      <c r="K461" s="1412"/>
      <c r="L461" s="1412"/>
      <c r="M461" s="1412"/>
      <c r="N461" s="1412"/>
      <c r="O461" s="1412"/>
      <c r="P461" s="1412"/>
      <c r="Q461" s="1412"/>
      <c r="R461" s="366"/>
    </row>
    <row r="462" spans="1:18" ht="26.25" customHeight="1" x14ac:dyDescent="0.25">
      <c r="A462" s="1412"/>
      <c r="B462" s="1412"/>
      <c r="C462" s="1412"/>
      <c r="D462" s="1412"/>
      <c r="E462" s="1412"/>
      <c r="F462" s="1412"/>
      <c r="G462" s="1412"/>
      <c r="H462" s="1412"/>
      <c r="I462" s="1412"/>
      <c r="J462" s="1412"/>
      <c r="K462" s="1412"/>
      <c r="L462" s="1412"/>
      <c r="M462" s="1412"/>
      <c r="N462" s="1412"/>
      <c r="O462" s="1412"/>
      <c r="P462" s="1412"/>
      <c r="Q462" s="1412"/>
      <c r="R462" s="366"/>
    </row>
    <row r="463" spans="1:18" ht="26.25" customHeight="1" x14ac:dyDescent="0.25">
      <c r="A463" s="1412"/>
      <c r="B463" s="1412"/>
      <c r="C463" s="1412"/>
      <c r="D463" s="1412"/>
      <c r="E463" s="1412"/>
      <c r="F463" s="1412"/>
      <c r="G463" s="1412"/>
      <c r="H463" s="1412"/>
      <c r="I463" s="1412"/>
      <c r="J463" s="1412"/>
      <c r="K463" s="1412"/>
      <c r="L463" s="1412"/>
      <c r="M463" s="1412"/>
      <c r="N463" s="1412"/>
      <c r="O463" s="1412"/>
      <c r="P463" s="1412"/>
      <c r="Q463" s="1412"/>
      <c r="R463" s="366"/>
    </row>
    <row r="464" spans="1:18" ht="26.25" customHeight="1" x14ac:dyDescent="0.25">
      <c r="A464" s="1412"/>
      <c r="B464" s="1412"/>
      <c r="C464" s="1412"/>
      <c r="D464" s="1412"/>
      <c r="E464" s="1412"/>
      <c r="F464" s="1412"/>
      <c r="G464" s="1412"/>
      <c r="H464" s="1412"/>
      <c r="I464" s="1412"/>
      <c r="J464" s="1412"/>
      <c r="K464" s="1412"/>
      <c r="L464" s="1412"/>
      <c r="M464" s="1412"/>
      <c r="N464" s="1412"/>
      <c r="O464" s="1412"/>
      <c r="P464" s="1412"/>
      <c r="Q464" s="1412"/>
      <c r="R464" s="366"/>
    </row>
    <row r="465" spans="1:18" ht="26.25" customHeight="1" x14ac:dyDescent="0.25">
      <c r="A465" s="371"/>
      <c r="B465" s="371"/>
      <c r="C465" s="371"/>
      <c r="D465" s="371"/>
      <c r="E465" s="371"/>
      <c r="F465" s="371"/>
      <c r="G465" s="371"/>
      <c r="H465" s="371"/>
      <c r="I465" s="371"/>
      <c r="J465" s="371"/>
      <c r="K465" s="371"/>
      <c r="L465" s="371"/>
      <c r="M465" s="371"/>
      <c r="N465" s="371"/>
      <c r="O465" s="371"/>
      <c r="P465" s="371"/>
      <c r="Q465" s="371"/>
      <c r="R465" s="371"/>
    </row>
    <row r="466" spans="1:18" ht="26.25" customHeight="1" x14ac:dyDescent="0.25">
      <c r="A466" s="1413"/>
      <c r="B466" s="1413"/>
      <c r="C466" s="1413"/>
      <c r="D466" s="1413"/>
      <c r="E466" s="1413"/>
      <c r="F466" s="1413"/>
      <c r="G466" s="1413"/>
      <c r="H466" s="1413"/>
      <c r="I466" s="1413"/>
      <c r="J466" s="1413"/>
      <c r="K466" s="1413"/>
      <c r="L466" s="1413"/>
      <c r="M466" s="1413"/>
      <c r="N466" s="1413"/>
      <c r="O466" s="1413"/>
      <c r="P466" s="1413"/>
      <c r="Q466" s="1413"/>
      <c r="R466" s="367"/>
    </row>
    <row r="467" spans="1:18" ht="26.25" customHeight="1" x14ac:dyDescent="0.25">
      <c r="A467" s="1412"/>
      <c r="B467" s="1412"/>
      <c r="C467" s="1412"/>
      <c r="D467" s="1412"/>
      <c r="E467" s="1412"/>
      <c r="F467" s="1412"/>
      <c r="G467" s="1412"/>
      <c r="H467" s="1412"/>
      <c r="I467" s="1412"/>
      <c r="J467" s="1412"/>
      <c r="K467" s="1412"/>
      <c r="L467" s="1412"/>
      <c r="M467" s="1412"/>
      <c r="N467" s="1412"/>
      <c r="O467" s="1412"/>
      <c r="P467" s="1412"/>
      <c r="Q467" s="1412"/>
      <c r="R467" s="366"/>
    </row>
    <row r="468" spans="1:18" ht="26.25" customHeight="1" x14ac:dyDescent="0.25">
      <c r="A468" s="1412"/>
      <c r="B468" s="1412"/>
      <c r="C468" s="1412"/>
      <c r="D468" s="1412"/>
      <c r="E468" s="1412"/>
      <c r="F468" s="1412"/>
      <c r="G468" s="1412"/>
      <c r="H468" s="1412"/>
      <c r="I468" s="1412"/>
      <c r="J468" s="1412"/>
      <c r="K468" s="1412"/>
      <c r="L468" s="1412"/>
      <c r="M468" s="1412"/>
      <c r="N468" s="1412"/>
      <c r="O468" s="1412"/>
      <c r="P468" s="1412"/>
      <c r="Q468" s="1412"/>
      <c r="R468" s="366"/>
    </row>
    <row r="469" spans="1:18" ht="26.25" customHeight="1" x14ac:dyDescent="0.25">
      <c r="A469" s="1412"/>
      <c r="B469" s="1412"/>
      <c r="C469" s="1412"/>
      <c r="D469" s="1412"/>
      <c r="E469" s="1412"/>
      <c r="F469" s="1412"/>
      <c r="G469" s="1412"/>
      <c r="H469" s="1412"/>
      <c r="I469" s="1412"/>
      <c r="J469" s="1412"/>
      <c r="K469" s="1412"/>
      <c r="L469" s="1412"/>
      <c r="M469" s="1412"/>
      <c r="N469" s="1412"/>
      <c r="O469" s="1412"/>
      <c r="P469" s="1412"/>
      <c r="Q469" s="1412"/>
      <c r="R469" s="366"/>
    </row>
    <row r="470" spans="1:18" ht="26.25" customHeight="1" x14ac:dyDescent="0.25">
      <c r="A470" s="1412"/>
      <c r="B470" s="1412"/>
      <c r="C470" s="1412"/>
      <c r="D470" s="1412"/>
      <c r="E470" s="1412"/>
      <c r="F470" s="1412"/>
      <c r="G470" s="1412"/>
      <c r="H470" s="1412"/>
      <c r="I470" s="1412"/>
      <c r="J470" s="1412"/>
      <c r="K470" s="1412"/>
      <c r="L470" s="1412"/>
      <c r="M470" s="1412"/>
      <c r="N470" s="1412"/>
      <c r="O470" s="1412"/>
      <c r="P470" s="1412"/>
      <c r="Q470" s="1412"/>
      <c r="R470" s="366"/>
    </row>
    <row r="471" spans="1:18" ht="26.25" customHeight="1" x14ac:dyDescent="0.25">
      <c r="A471" s="1412"/>
      <c r="B471" s="1412"/>
      <c r="C471" s="1412"/>
      <c r="D471" s="1412"/>
      <c r="E471" s="1412"/>
      <c r="F471" s="1412"/>
      <c r="G471" s="1412"/>
      <c r="H471" s="1412"/>
      <c r="I471" s="1412"/>
      <c r="J471" s="1412"/>
      <c r="K471" s="1412"/>
      <c r="L471" s="1412"/>
      <c r="M471" s="1412"/>
      <c r="N471" s="1412"/>
      <c r="O471" s="1412"/>
      <c r="P471" s="1412"/>
      <c r="Q471" s="1412"/>
      <c r="R471" s="366"/>
    </row>
    <row r="472" spans="1:18" ht="26.25" customHeight="1" x14ac:dyDescent="0.25">
      <c r="A472" s="1412"/>
      <c r="B472" s="1412"/>
      <c r="C472" s="1412"/>
      <c r="D472" s="1412"/>
      <c r="E472" s="1412"/>
      <c r="F472" s="1412"/>
      <c r="G472" s="1412"/>
      <c r="H472" s="1412"/>
      <c r="I472" s="1412"/>
      <c r="J472" s="1412"/>
      <c r="K472" s="1412"/>
      <c r="L472" s="1412"/>
      <c r="M472" s="1412"/>
      <c r="N472" s="1412"/>
      <c r="O472" s="1412"/>
      <c r="P472" s="1412"/>
      <c r="Q472" s="1412"/>
      <c r="R472" s="366"/>
    </row>
    <row r="473" spans="1:18" ht="26.25" customHeight="1" x14ac:dyDescent="0.25">
      <c r="A473" s="1412"/>
      <c r="B473" s="1412"/>
      <c r="C473" s="1412"/>
      <c r="D473" s="1412"/>
      <c r="E473" s="1412"/>
      <c r="F473" s="1412"/>
      <c r="G473" s="1412"/>
      <c r="H473" s="1412"/>
      <c r="I473" s="1412"/>
      <c r="J473" s="1412"/>
      <c r="K473" s="1412"/>
      <c r="L473" s="1412"/>
      <c r="M473" s="1412"/>
      <c r="N473" s="1412"/>
      <c r="O473" s="1412"/>
      <c r="P473" s="1412"/>
      <c r="Q473" s="1412"/>
      <c r="R473" s="366"/>
    </row>
    <row r="474" spans="1:18" ht="26.25" customHeight="1" x14ac:dyDescent="0.25">
      <c r="A474" s="1412"/>
      <c r="B474" s="1412"/>
      <c r="C474" s="1412"/>
      <c r="D474" s="1412"/>
      <c r="E474" s="1412"/>
      <c r="F474" s="1412"/>
      <c r="G474" s="1412"/>
      <c r="H474" s="1412"/>
      <c r="I474" s="1412"/>
      <c r="J474" s="1412"/>
      <c r="K474" s="1412"/>
      <c r="L474" s="1412"/>
      <c r="M474" s="1412"/>
      <c r="N474" s="1412"/>
      <c r="O474" s="1412"/>
      <c r="P474" s="1412"/>
      <c r="Q474" s="1412"/>
      <c r="R474" s="366"/>
    </row>
    <row r="475" spans="1:18" ht="26.25" customHeight="1" x14ac:dyDescent="0.25">
      <c r="A475" s="1412"/>
      <c r="B475" s="1412"/>
      <c r="C475" s="1412"/>
      <c r="D475" s="1412"/>
      <c r="E475" s="1412"/>
      <c r="F475" s="1412"/>
      <c r="G475" s="1412"/>
      <c r="H475" s="1412"/>
      <c r="I475" s="1412"/>
      <c r="J475" s="1412"/>
      <c r="K475" s="1412"/>
      <c r="L475" s="1412"/>
      <c r="M475" s="1412"/>
      <c r="N475" s="1412"/>
      <c r="O475" s="1412"/>
      <c r="P475" s="1412"/>
      <c r="Q475" s="1412"/>
      <c r="R475" s="366"/>
    </row>
    <row r="476" spans="1:18" ht="26.25" customHeight="1" x14ac:dyDescent="0.25">
      <c r="A476" s="371"/>
      <c r="B476" s="371"/>
      <c r="C476" s="371"/>
      <c r="D476" s="371"/>
      <c r="E476" s="371"/>
      <c r="F476" s="371"/>
      <c r="G476" s="371"/>
      <c r="H476" s="371"/>
      <c r="I476" s="371"/>
      <c r="J476" s="371"/>
      <c r="K476" s="371"/>
      <c r="L476" s="371"/>
      <c r="M476" s="371"/>
      <c r="N476" s="371"/>
      <c r="O476" s="371"/>
      <c r="P476" s="371"/>
      <c r="Q476" s="371"/>
      <c r="R476" s="371"/>
    </row>
    <row r="477" spans="1:18" ht="26.25" customHeight="1" x14ac:dyDescent="0.25">
      <c r="A477" s="1411"/>
      <c r="B477" s="1411"/>
      <c r="C477" s="1411"/>
      <c r="D477" s="1411"/>
      <c r="E477" s="1411"/>
      <c r="F477" s="1411"/>
      <c r="G477" s="1411"/>
      <c r="H477" s="1411"/>
      <c r="I477" s="1411"/>
      <c r="J477" s="1411"/>
      <c r="K477" s="1411"/>
      <c r="L477" s="1411"/>
      <c r="M477" s="1411"/>
      <c r="N477" s="1411"/>
      <c r="O477" s="1411"/>
      <c r="P477" s="1411"/>
      <c r="Q477" s="1411"/>
      <c r="R477" s="365"/>
    </row>
    <row r="478" spans="1:18" ht="26.25" customHeight="1" x14ac:dyDescent="0.25">
      <c r="A478" s="1412"/>
      <c r="B478" s="1412"/>
      <c r="C478" s="1412"/>
      <c r="D478" s="1412"/>
      <c r="E478" s="1412"/>
      <c r="F478" s="1412"/>
      <c r="G478" s="1412"/>
      <c r="H478" s="1412"/>
      <c r="I478" s="1412"/>
      <c r="J478" s="1412"/>
      <c r="K478" s="1412"/>
      <c r="L478" s="1412"/>
      <c r="M478" s="1412"/>
      <c r="N478" s="1412"/>
      <c r="O478" s="1412"/>
      <c r="P478" s="1412"/>
      <c r="Q478" s="1412"/>
      <c r="R478" s="366"/>
    </row>
    <row r="479" spans="1:18" ht="26.25" customHeight="1" x14ac:dyDescent="0.25">
      <c r="A479" s="1412"/>
      <c r="B479" s="1412"/>
      <c r="C479" s="1412"/>
      <c r="D479" s="1412"/>
      <c r="E479" s="1412"/>
      <c r="F479" s="1412"/>
      <c r="G479" s="1412"/>
      <c r="H479" s="1412"/>
      <c r="I479" s="1412"/>
      <c r="J479" s="1412"/>
      <c r="K479" s="1412"/>
      <c r="L479" s="1412"/>
      <c r="M479" s="1412"/>
      <c r="N479" s="1412"/>
      <c r="O479" s="1412"/>
      <c r="P479" s="1412"/>
      <c r="Q479" s="1412"/>
      <c r="R479" s="366"/>
    </row>
    <row r="480" spans="1:18" ht="26.25" customHeight="1" x14ac:dyDescent="0.25">
      <c r="A480" s="1412"/>
      <c r="B480" s="1412"/>
      <c r="C480" s="1412"/>
      <c r="D480" s="1412"/>
      <c r="E480" s="1412"/>
      <c r="F480" s="1412"/>
      <c r="G480" s="1412"/>
      <c r="H480" s="1412"/>
      <c r="I480" s="1412"/>
      <c r="J480" s="1412"/>
      <c r="K480" s="1412"/>
      <c r="L480" s="1412"/>
      <c r="M480" s="1412"/>
      <c r="N480" s="1412"/>
      <c r="O480" s="1412"/>
      <c r="P480" s="1412"/>
      <c r="Q480" s="1412"/>
      <c r="R480" s="366"/>
    </row>
    <row r="481" spans="1:18" ht="26.25" customHeight="1" x14ac:dyDescent="0.25">
      <c r="A481" s="1412"/>
      <c r="B481" s="1412"/>
      <c r="C481" s="1412"/>
      <c r="D481" s="1412"/>
      <c r="E481" s="1412"/>
      <c r="F481" s="1412"/>
      <c r="G481" s="1412"/>
      <c r="H481" s="1412"/>
      <c r="I481" s="1412"/>
      <c r="J481" s="1412"/>
      <c r="K481" s="1412"/>
      <c r="L481" s="1412"/>
      <c r="M481" s="1412"/>
      <c r="N481" s="1412"/>
      <c r="O481" s="1412"/>
      <c r="P481" s="1412"/>
      <c r="Q481" s="1412"/>
      <c r="R481" s="366"/>
    </row>
    <row r="482" spans="1:18" ht="26.25" customHeight="1" x14ac:dyDescent="0.25">
      <c r="A482" s="1412"/>
      <c r="B482" s="1412"/>
      <c r="C482" s="1412"/>
      <c r="D482" s="1412"/>
      <c r="E482" s="1412"/>
      <c r="F482" s="1412"/>
      <c r="G482" s="1412"/>
      <c r="H482" s="1412"/>
      <c r="I482" s="1412"/>
      <c r="J482" s="1412"/>
      <c r="K482" s="1412"/>
      <c r="L482" s="1412"/>
      <c r="M482" s="1412"/>
      <c r="N482" s="1412"/>
      <c r="O482" s="1412"/>
      <c r="P482" s="1412"/>
      <c r="Q482" s="1412"/>
      <c r="R482" s="366"/>
    </row>
    <row r="483" spans="1:18" ht="26.25" customHeight="1" x14ac:dyDescent="0.25">
      <c r="A483" s="1412"/>
      <c r="B483" s="1412"/>
      <c r="C483" s="1412"/>
      <c r="D483" s="1412"/>
      <c r="E483" s="1412"/>
      <c r="F483" s="1412"/>
      <c r="G483" s="1412"/>
      <c r="H483" s="1412"/>
      <c r="I483" s="1412"/>
      <c r="J483" s="1412"/>
      <c r="K483" s="1412"/>
      <c r="L483" s="1412"/>
      <c r="M483" s="1412"/>
      <c r="N483" s="1412"/>
      <c r="O483" s="1412"/>
      <c r="P483" s="1412"/>
      <c r="Q483" s="1412"/>
      <c r="R483" s="366"/>
    </row>
    <row r="484" spans="1:18" ht="26.25" customHeight="1" x14ac:dyDescent="0.25">
      <c r="A484" s="1412"/>
      <c r="B484" s="1412"/>
      <c r="C484" s="1412"/>
      <c r="D484" s="1412"/>
      <c r="E484" s="1412"/>
      <c r="F484" s="1412"/>
      <c r="G484" s="1412"/>
      <c r="H484" s="1412"/>
      <c r="I484" s="1412"/>
      <c r="J484" s="1412"/>
      <c r="K484" s="1412"/>
      <c r="L484" s="1412"/>
      <c r="M484" s="1412"/>
      <c r="N484" s="1412"/>
      <c r="O484" s="1412"/>
      <c r="P484" s="1412"/>
      <c r="Q484" s="1412"/>
      <c r="R484" s="366"/>
    </row>
    <row r="485" spans="1:18" ht="26.25" customHeight="1" x14ac:dyDescent="0.25">
      <c r="A485" s="1412"/>
      <c r="B485" s="1412"/>
      <c r="C485" s="1412"/>
      <c r="D485" s="1412"/>
      <c r="E485" s="1412"/>
      <c r="F485" s="1412"/>
      <c r="G485" s="1412"/>
      <c r="H485" s="1412"/>
      <c r="I485" s="1412"/>
      <c r="J485" s="1412"/>
      <c r="K485" s="1412"/>
      <c r="L485" s="1412"/>
      <c r="M485" s="1412"/>
      <c r="N485" s="1412"/>
      <c r="O485" s="1412"/>
      <c r="P485" s="1412"/>
      <c r="Q485" s="1412"/>
      <c r="R485" s="366"/>
    </row>
    <row r="486" spans="1:18" ht="26.25" customHeight="1" x14ac:dyDescent="0.25">
      <c r="A486" s="1412"/>
      <c r="B486" s="1412"/>
      <c r="C486" s="1412"/>
      <c r="D486" s="1412"/>
      <c r="E486" s="1412"/>
      <c r="F486" s="1412"/>
      <c r="G486" s="1412"/>
      <c r="H486" s="1412"/>
      <c r="I486" s="1412"/>
      <c r="J486" s="1412"/>
      <c r="K486" s="1412"/>
      <c r="L486" s="1412"/>
      <c r="M486" s="1412"/>
      <c r="N486" s="1412"/>
      <c r="O486" s="1412"/>
      <c r="P486" s="1412"/>
      <c r="Q486" s="1412"/>
      <c r="R486" s="366"/>
    </row>
    <row r="487" spans="1:18" ht="26.25" customHeight="1" x14ac:dyDescent="0.25">
      <c r="A487" s="370"/>
      <c r="B487" s="371"/>
      <c r="C487" s="371"/>
      <c r="D487" s="371"/>
      <c r="E487" s="371"/>
      <c r="F487" s="371"/>
      <c r="G487" s="371"/>
      <c r="H487" s="371"/>
      <c r="I487" s="371"/>
      <c r="J487" s="371"/>
      <c r="K487" s="371"/>
      <c r="L487" s="371"/>
      <c r="M487" s="371"/>
      <c r="N487" s="371"/>
      <c r="O487" s="371"/>
      <c r="P487" s="1410"/>
      <c r="Q487" s="1410"/>
      <c r="R487" s="372"/>
    </row>
    <row r="488" spans="1:18" ht="26.25" customHeight="1" x14ac:dyDescent="0.25">
      <c r="A488" s="1421"/>
      <c r="B488" s="1421"/>
      <c r="C488" s="1421"/>
      <c r="D488" s="1421"/>
      <c r="E488" s="1421"/>
      <c r="F488" s="1421"/>
      <c r="G488" s="1421"/>
      <c r="H488" s="1421"/>
      <c r="I488" s="1421"/>
      <c r="J488" s="1421"/>
      <c r="K488" s="1421"/>
      <c r="L488" s="1421"/>
      <c r="M488" s="1421"/>
      <c r="N488" s="1422"/>
      <c r="O488" s="1422"/>
      <c r="P488" s="1422"/>
      <c r="Q488" s="1422"/>
      <c r="R488" s="373"/>
    </row>
    <row r="489" spans="1:18" ht="26.25" customHeight="1" x14ac:dyDescent="0.25">
      <c r="A489" s="1423"/>
      <c r="B489" s="1423"/>
      <c r="C489" s="1423"/>
      <c r="D489" s="1423"/>
      <c r="E489" s="1423"/>
      <c r="F489" s="1423"/>
      <c r="G489" s="1423"/>
      <c r="H489" s="1423"/>
      <c r="I489" s="1423"/>
      <c r="J489" s="371"/>
      <c r="K489" s="371"/>
      <c r="L489" s="371"/>
      <c r="M489" s="371"/>
      <c r="N489" s="371"/>
      <c r="O489" s="371"/>
      <c r="P489" s="371"/>
      <c r="Q489" s="371"/>
      <c r="R489" s="371"/>
    </row>
    <row r="490" spans="1:18" ht="26.25" customHeight="1" x14ac:dyDescent="0.25">
      <c r="A490" s="1411"/>
      <c r="B490" s="1426"/>
      <c r="C490" s="1426"/>
      <c r="D490" s="1427"/>
      <c r="E490" s="1427"/>
      <c r="F490" s="1427"/>
      <c r="G490" s="1427"/>
      <c r="H490" s="1427"/>
      <c r="I490" s="1427"/>
      <c r="J490" s="371"/>
      <c r="K490" s="371"/>
      <c r="L490" s="371"/>
      <c r="M490" s="371"/>
      <c r="N490" s="371"/>
      <c r="O490" s="371"/>
      <c r="P490" s="371"/>
      <c r="Q490" s="371"/>
      <c r="R490" s="371"/>
    </row>
    <row r="491" spans="1:18" ht="26.25" customHeight="1" x14ac:dyDescent="0.25">
      <c r="A491" s="1424"/>
      <c r="B491" s="1424"/>
      <c r="C491" s="1424"/>
      <c r="D491" s="1428"/>
      <c r="E491" s="1428"/>
      <c r="F491" s="1428"/>
      <c r="G491" s="1428"/>
      <c r="H491" s="1428"/>
      <c r="I491" s="1428"/>
      <c r="J491" s="1420"/>
      <c r="K491" s="1420"/>
      <c r="L491" s="1420"/>
      <c r="M491" s="1420"/>
      <c r="N491" s="1420"/>
      <c r="O491" s="1420"/>
      <c r="P491" s="1420"/>
      <c r="Q491" s="371"/>
      <c r="R491" s="371"/>
    </row>
    <row r="492" spans="1:18" ht="26.25" customHeight="1" x14ac:dyDescent="0.25">
      <c r="A492" s="1424"/>
      <c r="B492" s="1424"/>
      <c r="C492" s="1424"/>
      <c r="D492" s="1428"/>
      <c r="E492" s="1428"/>
      <c r="F492" s="1428"/>
      <c r="G492" s="1428"/>
      <c r="H492" s="1428"/>
      <c r="I492" s="1428"/>
      <c r="J492" s="1420"/>
      <c r="K492" s="1420"/>
      <c r="L492" s="1420"/>
      <c r="M492" s="1420"/>
      <c r="N492" s="1420"/>
      <c r="O492" s="1420"/>
      <c r="P492" s="1420"/>
      <c r="Q492" s="371"/>
      <c r="R492" s="371"/>
    </row>
    <row r="493" spans="1:18" ht="26.25" customHeight="1" x14ac:dyDescent="0.25">
      <c r="A493" s="371"/>
      <c r="B493" s="371"/>
      <c r="C493" s="371"/>
      <c r="D493" s="371"/>
      <c r="E493" s="371"/>
      <c r="F493" s="371"/>
      <c r="G493" s="371"/>
      <c r="H493" s="371"/>
      <c r="I493" s="371"/>
      <c r="J493" s="371"/>
      <c r="K493" s="371"/>
      <c r="L493" s="371"/>
      <c r="M493" s="371"/>
      <c r="N493" s="371"/>
      <c r="O493" s="371"/>
      <c r="P493" s="371"/>
      <c r="Q493" s="371"/>
      <c r="R493" s="371"/>
    </row>
    <row r="494" spans="1:18" ht="26.25" customHeight="1" x14ac:dyDescent="0.25">
      <c r="A494" s="1417"/>
      <c r="B494" s="1417"/>
      <c r="C494" s="1417"/>
      <c r="D494" s="1418"/>
      <c r="E494" s="1418"/>
      <c r="F494" s="1419"/>
      <c r="G494" s="1419"/>
      <c r="H494" s="1419"/>
      <c r="I494" s="1419"/>
      <c r="J494" s="1419"/>
      <c r="K494" s="1415"/>
      <c r="L494" s="1415"/>
      <c r="M494" s="1415"/>
      <c r="N494" s="1415"/>
      <c r="O494" s="1415"/>
      <c r="P494" s="1415"/>
      <c r="Q494" s="1415"/>
      <c r="R494" s="356"/>
    </row>
    <row r="495" spans="1:18" ht="26.25" customHeight="1" x14ac:dyDescent="0.25">
      <c r="A495" s="1424"/>
      <c r="B495" s="1424"/>
      <c r="C495" s="1424"/>
      <c r="D495" s="1425"/>
      <c r="E495" s="1425"/>
      <c r="F495" s="1415"/>
      <c r="G495" s="1415"/>
      <c r="H495" s="1415"/>
      <c r="I495" s="1415"/>
      <c r="J495" s="1415"/>
      <c r="K495" s="1415"/>
      <c r="L495" s="1415"/>
      <c r="M495" s="371"/>
      <c r="N495" s="371"/>
      <c r="O495" s="371"/>
      <c r="P495" s="371"/>
      <c r="Q495" s="371"/>
      <c r="R495" s="371"/>
    </row>
    <row r="496" spans="1:18" ht="26.25" customHeight="1" x14ac:dyDescent="0.3">
      <c r="A496" s="1414"/>
      <c r="B496" s="1414"/>
      <c r="C496" s="1414"/>
      <c r="D496" s="1414"/>
      <c r="E496" s="1414"/>
      <c r="F496" s="374"/>
      <c r="G496" s="1415"/>
      <c r="H496" s="1415"/>
      <c r="I496" s="1415"/>
      <c r="J496" s="1415"/>
      <c r="K496" s="1415"/>
      <c r="L496" s="1415"/>
      <c r="M496" s="1415"/>
      <c r="N496" s="371"/>
      <c r="O496" s="371"/>
      <c r="P496" s="371"/>
      <c r="Q496" s="371"/>
      <c r="R496" s="371"/>
    </row>
    <row r="497" spans="1:18" ht="26.25" customHeight="1" x14ac:dyDescent="0.25">
      <c r="A497" s="371"/>
      <c r="B497" s="371"/>
      <c r="C497" s="371"/>
      <c r="D497" s="371"/>
      <c r="E497" s="371"/>
      <c r="F497" s="371"/>
      <c r="G497" s="371"/>
      <c r="H497" s="371"/>
      <c r="I497" s="371"/>
      <c r="J497" s="371"/>
      <c r="K497" s="371"/>
      <c r="L497" s="371"/>
      <c r="M497" s="371"/>
      <c r="N497" s="371"/>
      <c r="O497" s="371"/>
      <c r="P497" s="371"/>
      <c r="Q497" s="371"/>
      <c r="R497" s="371"/>
    </row>
    <row r="498" spans="1:18" ht="26.25" customHeight="1" x14ac:dyDescent="0.25">
      <c r="A498" s="1411"/>
      <c r="B498" s="1416"/>
      <c r="C498" s="1416"/>
      <c r="D498" s="1416"/>
      <c r="E498" s="1416"/>
      <c r="F498" s="1416"/>
      <c r="G498" s="1416"/>
      <c r="H498" s="1416"/>
      <c r="I498" s="1416"/>
      <c r="J498" s="1416"/>
      <c r="K498" s="1415"/>
      <c r="L498" s="1415"/>
      <c r="M498" s="1415"/>
      <c r="N498" s="1415"/>
      <c r="O498" s="1415"/>
      <c r="P498" s="1415"/>
      <c r="Q498" s="1415"/>
      <c r="R498" s="356"/>
    </row>
    <row r="499" spans="1:18" ht="26.25" customHeight="1" x14ac:dyDescent="0.25">
      <c r="A499" s="1412"/>
      <c r="B499" s="1412"/>
      <c r="C499" s="1412"/>
      <c r="D499" s="1412"/>
      <c r="E499" s="1412"/>
      <c r="F499" s="1412"/>
      <c r="G499" s="1412"/>
      <c r="H499" s="1412"/>
      <c r="I499" s="1412"/>
      <c r="J499" s="1412"/>
      <c r="K499" s="1412"/>
      <c r="L499" s="1412"/>
      <c r="M499" s="1412"/>
      <c r="N499" s="1412"/>
      <c r="O499" s="1412"/>
      <c r="P499" s="1412"/>
      <c r="Q499" s="1412"/>
      <c r="R499" s="366"/>
    </row>
    <row r="500" spans="1:18" ht="26.25" customHeight="1" x14ac:dyDescent="0.25">
      <c r="A500" s="1412"/>
      <c r="B500" s="1412"/>
      <c r="C500" s="1412"/>
      <c r="D500" s="1412"/>
      <c r="E500" s="1412"/>
      <c r="F500" s="1412"/>
      <c r="G500" s="1412"/>
      <c r="H500" s="1412"/>
      <c r="I500" s="1412"/>
      <c r="J500" s="1412"/>
      <c r="K500" s="1412"/>
      <c r="L500" s="1412"/>
      <c r="M500" s="1412"/>
      <c r="N500" s="1412"/>
      <c r="O500" s="1412"/>
      <c r="P500" s="1412"/>
      <c r="Q500" s="1412"/>
      <c r="R500" s="366"/>
    </row>
    <row r="501" spans="1:18" ht="26.25" customHeight="1" x14ac:dyDescent="0.25">
      <c r="A501" s="1412"/>
      <c r="B501" s="1412"/>
      <c r="C501" s="1412"/>
      <c r="D501" s="1412"/>
      <c r="E501" s="1412"/>
      <c r="F501" s="1412"/>
      <c r="G501" s="1412"/>
      <c r="H501" s="1412"/>
      <c r="I501" s="1412"/>
      <c r="J501" s="1412"/>
      <c r="K501" s="1412"/>
      <c r="L501" s="1412"/>
      <c r="M501" s="1412"/>
      <c r="N501" s="1412"/>
      <c r="O501" s="1412"/>
      <c r="P501" s="1412"/>
      <c r="Q501" s="1412"/>
      <c r="R501" s="366"/>
    </row>
    <row r="502" spans="1:18" ht="26.25" customHeight="1" x14ac:dyDescent="0.25">
      <c r="A502" s="1412"/>
      <c r="B502" s="1412"/>
      <c r="C502" s="1412"/>
      <c r="D502" s="1412"/>
      <c r="E502" s="1412"/>
      <c r="F502" s="1412"/>
      <c r="G502" s="1412"/>
      <c r="H502" s="1412"/>
      <c r="I502" s="1412"/>
      <c r="J502" s="1412"/>
      <c r="K502" s="1412"/>
      <c r="L502" s="1412"/>
      <c r="M502" s="1412"/>
      <c r="N502" s="1412"/>
      <c r="O502" s="1412"/>
      <c r="P502" s="1412"/>
      <c r="Q502" s="1412"/>
      <c r="R502" s="366"/>
    </row>
    <row r="503" spans="1:18" ht="26.25" customHeight="1" x14ac:dyDescent="0.25">
      <c r="A503" s="1412"/>
      <c r="B503" s="1412"/>
      <c r="C503" s="1412"/>
      <c r="D503" s="1412"/>
      <c r="E503" s="1412"/>
      <c r="F503" s="1412"/>
      <c r="G503" s="1412"/>
      <c r="H503" s="1412"/>
      <c r="I503" s="1412"/>
      <c r="J503" s="1412"/>
      <c r="K503" s="1412"/>
      <c r="L503" s="1412"/>
      <c r="M503" s="1412"/>
      <c r="N503" s="1412"/>
      <c r="O503" s="1412"/>
      <c r="P503" s="1412"/>
      <c r="Q503" s="1412"/>
      <c r="R503" s="366"/>
    </row>
    <row r="504" spans="1:18" ht="26.25" customHeight="1" x14ac:dyDescent="0.25">
      <c r="A504" s="1412"/>
      <c r="B504" s="1412"/>
      <c r="C504" s="1412"/>
      <c r="D504" s="1412"/>
      <c r="E504" s="1412"/>
      <c r="F504" s="1412"/>
      <c r="G504" s="1412"/>
      <c r="H504" s="1412"/>
      <c r="I504" s="1412"/>
      <c r="J504" s="1412"/>
      <c r="K504" s="1412"/>
      <c r="L504" s="1412"/>
      <c r="M504" s="1412"/>
      <c r="N504" s="1412"/>
      <c r="O504" s="1412"/>
      <c r="P504" s="1412"/>
      <c r="Q504" s="1412"/>
      <c r="R504" s="366"/>
    </row>
    <row r="505" spans="1:18" ht="26.25" customHeight="1" x14ac:dyDescent="0.25">
      <c r="A505" s="1412"/>
      <c r="B505" s="1412"/>
      <c r="C505" s="1412"/>
      <c r="D505" s="1412"/>
      <c r="E505" s="1412"/>
      <c r="F505" s="1412"/>
      <c r="G505" s="1412"/>
      <c r="H505" s="1412"/>
      <c r="I505" s="1412"/>
      <c r="J505" s="1412"/>
      <c r="K505" s="1412"/>
      <c r="L505" s="1412"/>
      <c r="M505" s="1412"/>
      <c r="N505" s="1412"/>
      <c r="O505" s="1412"/>
      <c r="P505" s="1412"/>
      <c r="Q505" s="1412"/>
      <c r="R505" s="366"/>
    </row>
    <row r="506" spans="1:18" ht="26.25" customHeight="1" x14ac:dyDescent="0.25">
      <c r="A506" s="1412"/>
      <c r="B506" s="1412"/>
      <c r="C506" s="1412"/>
      <c r="D506" s="1412"/>
      <c r="E506" s="1412"/>
      <c r="F506" s="1412"/>
      <c r="G506" s="1412"/>
      <c r="H506" s="1412"/>
      <c r="I506" s="1412"/>
      <c r="J506" s="1412"/>
      <c r="K506" s="1412"/>
      <c r="L506" s="1412"/>
      <c r="M506" s="1412"/>
      <c r="N506" s="1412"/>
      <c r="O506" s="1412"/>
      <c r="P506" s="1412"/>
      <c r="Q506" s="1412"/>
      <c r="R506" s="366"/>
    </row>
    <row r="507" spans="1:18" ht="26.25" customHeight="1" x14ac:dyDescent="0.25">
      <c r="A507" s="1412"/>
      <c r="B507" s="1412"/>
      <c r="C507" s="1412"/>
      <c r="D507" s="1412"/>
      <c r="E507" s="1412"/>
      <c r="F507" s="1412"/>
      <c r="G507" s="1412"/>
      <c r="H507" s="1412"/>
      <c r="I507" s="1412"/>
      <c r="J507" s="1412"/>
      <c r="K507" s="1412"/>
      <c r="L507" s="1412"/>
      <c r="M507" s="1412"/>
      <c r="N507" s="1412"/>
      <c r="O507" s="1412"/>
      <c r="P507" s="1412"/>
      <c r="Q507" s="1412"/>
      <c r="R507" s="366"/>
    </row>
    <row r="508" spans="1:18" ht="26.25" customHeight="1" x14ac:dyDescent="0.25">
      <c r="A508" s="371"/>
      <c r="B508" s="371"/>
      <c r="C508" s="371"/>
      <c r="D508" s="371"/>
      <c r="E508" s="371"/>
      <c r="F508" s="371"/>
      <c r="G508" s="371"/>
      <c r="H508" s="371"/>
      <c r="I508" s="371"/>
      <c r="J508" s="371"/>
      <c r="K508" s="371"/>
      <c r="L508" s="371"/>
      <c r="M508" s="371"/>
      <c r="N508" s="371"/>
      <c r="O508" s="371"/>
      <c r="P508" s="371"/>
      <c r="Q508" s="371"/>
      <c r="R508" s="371"/>
    </row>
    <row r="509" spans="1:18" ht="26.25" customHeight="1" x14ac:dyDescent="0.25">
      <c r="A509" s="1411"/>
      <c r="B509" s="1411"/>
      <c r="C509" s="1411"/>
      <c r="D509" s="1411"/>
      <c r="E509" s="1411"/>
      <c r="F509" s="1411"/>
      <c r="G509" s="1411"/>
      <c r="H509" s="1411"/>
      <c r="I509" s="1411"/>
      <c r="J509" s="1411"/>
      <c r="K509" s="1411"/>
      <c r="L509" s="1411"/>
      <c r="M509" s="1411"/>
      <c r="N509" s="1411"/>
      <c r="O509" s="1411"/>
      <c r="P509" s="1411"/>
      <c r="Q509" s="1411"/>
      <c r="R509" s="365"/>
    </row>
    <row r="510" spans="1:18" ht="26.25" customHeight="1" x14ac:dyDescent="0.25">
      <c r="A510" s="1412"/>
      <c r="B510" s="1412"/>
      <c r="C510" s="1412"/>
      <c r="D510" s="1412"/>
      <c r="E510" s="1412"/>
      <c r="F510" s="1412"/>
      <c r="G510" s="1412"/>
      <c r="H510" s="1412"/>
      <c r="I510" s="1412"/>
      <c r="J510" s="1412"/>
      <c r="K510" s="1412"/>
      <c r="L510" s="1412"/>
      <c r="M510" s="1412"/>
      <c r="N510" s="1412"/>
      <c r="O510" s="1412"/>
      <c r="P510" s="1412"/>
      <c r="Q510" s="1412"/>
      <c r="R510" s="366"/>
    </row>
    <row r="511" spans="1:18" ht="26.25" customHeight="1" x14ac:dyDescent="0.25">
      <c r="A511" s="1412"/>
      <c r="B511" s="1412"/>
      <c r="C511" s="1412"/>
      <c r="D511" s="1412"/>
      <c r="E511" s="1412"/>
      <c r="F511" s="1412"/>
      <c r="G511" s="1412"/>
      <c r="H511" s="1412"/>
      <c r="I511" s="1412"/>
      <c r="J511" s="1412"/>
      <c r="K511" s="1412"/>
      <c r="L511" s="1412"/>
      <c r="M511" s="1412"/>
      <c r="N511" s="1412"/>
      <c r="O511" s="1412"/>
      <c r="P511" s="1412"/>
      <c r="Q511" s="1412"/>
      <c r="R511" s="366"/>
    </row>
    <row r="512" spans="1:18" ht="26.25" customHeight="1" x14ac:dyDescent="0.25">
      <c r="A512" s="1412"/>
      <c r="B512" s="1412"/>
      <c r="C512" s="1412"/>
      <c r="D512" s="1412"/>
      <c r="E512" s="1412"/>
      <c r="F512" s="1412"/>
      <c r="G512" s="1412"/>
      <c r="H512" s="1412"/>
      <c r="I512" s="1412"/>
      <c r="J512" s="1412"/>
      <c r="K512" s="1412"/>
      <c r="L512" s="1412"/>
      <c r="M512" s="1412"/>
      <c r="N512" s="1412"/>
      <c r="O512" s="1412"/>
      <c r="P512" s="1412"/>
      <c r="Q512" s="1412"/>
      <c r="R512" s="366"/>
    </row>
    <row r="513" spans="1:18" ht="26.25" customHeight="1" x14ac:dyDescent="0.25">
      <c r="A513" s="1412"/>
      <c r="B513" s="1412"/>
      <c r="C513" s="1412"/>
      <c r="D513" s="1412"/>
      <c r="E513" s="1412"/>
      <c r="F513" s="1412"/>
      <c r="G513" s="1412"/>
      <c r="H513" s="1412"/>
      <c r="I513" s="1412"/>
      <c r="J513" s="1412"/>
      <c r="K513" s="1412"/>
      <c r="L513" s="1412"/>
      <c r="M513" s="1412"/>
      <c r="N513" s="1412"/>
      <c r="O513" s="1412"/>
      <c r="P513" s="1412"/>
      <c r="Q513" s="1412"/>
      <c r="R513" s="366"/>
    </row>
    <row r="514" spans="1:18" ht="26.25" customHeight="1" x14ac:dyDescent="0.25">
      <c r="A514" s="1412"/>
      <c r="B514" s="1412"/>
      <c r="C514" s="1412"/>
      <c r="D514" s="1412"/>
      <c r="E514" s="1412"/>
      <c r="F514" s="1412"/>
      <c r="G514" s="1412"/>
      <c r="H514" s="1412"/>
      <c r="I514" s="1412"/>
      <c r="J514" s="1412"/>
      <c r="K514" s="1412"/>
      <c r="L514" s="1412"/>
      <c r="M514" s="1412"/>
      <c r="N514" s="1412"/>
      <c r="O514" s="1412"/>
      <c r="P514" s="1412"/>
      <c r="Q514" s="1412"/>
      <c r="R514" s="366"/>
    </row>
    <row r="515" spans="1:18" ht="26.25" customHeight="1" x14ac:dyDescent="0.25">
      <c r="A515" s="1412"/>
      <c r="B515" s="1412"/>
      <c r="C515" s="1412"/>
      <c r="D515" s="1412"/>
      <c r="E515" s="1412"/>
      <c r="F515" s="1412"/>
      <c r="G515" s="1412"/>
      <c r="H515" s="1412"/>
      <c r="I515" s="1412"/>
      <c r="J515" s="1412"/>
      <c r="K515" s="1412"/>
      <c r="L515" s="1412"/>
      <c r="M515" s="1412"/>
      <c r="N515" s="1412"/>
      <c r="O515" s="1412"/>
      <c r="P515" s="1412"/>
      <c r="Q515" s="1412"/>
      <c r="R515" s="366"/>
    </row>
    <row r="516" spans="1:18" ht="26.25" customHeight="1" x14ac:dyDescent="0.25">
      <c r="A516" s="1412"/>
      <c r="B516" s="1412"/>
      <c r="C516" s="1412"/>
      <c r="D516" s="1412"/>
      <c r="E516" s="1412"/>
      <c r="F516" s="1412"/>
      <c r="G516" s="1412"/>
      <c r="H516" s="1412"/>
      <c r="I516" s="1412"/>
      <c r="J516" s="1412"/>
      <c r="K516" s="1412"/>
      <c r="L516" s="1412"/>
      <c r="M516" s="1412"/>
      <c r="N516" s="1412"/>
      <c r="O516" s="1412"/>
      <c r="P516" s="1412"/>
      <c r="Q516" s="1412"/>
      <c r="R516" s="366"/>
    </row>
    <row r="517" spans="1:18" ht="26.25" customHeight="1" x14ac:dyDescent="0.25">
      <c r="A517" s="1412"/>
      <c r="B517" s="1412"/>
      <c r="C517" s="1412"/>
      <c r="D517" s="1412"/>
      <c r="E517" s="1412"/>
      <c r="F517" s="1412"/>
      <c r="G517" s="1412"/>
      <c r="H517" s="1412"/>
      <c r="I517" s="1412"/>
      <c r="J517" s="1412"/>
      <c r="K517" s="1412"/>
      <c r="L517" s="1412"/>
      <c r="M517" s="1412"/>
      <c r="N517" s="1412"/>
      <c r="O517" s="1412"/>
      <c r="P517" s="1412"/>
      <c r="Q517" s="1412"/>
      <c r="R517" s="366"/>
    </row>
    <row r="518" spans="1:18" ht="26.25" customHeight="1" x14ac:dyDescent="0.25">
      <c r="A518" s="1412"/>
      <c r="B518" s="1412"/>
      <c r="C518" s="1412"/>
      <c r="D518" s="1412"/>
      <c r="E518" s="1412"/>
      <c r="F518" s="1412"/>
      <c r="G518" s="1412"/>
      <c r="H518" s="1412"/>
      <c r="I518" s="1412"/>
      <c r="J518" s="1412"/>
      <c r="K518" s="1412"/>
      <c r="L518" s="1412"/>
      <c r="M518" s="1412"/>
      <c r="N518" s="1412"/>
      <c r="O518" s="1412"/>
      <c r="P518" s="1412"/>
      <c r="Q518" s="1412"/>
      <c r="R518" s="366"/>
    </row>
    <row r="519" spans="1:18" ht="26.25" customHeight="1" x14ac:dyDescent="0.25">
      <c r="A519" s="370"/>
      <c r="B519" s="366"/>
      <c r="C519" s="366"/>
      <c r="D519" s="366"/>
      <c r="E519" s="366"/>
      <c r="F519" s="366"/>
      <c r="G519" s="366"/>
      <c r="H519" s="366"/>
      <c r="I519" s="366"/>
      <c r="J519" s="366"/>
      <c r="K519" s="366"/>
      <c r="L519" s="366"/>
      <c r="M519" s="366"/>
      <c r="N519" s="366"/>
      <c r="O519" s="366"/>
      <c r="P519" s="1410"/>
      <c r="Q519" s="1410"/>
      <c r="R519" s="372"/>
    </row>
    <row r="520" spans="1:18" ht="51.75" customHeight="1" x14ac:dyDescent="0.25">
      <c r="A520" s="1411"/>
      <c r="B520" s="1411"/>
      <c r="C520" s="1411"/>
      <c r="D520" s="1411"/>
      <c r="E520" s="1411"/>
      <c r="F520" s="1411"/>
      <c r="G520" s="1411"/>
      <c r="H520" s="1411"/>
      <c r="I520" s="1411"/>
      <c r="J520" s="1411"/>
      <c r="K520" s="1411"/>
      <c r="L520" s="1411"/>
      <c r="M520" s="1411"/>
      <c r="N520" s="1411"/>
      <c r="O520" s="1411"/>
      <c r="P520" s="1411"/>
      <c r="Q520" s="1411"/>
      <c r="R520" s="365"/>
    </row>
    <row r="521" spans="1:18" ht="26.25" customHeight="1" x14ac:dyDescent="0.25">
      <c r="A521" s="1412"/>
      <c r="B521" s="1412"/>
      <c r="C521" s="1412"/>
      <c r="D521" s="1412"/>
      <c r="E521" s="1412"/>
      <c r="F521" s="1412"/>
      <c r="G521" s="1412"/>
      <c r="H521" s="1412"/>
      <c r="I521" s="1412"/>
      <c r="J521" s="1412"/>
      <c r="K521" s="1412"/>
      <c r="L521" s="1412"/>
      <c r="M521" s="1412"/>
      <c r="N521" s="1412"/>
      <c r="O521" s="1412"/>
      <c r="P521" s="1412"/>
      <c r="Q521" s="1412"/>
      <c r="R521" s="366"/>
    </row>
    <row r="522" spans="1:18" ht="26.25" customHeight="1" x14ac:dyDescent="0.25">
      <c r="A522" s="1412"/>
      <c r="B522" s="1412"/>
      <c r="C522" s="1412"/>
      <c r="D522" s="1412"/>
      <c r="E522" s="1412"/>
      <c r="F522" s="1412"/>
      <c r="G522" s="1412"/>
      <c r="H522" s="1412"/>
      <c r="I522" s="1412"/>
      <c r="J522" s="1412"/>
      <c r="K522" s="1412"/>
      <c r="L522" s="1412"/>
      <c r="M522" s="1412"/>
      <c r="N522" s="1412"/>
      <c r="O522" s="1412"/>
      <c r="P522" s="1412"/>
      <c r="Q522" s="1412"/>
      <c r="R522" s="366"/>
    </row>
    <row r="523" spans="1:18" ht="26.25" customHeight="1" x14ac:dyDescent="0.25">
      <c r="A523" s="1412"/>
      <c r="B523" s="1412"/>
      <c r="C523" s="1412"/>
      <c r="D523" s="1412"/>
      <c r="E523" s="1412"/>
      <c r="F523" s="1412"/>
      <c r="G523" s="1412"/>
      <c r="H523" s="1412"/>
      <c r="I523" s="1412"/>
      <c r="J523" s="1412"/>
      <c r="K523" s="1412"/>
      <c r="L523" s="1412"/>
      <c r="M523" s="1412"/>
      <c r="N523" s="1412"/>
      <c r="O523" s="1412"/>
      <c r="P523" s="1412"/>
      <c r="Q523" s="1412"/>
      <c r="R523" s="366"/>
    </row>
    <row r="524" spans="1:18" ht="26.25" customHeight="1" x14ac:dyDescent="0.25">
      <c r="A524" s="1412"/>
      <c r="B524" s="1412"/>
      <c r="C524" s="1412"/>
      <c r="D524" s="1412"/>
      <c r="E524" s="1412"/>
      <c r="F524" s="1412"/>
      <c r="G524" s="1412"/>
      <c r="H524" s="1412"/>
      <c r="I524" s="1412"/>
      <c r="J524" s="1412"/>
      <c r="K524" s="1412"/>
      <c r="L524" s="1412"/>
      <c r="M524" s="1412"/>
      <c r="N524" s="1412"/>
      <c r="O524" s="1412"/>
      <c r="P524" s="1412"/>
      <c r="Q524" s="1412"/>
      <c r="R524" s="366"/>
    </row>
    <row r="525" spans="1:18" ht="26.25" customHeight="1" x14ac:dyDescent="0.25">
      <c r="A525" s="1412"/>
      <c r="B525" s="1412"/>
      <c r="C525" s="1412"/>
      <c r="D525" s="1412"/>
      <c r="E525" s="1412"/>
      <c r="F525" s="1412"/>
      <c r="G525" s="1412"/>
      <c r="H525" s="1412"/>
      <c r="I525" s="1412"/>
      <c r="J525" s="1412"/>
      <c r="K525" s="1412"/>
      <c r="L525" s="1412"/>
      <c r="M525" s="1412"/>
      <c r="N525" s="1412"/>
      <c r="O525" s="1412"/>
      <c r="P525" s="1412"/>
      <c r="Q525" s="1412"/>
      <c r="R525" s="366"/>
    </row>
    <row r="526" spans="1:18" ht="26.25" customHeight="1" x14ac:dyDescent="0.25">
      <c r="A526" s="1412"/>
      <c r="B526" s="1412"/>
      <c r="C526" s="1412"/>
      <c r="D526" s="1412"/>
      <c r="E526" s="1412"/>
      <c r="F526" s="1412"/>
      <c r="G526" s="1412"/>
      <c r="H526" s="1412"/>
      <c r="I526" s="1412"/>
      <c r="J526" s="1412"/>
      <c r="K526" s="1412"/>
      <c r="L526" s="1412"/>
      <c r="M526" s="1412"/>
      <c r="N526" s="1412"/>
      <c r="O526" s="1412"/>
      <c r="P526" s="1412"/>
      <c r="Q526" s="1412"/>
      <c r="R526" s="366"/>
    </row>
    <row r="527" spans="1:18" ht="26.25" customHeight="1" x14ac:dyDescent="0.25">
      <c r="A527" s="1412"/>
      <c r="B527" s="1412"/>
      <c r="C527" s="1412"/>
      <c r="D527" s="1412"/>
      <c r="E527" s="1412"/>
      <c r="F527" s="1412"/>
      <c r="G527" s="1412"/>
      <c r="H527" s="1412"/>
      <c r="I527" s="1412"/>
      <c r="J527" s="1412"/>
      <c r="K527" s="1412"/>
      <c r="L527" s="1412"/>
      <c r="M527" s="1412"/>
      <c r="N527" s="1412"/>
      <c r="O527" s="1412"/>
      <c r="P527" s="1412"/>
      <c r="Q527" s="1412"/>
      <c r="R527" s="366"/>
    </row>
    <row r="528" spans="1:18" ht="26.25" customHeight="1" x14ac:dyDescent="0.25">
      <c r="A528" s="1412"/>
      <c r="B528" s="1412"/>
      <c r="C528" s="1412"/>
      <c r="D528" s="1412"/>
      <c r="E528" s="1412"/>
      <c r="F528" s="1412"/>
      <c r="G528" s="1412"/>
      <c r="H528" s="1412"/>
      <c r="I528" s="1412"/>
      <c r="J528" s="1412"/>
      <c r="K528" s="1412"/>
      <c r="L528" s="1412"/>
      <c r="M528" s="1412"/>
      <c r="N528" s="1412"/>
      <c r="O528" s="1412"/>
      <c r="P528" s="1412"/>
      <c r="Q528" s="1412"/>
      <c r="R528" s="366"/>
    </row>
    <row r="529" spans="1:18" ht="26.25" customHeight="1" x14ac:dyDescent="0.25">
      <c r="A529" s="1412"/>
      <c r="B529" s="1412"/>
      <c r="C529" s="1412"/>
      <c r="D529" s="1412"/>
      <c r="E529" s="1412"/>
      <c r="F529" s="1412"/>
      <c r="G529" s="1412"/>
      <c r="H529" s="1412"/>
      <c r="I529" s="1412"/>
      <c r="J529" s="1412"/>
      <c r="K529" s="1412"/>
      <c r="L529" s="1412"/>
      <c r="M529" s="1412"/>
      <c r="N529" s="1412"/>
      <c r="O529" s="1412"/>
      <c r="P529" s="1412"/>
      <c r="Q529" s="1412"/>
      <c r="R529" s="366"/>
    </row>
    <row r="530" spans="1:18" ht="26.25" customHeight="1" x14ac:dyDescent="0.25">
      <c r="A530" s="371"/>
      <c r="B530" s="371"/>
      <c r="C530" s="371"/>
      <c r="D530" s="371"/>
      <c r="E530" s="371"/>
      <c r="F530" s="371"/>
      <c r="G530" s="371"/>
      <c r="H530" s="371"/>
      <c r="I530" s="371"/>
      <c r="J530" s="371"/>
      <c r="K530" s="371"/>
      <c r="L530" s="371"/>
      <c r="M530" s="371"/>
      <c r="N530" s="371"/>
      <c r="O530" s="371"/>
      <c r="P530" s="371"/>
      <c r="Q530" s="371"/>
      <c r="R530" s="371"/>
    </row>
    <row r="531" spans="1:18" ht="26.25" customHeight="1" x14ac:dyDescent="0.25">
      <c r="A531" s="1413"/>
      <c r="B531" s="1413"/>
      <c r="C531" s="1413"/>
      <c r="D531" s="1413"/>
      <c r="E531" s="1413"/>
      <c r="F531" s="1413"/>
      <c r="G531" s="1413"/>
      <c r="H531" s="1413"/>
      <c r="I531" s="1413"/>
      <c r="J531" s="1413"/>
      <c r="K531" s="1413"/>
      <c r="L531" s="1413"/>
      <c r="M531" s="1413"/>
      <c r="N531" s="1413"/>
      <c r="O531" s="1413"/>
      <c r="P531" s="1413"/>
      <c r="Q531" s="1413"/>
      <c r="R531" s="367"/>
    </row>
    <row r="532" spans="1:18" ht="26.25" customHeight="1" x14ac:dyDescent="0.25">
      <c r="A532" s="1412"/>
      <c r="B532" s="1412"/>
      <c r="C532" s="1412"/>
      <c r="D532" s="1412"/>
      <c r="E532" s="1412"/>
      <c r="F532" s="1412"/>
      <c r="G532" s="1412"/>
      <c r="H532" s="1412"/>
      <c r="I532" s="1412"/>
      <c r="J532" s="1412"/>
      <c r="K532" s="1412"/>
      <c r="L532" s="1412"/>
      <c r="M532" s="1412"/>
      <c r="N532" s="1412"/>
      <c r="O532" s="1412"/>
      <c r="P532" s="1412"/>
      <c r="Q532" s="1412"/>
      <c r="R532" s="366"/>
    </row>
    <row r="533" spans="1:18" ht="26.25" customHeight="1" x14ac:dyDescent="0.25">
      <c r="A533" s="1412"/>
      <c r="B533" s="1412"/>
      <c r="C533" s="1412"/>
      <c r="D533" s="1412"/>
      <c r="E533" s="1412"/>
      <c r="F533" s="1412"/>
      <c r="G533" s="1412"/>
      <c r="H533" s="1412"/>
      <c r="I533" s="1412"/>
      <c r="J533" s="1412"/>
      <c r="K533" s="1412"/>
      <c r="L533" s="1412"/>
      <c r="M533" s="1412"/>
      <c r="N533" s="1412"/>
      <c r="O533" s="1412"/>
      <c r="P533" s="1412"/>
      <c r="Q533" s="1412"/>
      <c r="R533" s="366"/>
    </row>
    <row r="534" spans="1:18" ht="26.25" customHeight="1" x14ac:dyDescent="0.25">
      <c r="A534" s="1412"/>
      <c r="B534" s="1412"/>
      <c r="C534" s="1412"/>
      <c r="D534" s="1412"/>
      <c r="E534" s="1412"/>
      <c r="F534" s="1412"/>
      <c r="G534" s="1412"/>
      <c r="H534" s="1412"/>
      <c r="I534" s="1412"/>
      <c r="J534" s="1412"/>
      <c r="K534" s="1412"/>
      <c r="L534" s="1412"/>
      <c r="M534" s="1412"/>
      <c r="N534" s="1412"/>
      <c r="O534" s="1412"/>
      <c r="P534" s="1412"/>
      <c r="Q534" s="1412"/>
      <c r="R534" s="366"/>
    </row>
    <row r="535" spans="1:18" ht="26.25" customHeight="1" x14ac:dyDescent="0.25">
      <c r="A535" s="1412"/>
      <c r="B535" s="1412"/>
      <c r="C535" s="1412"/>
      <c r="D535" s="1412"/>
      <c r="E535" s="1412"/>
      <c r="F535" s="1412"/>
      <c r="G535" s="1412"/>
      <c r="H535" s="1412"/>
      <c r="I535" s="1412"/>
      <c r="J535" s="1412"/>
      <c r="K535" s="1412"/>
      <c r="L535" s="1412"/>
      <c r="M535" s="1412"/>
      <c r="N535" s="1412"/>
      <c r="O535" s="1412"/>
      <c r="P535" s="1412"/>
      <c r="Q535" s="1412"/>
      <c r="R535" s="366"/>
    </row>
    <row r="536" spans="1:18" ht="26.25" customHeight="1" x14ac:dyDescent="0.25">
      <c r="A536" s="1412"/>
      <c r="B536" s="1412"/>
      <c r="C536" s="1412"/>
      <c r="D536" s="1412"/>
      <c r="E536" s="1412"/>
      <c r="F536" s="1412"/>
      <c r="G536" s="1412"/>
      <c r="H536" s="1412"/>
      <c r="I536" s="1412"/>
      <c r="J536" s="1412"/>
      <c r="K536" s="1412"/>
      <c r="L536" s="1412"/>
      <c r="M536" s="1412"/>
      <c r="N536" s="1412"/>
      <c r="O536" s="1412"/>
      <c r="P536" s="1412"/>
      <c r="Q536" s="1412"/>
      <c r="R536" s="366"/>
    </row>
    <row r="537" spans="1:18" ht="26.25" customHeight="1" x14ac:dyDescent="0.25">
      <c r="A537" s="1412"/>
      <c r="B537" s="1412"/>
      <c r="C537" s="1412"/>
      <c r="D537" s="1412"/>
      <c r="E537" s="1412"/>
      <c r="F537" s="1412"/>
      <c r="G537" s="1412"/>
      <c r="H537" s="1412"/>
      <c r="I537" s="1412"/>
      <c r="J537" s="1412"/>
      <c r="K537" s="1412"/>
      <c r="L537" s="1412"/>
      <c r="M537" s="1412"/>
      <c r="N537" s="1412"/>
      <c r="O537" s="1412"/>
      <c r="P537" s="1412"/>
      <c r="Q537" s="1412"/>
      <c r="R537" s="366"/>
    </row>
    <row r="538" spans="1:18" ht="26.25" customHeight="1" x14ac:dyDescent="0.25">
      <c r="A538" s="1412"/>
      <c r="B538" s="1412"/>
      <c r="C538" s="1412"/>
      <c r="D538" s="1412"/>
      <c r="E538" s="1412"/>
      <c r="F538" s="1412"/>
      <c r="G538" s="1412"/>
      <c r="H538" s="1412"/>
      <c r="I538" s="1412"/>
      <c r="J538" s="1412"/>
      <c r="K538" s="1412"/>
      <c r="L538" s="1412"/>
      <c r="M538" s="1412"/>
      <c r="N538" s="1412"/>
      <c r="O538" s="1412"/>
      <c r="P538" s="1412"/>
      <c r="Q538" s="1412"/>
      <c r="R538" s="366"/>
    </row>
    <row r="539" spans="1:18" ht="26.25" customHeight="1" x14ac:dyDescent="0.25">
      <c r="A539" s="1412"/>
      <c r="B539" s="1412"/>
      <c r="C539" s="1412"/>
      <c r="D539" s="1412"/>
      <c r="E539" s="1412"/>
      <c r="F539" s="1412"/>
      <c r="G539" s="1412"/>
      <c r="H539" s="1412"/>
      <c r="I539" s="1412"/>
      <c r="J539" s="1412"/>
      <c r="K539" s="1412"/>
      <c r="L539" s="1412"/>
      <c r="M539" s="1412"/>
      <c r="N539" s="1412"/>
      <c r="O539" s="1412"/>
      <c r="P539" s="1412"/>
      <c r="Q539" s="1412"/>
      <c r="R539" s="366"/>
    </row>
    <row r="540" spans="1:18" ht="26.25" customHeight="1" x14ac:dyDescent="0.25">
      <c r="A540" s="1412"/>
      <c r="B540" s="1412"/>
      <c r="C540" s="1412"/>
      <c r="D540" s="1412"/>
      <c r="E540" s="1412"/>
      <c r="F540" s="1412"/>
      <c r="G540" s="1412"/>
      <c r="H540" s="1412"/>
      <c r="I540" s="1412"/>
      <c r="J540" s="1412"/>
      <c r="K540" s="1412"/>
      <c r="L540" s="1412"/>
      <c r="M540" s="1412"/>
      <c r="N540" s="1412"/>
      <c r="O540" s="1412"/>
      <c r="P540" s="1412"/>
      <c r="Q540" s="1412"/>
      <c r="R540" s="366"/>
    </row>
    <row r="541" spans="1:18" ht="26.25" customHeight="1" x14ac:dyDescent="0.25">
      <c r="A541" s="371"/>
      <c r="B541" s="371"/>
      <c r="C541" s="371"/>
      <c r="D541" s="371"/>
      <c r="E541" s="371"/>
      <c r="F541" s="371"/>
      <c r="G541" s="371"/>
      <c r="H541" s="371"/>
      <c r="I541" s="371"/>
      <c r="J541" s="371"/>
      <c r="K541" s="371"/>
      <c r="L541" s="371"/>
      <c r="M541" s="371"/>
      <c r="N541" s="371"/>
      <c r="O541" s="371"/>
      <c r="P541" s="371"/>
      <c r="Q541" s="371"/>
      <c r="R541" s="371"/>
    </row>
    <row r="542" spans="1:18" ht="26.25" customHeight="1" x14ac:dyDescent="0.25">
      <c r="A542" s="1411"/>
      <c r="B542" s="1411"/>
      <c r="C542" s="1411"/>
      <c r="D542" s="1411"/>
      <c r="E542" s="1411"/>
      <c r="F542" s="1411"/>
      <c r="G542" s="1411"/>
      <c r="H542" s="1411"/>
      <c r="I542" s="1411"/>
      <c r="J542" s="1411"/>
      <c r="K542" s="1411"/>
      <c r="L542" s="1411"/>
      <c r="M542" s="1411"/>
      <c r="N542" s="1411"/>
      <c r="O542" s="1411"/>
      <c r="P542" s="1411"/>
      <c r="Q542" s="1411"/>
      <c r="R542" s="365"/>
    </row>
    <row r="543" spans="1:18" ht="26.25" customHeight="1" x14ac:dyDescent="0.25">
      <c r="A543" s="1412"/>
      <c r="B543" s="1412"/>
      <c r="C543" s="1412"/>
      <c r="D543" s="1412"/>
      <c r="E543" s="1412"/>
      <c r="F543" s="1412"/>
      <c r="G543" s="1412"/>
      <c r="H543" s="1412"/>
      <c r="I543" s="1412"/>
      <c r="J543" s="1412"/>
      <c r="K543" s="1412"/>
      <c r="L543" s="1412"/>
      <c r="M543" s="1412"/>
      <c r="N543" s="1412"/>
      <c r="O543" s="1412"/>
      <c r="P543" s="1412"/>
      <c r="Q543" s="1412"/>
      <c r="R543" s="366"/>
    </row>
    <row r="544" spans="1:18" ht="26.25" customHeight="1" x14ac:dyDescent="0.25">
      <c r="A544" s="1412"/>
      <c r="B544" s="1412"/>
      <c r="C544" s="1412"/>
      <c r="D544" s="1412"/>
      <c r="E544" s="1412"/>
      <c r="F544" s="1412"/>
      <c r="G544" s="1412"/>
      <c r="H544" s="1412"/>
      <c r="I544" s="1412"/>
      <c r="J544" s="1412"/>
      <c r="K544" s="1412"/>
      <c r="L544" s="1412"/>
      <c r="M544" s="1412"/>
      <c r="N544" s="1412"/>
      <c r="O544" s="1412"/>
      <c r="P544" s="1412"/>
      <c r="Q544" s="1412"/>
      <c r="R544" s="366"/>
    </row>
    <row r="545" spans="1:18" ht="26.25" customHeight="1" x14ac:dyDescent="0.25">
      <c r="A545" s="1412"/>
      <c r="B545" s="1412"/>
      <c r="C545" s="1412"/>
      <c r="D545" s="1412"/>
      <c r="E545" s="1412"/>
      <c r="F545" s="1412"/>
      <c r="G545" s="1412"/>
      <c r="H545" s="1412"/>
      <c r="I545" s="1412"/>
      <c r="J545" s="1412"/>
      <c r="K545" s="1412"/>
      <c r="L545" s="1412"/>
      <c r="M545" s="1412"/>
      <c r="N545" s="1412"/>
      <c r="O545" s="1412"/>
      <c r="P545" s="1412"/>
      <c r="Q545" s="1412"/>
      <c r="R545" s="366"/>
    </row>
    <row r="546" spans="1:18" ht="26.25" customHeight="1" x14ac:dyDescent="0.25">
      <c r="A546" s="1412"/>
      <c r="B546" s="1412"/>
      <c r="C546" s="1412"/>
      <c r="D546" s="1412"/>
      <c r="E546" s="1412"/>
      <c r="F546" s="1412"/>
      <c r="G546" s="1412"/>
      <c r="H546" s="1412"/>
      <c r="I546" s="1412"/>
      <c r="J546" s="1412"/>
      <c r="K546" s="1412"/>
      <c r="L546" s="1412"/>
      <c r="M546" s="1412"/>
      <c r="N546" s="1412"/>
      <c r="O546" s="1412"/>
      <c r="P546" s="1412"/>
      <c r="Q546" s="1412"/>
      <c r="R546" s="366"/>
    </row>
    <row r="547" spans="1:18" ht="26.25" customHeight="1" x14ac:dyDescent="0.25">
      <c r="A547" s="1412"/>
      <c r="B547" s="1412"/>
      <c r="C547" s="1412"/>
      <c r="D547" s="1412"/>
      <c r="E547" s="1412"/>
      <c r="F547" s="1412"/>
      <c r="G547" s="1412"/>
      <c r="H547" s="1412"/>
      <c r="I547" s="1412"/>
      <c r="J547" s="1412"/>
      <c r="K547" s="1412"/>
      <c r="L547" s="1412"/>
      <c r="M547" s="1412"/>
      <c r="N547" s="1412"/>
      <c r="O547" s="1412"/>
      <c r="P547" s="1412"/>
      <c r="Q547" s="1412"/>
      <c r="R547" s="366"/>
    </row>
    <row r="548" spans="1:18" ht="26.25" customHeight="1" x14ac:dyDescent="0.25">
      <c r="A548" s="1412"/>
      <c r="B548" s="1412"/>
      <c r="C548" s="1412"/>
      <c r="D548" s="1412"/>
      <c r="E548" s="1412"/>
      <c r="F548" s="1412"/>
      <c r="G548" s="1412"/>
      <c r="H548" s="1412"/>
      <c r="I548" s="1412"/>
      <c r="J548" s="1412"/>
      <c r="K548" s="1412"/>
      <c r="L548" s="1412"/>
      <c r="M548" s="1412"/>
      <c r="N548" s="1412"/>
      <c r="O548" s="1412"/>
      <c r="P548" s="1412"/>
      <c r="Q548" s="1412"/>
      <c r="R548" s="366"/>
    </row>
    <row r="549" spans="1:18" ht="26.25" customHeight="1" x14ac:dyDescent="0.25">
      <c r="A549" s="1412"/>
      <c r="B549" s="1412"/>
      <c r="C549" s="1412"/>
      <c r="D549" s="1412"/>
      <c r="E549" s="1412"/>
      <c r="F549" s="1412"/>
      <c r="G549" s="1412"/>
      <c r="H549" s="1412"/>
      <c r="I549" s="1412"/>
      <c r="J549" s="1412"/>
      <c r="K549" s="1412"/>
      <c r="L549" s="1412"/>
      <c r="M549" s="1412"/>
      <c r="N549" s="1412"/>
      <c r="O549" s="1412"/>
      <c r="P549" s="1412"/>
      <c r="Q549" s="1412"/>
      <c r="R549" s="366"/>
    </row>
    <row r="550" spans="1:18" ht="26.25" customHeight="1" x14ac:dyDescent="0.25">
      <c r="A550" s="1412"/>
      <c r="B550" s="1412"/>
      <c r="C550" s="1412"/>
      <c r="D550" s="1412"/>
      <c r="E550" s="1412"/>
      <c r="F550" s="1412"/>
      <c r="G550" s="1412"/>
      <c r="H550" s="1412"/>
      <c r="I550" s="1412"/>
      <c r="J550" s="1412"/>
      <c r="K550" s="1412"/>
      <c r="L550" s="1412"/>
      <c r="M550" s="1412"/>
      <c r="N550" s="1412"/>
      <c r="O550" s="1412"/>
      <c r="P550" s="1412"/>
      <c r="Q550" s="1412"/>
      <c r="R550" s="366"/>
    </row>
    <row r="551" spans="1:18" ht="26.25" customHeight="1" x14ac:dyDescent="0.25">
      <c r="A551" s="1412"/>
      <c r="B551" s="1412"/>
      <c r="C551" s="1412"/>
      <c r="D551" s="1412"/>
      <c r="E551" s="1412"/>
      <c r="F551" s="1412"/>
      <c r="G551" s="1412"/>
      <c r="H551" s="1412"/>
      <c r="I551" s="1412"/>
      <c r="J551" s="1412"/>
      <c r="K551" s="1412"/>
      <c r="L551" s="1412"/>
      <c r="M551" s="1412"/>
      <c r="N551" s="1412"/>
      <c r="O551" s="1412"/>
      <c r="P551" s="1412"/>
      <c r="Q551" s="1412"/>
      <c r="R551" s="366"/>
    </row>
    <row r="552" spans="1:18" ht="26.25" customHeight="1" x14ac:dyDescent="0.25">
      <c r="A552" s="370"/>
      <c r="B552" s="371"/>
      <c r="C552" s="371"/>
      <c r="D552" s="371"/>
      <c r="E552" s="371"/>
      <c r="F552" s="371"/>
      <c r="G552" s="371"/>
      <c r="H552" s="371"/>
      <c r="I552" s="371"/>
      <c r="J552" s="371"/>
      <c r="K552" s="371"/>
      <c r="L552" s="371"/>
      <c r="M552" s="371"/>
      <c r="N552" s="371"/>
      <c r="O552" s="371"/>
      <c r="P552" s="1410"/>
      <c r="Q552" s="1410"/>
      <c r="R552" s="372"/>
    </row>
    <row r="553" spans="1:18" ht="26.25" customHeight="1" x14ac:dyDescent="0.25">
      <c r="A553" s="1421"/>
      <c r="B553" s="1421"/>
      <c r="C553" s="1421"/>
      <c r="D553" s="1421"/>
      <c r="E553" s="1421"/>
      <c r="F553" s="1421"/>
      <c r="G553" s="1421"/>
      <c r="H553" s="1421"/>
      <c r="I553" s="1421"/>
      <c r="J553" s="1421"/>
      <c r="K553" s="1421"/>
      <c r="L553" s="1421"/>
      <c r="M553" s="1421"/>
      <c r="N553" s="1422"/>
      <c r="O553" s="1422"/>
      <c r="P553" s="1422"/>
      <c r="Q553" s="1422"/>
      <c r="R553" s="373"/>
    </row>
    <row r="554" spans="1:18" ht="26.25" customHeight="1" x14ac:dyDescent="0.25">
      <c r="A554" s="1423"/>
      <c r="B554" s="1423"/>
      <c r="C554" s="1423"/>
      <c r="D554" s="1423"/>
      <c r="E554" s="1423"/>
      <c r="F554" s="1423"/>
      <c r="G554" s="1423"/>
      <c r="H554" s="1423"/>
      <c r="I554" s="1423"/>
      <c r="J554" s="371"/>
      <c r="K554" s="371"/>
      <c r="L554" s="371"/>
      <c r="M554" s="371"/>
      <c r="N554" s="371"/>
      <c r="O554" s="371"/>
      <c r="P554" s="371"/>
      <c r="Q554" s="371"/>
      <c r="R554" s="371"/>
    </row>
    <row r="555" spans="1:18" ht="26.25" customHeight="1" x14ac:dyDescent="0.25">
      <c r="A555" s="1411"/>
      <c r="B555" s="1426"/>
      <c r="C555" s="1426"/>
      <c r="D555" s="1427"/>
      <c r="E555" s="1427"/>
      <c r="F555" s="1427"/>
      <c r="G555" s="1427"/>
      <c r="H555" s="1427"/>
      <c r="I555" s="1427"/>
      <c r="J555" s="371"/>
      <c r="K555" s="371"/>
      <c r="L555" s="371"/>
      <c r="M555" s="371"/>
      <c r="N555" s="371"/>
      <c r="O555" s="371"/>
      <c r="P555" s="371"/>
      <c r="Q555" s="371"/>
      <c r="R555" s="371"/>
    </row>
    <row r="556" spans="1:18" ht="26.25" customHeight="1" x14ac:dyDescent="0.25">
      <c r="A556" s="1424"/>
      <c r="B556" s="1424"/>
      <c r="C556" s="1424"/>
      <c r="D556" s="1428"/>
      <c r="E556" s="1428"/>
      <c r="F556" s="1428"/>
      <c r="G556" s="1428"/>
      <c r="H556" s="1428"/>
      <c r="I556" s="1428"/>
      <c r="J556" s="1420"/>
      <c r="K556" s="1420"/>
      <c r="L556" s="1420"/>
      <c r="M556" s="1420"/>
      <c r="N556" s="1420"/>
      <c r="O556" s="1420"/>
      <c r="P556" s="1420"/>
      <c r="Q556" s="371"/>
      <c r="R556" s="371"/>
    </row>
    <row r="557" spans="1:18" ht="26.25" customHeight="1" x14ac:dyDescent="0.25">
      <c r="A557" s="1424"/>
      <c r="B557" s="1424"/>
      <c r="C557" s="1424"/>
      <c r="D557" s="1428"/>
      <c r="E557" s="1428"/>
      <c r="F557" s="1428"/>
      <c r="G557" s="1428"/>
      <c r="H557" s="1428"/>
      <c r="I557" s="1428"/>
      <c r="J557" s="1420"/>
      <c r="K557" s="1420"/>
      <c r="L557" s="1420"/>
      <c r="M557" s="1420"/>
      <c r="N557" s="1420"/>
      <c r="O557" s="1420"/>
      <c r="P557" s="1420"/>
      <c r="Q557" s="371"/>
      <c r="R557" s="371"/>
    </row>
    <row r="558" spans="1:18" ht="26.25" customHeight="1" x14ac:dyDescent="0.25">
      <c r="A558" s="371"/>
      <c r="B558" s="371"/>
      <c r="C558" s="371"/>
      <c r="D558" s="371"/>
      <c r="E558" s="371"/>
      <c r="F558" s="371"/>
      <c r="G558" s="371"/>
      <c r="H558" s="371"/>
      <c r="I558" s="371"/>
      <c r="J558" s="371"/>
      <c r="K558" s="371"/>
      <c r="L558" s="371"/>
      <c r="M558" s="371"/>
      <c r="N558" s="371"/>
      <c r="O558" s="371"/>
      <c r="P558" s="371"/>
      <c r="Q558" s="371"/>
      <c r="R558" s="371"/>
    </row>
    <row r="559" spans="1:18" ht="26.25" customHeight="1" x14ac:dyDescent="0.25">
      <c r="A559" s="1417"/>
      <c r="B559" s="1417"/>
      <c r="C559" s="1417"/>
      <c r="D559" s="1418"/>
      <c r="E559" s="1418"/>
      <c r="F559" s="1419"/>
      <c r="G559" s="1419"/>
      <c r="H559" s="1419"/>
      <c r="I559" s="1419"/>
      <c r="J559" s="1419"/>
      <c r="K559" s="1415"/>
      <c r="L559" s="1415"/>
      <c r="M559" s="1415"/>
      <c r="N559" s="1415"/>
      <c r="O559" s="1415"/>
      <c r="P559" s="1415"/>
      <c r="Q559" s="1415"/>
      <c r="R559" s="356"/>
    </row>
    <row r="560" spans="1:18" ht="26.25" customHeight="1" x14ac:dyDescent="0.25">
      <c r="A560" s="1424"/>
      <c r="B560" s="1424"/>
      <c r="C560" s="1424"/>
      <c r="D560" s="1425"/>
      <c r="E560" s="1425"/>
      <c r="F560" s="1415"/>
      <c r="G560" s="1415"/>
      <c r="H560" s="1415"/>
      <c r="I560" s="1415"/>
      <c r="J560" s="1415"/>
      <c r="K560" s="1415"/>
      <c r="L560" s="1415"/>
      <c r="M560" s="371"/>
      <c r="N560" s="371"/>
      <c r="O560" s="371"/>
      <c r="P560" s="371"/>
      <c r="Q560" s="371"/>
      <c r="R560" s="371"/>
    </row>
    <row r="561" spans="1:18" ht="26.25" customHeight="1" x14ac:dyDescent="0.3">
      <c r="A561" s="1414"/>
      <c r="B561" s="1414"/>
      <c r="C561" s="1414"/>
      <c r="D561" s="1414"/>
      <c r="E561" s="1414"/>
      <c r="F561" s="374"/>
      <c r="G561" s="1415"/>
      <c r="H561" s="1415"/>
      <c r="I561" s="1415"/>
      <c r="J561" s="1415"/>
      <c r="K561" s="1415"/>
      <c r="L561" s="1415"/>
      <c r="M561" s="1415"/>
      <c r="N561" s="371"/>
      <c r="O561" s="371"/>
      <c r="P561" s="371"/>
      <c r="Q561" s="371"/>
      <c r="R561" s="371"/>
    </row>
    <row r="562" spans="1:18" ht="26.25" customHeight="1" x14ac:dyDescent="0.25">
      <c r="A562" s="371"/>
      <c r="B562" s="371"/>
      <c r="C562" s="371"/>
      <c r="D562" s="371"/>
      <c r="E562" s="371"/>
      <c r="F562" s="371"/>
      <c r="G562" s="371"/>
      <c r="H562" s="371"/>
      <c r="I562" s="371"/>
      <c r="J562" s="371"/>
      <c r="K562" s="371"/>
      <c r="L562" s="371"/>
      <c r="M562" s="371"/>
      <c r="N562" s="371"/>
      <c r="O562" s="371"/>
      <c r="P562" s="371"/>
      <c r="Q562" s="371"/>
      <c r="R562" s="371"/>
    </row>
    <row r="563" spans="1:18" ht="26.25" customHeight="1" x14ac:dyDescent="0.25">
      <c r="A563" s="1411"/>
      <c r="B563" s="1416"/>
      <c r="C563" s="1416"/>
      <c r="D563" s="1416"/>
      <c r="E563" s="1416"/>
      <c r="F563" s="1416"/>
      <c r="G563" s="1416"/>
      <c r="H563" s="1416"/>
      <c r="I563" s="1416"/>
      <c r="J563" s="1416"/>
      <c r="K563" s="1415"/>
      <c r="L563" s="1415"/>
      <c r="M563" s="1415"/>
      <c r="N563" s="1415"/>
      <c r="O563" s="1415"/>
      <c r="P563" s="1415"/>
      <c r="Q563" s="1415"/>
      <c r="R563" s="356"/>
    </row>
    <row r="564" spans="1:18" ht="26.25" customHeight="1" x14ac:dyDescent="0.25">
      <c r="A564" s="1412"/>
      <c r="B564" s="1412"/>
      <c r="C564" s="1412"/>
      <c r="D564" s="1412"/>
      <c r="E564" s="1412"/>
      <c r="F564" s="1412"/>
      <c r="G564" s="1412"/>
      <c r="H564" s="1412"/>
      <c r="I564" s="1412"/>
      <c r="J564" s="1412"/>
      <c r="K564" s="1412"/>
      <c r="L564" s="1412"/>
      <c r="M564" s="1412"/>
      <c r="N564" s="1412"/>
      <c r="O564" s="1412"/>
      <c r="P564" s="1412"/>
      <c r="Q564" s="1412"/>
      <c r="R564" s="366"/>
    </row>
    <row r="565" spans="1:18" ht="26.25" customHeight="1" x14ac:dyDescent="0.25">
      <c r="A565" s="1412"/>
      <c r="B565" s="1412"/>
      <c r="C565" s="1412"/>
      <c r="D565" s="1412"/>
      <c r="E565" s="1412"/>
      <c r="F565" s="1412"/>
      <c r="G565" s="1412"/>
      <c r="H565" s="1412"/>
      <c r="I565" s="1412"/>
      <c r="J565" s="1412"/>
      <c r="K565" s="1412"/>
      <c r="L565" s="1412"/>
      <c r="M565" s="1412"/>
      <c r="N565" s="1412"/>
      <c r="O565" s="1412"/>
      <c r="P565" s="1412"/>
      <c r="Q565" s="1412"/>
      <c r="R565" s="366"/>
    </row>
    <row r="566" spans="1:18" ht="26.25" customHeight="1" x14ac:dyDescent="0.25">
      <c r="A566" s="1412"/>
      <c r="B566" s="1412"/>
      <c r="C566" s="1412"/>
      <c r="D566" s="1412"/>
      <c r="E566" s="1412"/>
      <c r="F566" s="1412"/>
      <c r="G566" s="1412"/>
      <c r="H566" s="1412"/>
      <c r="I566" s="1412"/>
      <c r="J566" s="1412"/>
      <c r="K566" s="1412"/>
      <c r="L566" s="1412"/>
      <c r="M566" s="1412"/>
      <c r="N566" s="1412"/>
      <c r="O566" s="1412"/>
      <c r="P566" s="1412"/>
      <c r="Q566" s="1412"/>
      <c r="R566" s="366"/>
    </row>
    <row r="567" spans="1:18" ht="26.25" customHeight="1" x14ac:dyDescent="0.25">
      <c r="A567" s="1412"/>
      <c r="B567" s="1412"/>
      <c r="C567" s="1412"/>
      <c r="D567" s="1412"/>
      <c r="E567" s="1412"/>
      <c r="F567" s="1412"/>
      <c r="G567" s="1412"/>
      <c r="H567" s="1412"/>
      <c r="I567" s="1412"/>
      <c r="J567" s="1412"/>
      <c r="K567" s="1412"/>
      <c r="L567" s="1412"/>
      <c r="M567" s="1412"/>
      <c r="N567" s="1412"/>
      <c r="O567" s="1412"/>
      <c r="P567" s="1412"/>
      <c r="Q567" s="1412"/>
      <c r="R567" s="366"/>
    </row>
    <row r="568" spans="1:18" ht="26.25" customHeight="1" x14ac:dyDescent="0.25">
      <c r="A568" s="1412"/>
      <c r="B568" s="1412"/>
      <c r="C568" s="1412"/>
      <c r="D568" s="1412"/>
      <c r="E568" s="1412"/>
      <c r="F568" s="1412"/>
      <c r="G568" s="1412"/>
      <c r="H568" s="1412"/>
      <c r="I568" s="1412"/>
      <c r="J568" s="1412"/>
      <c r="K568" s="1412"/>
      <c r="L568" s="1412"/>
      <c r="M568" s="1412"/>
      <c r="N568" s="1412"/>
      <c r="O568" s="1412"/>
      <c r="P568" s="1412"/>
      <c r="Q568" s="1412"/>
      <c r="R568" s="366"/>
    </row>
    <row r="569" spans="1:18" ht="26.25" customHeight="1" x14ac:dyDescent="0.25">
      <c r="A569" s="1412"/>
      <c r="B569" s="1412"/>
      <c r="C569" s="1412"/>
      <c r="D569" s="1412"/>
      <c r="E569" s="1412"/>
      <c r="F569" s="1412"/>
      <c r="G569" s="1412"/>
      <c r="H569" s="1412"/>
      <c r="I569" s="1412"/>
      <c r="J569" s="1412"/>
      <c r="K569" s="1412"/>
      <c r="L569" s="1412"/>
      <c r="M569" s="1412"/>
      <c r="N569" s="1412"/>
      <c r="O569" s="1412"/>
      <c r="P569" s="1412"/>
      <c r="Q569" s="1412"/>
      <c r="R569" s="366"/>
    </row>
    <row r="570" spans="1:18" ht="26.25" customHeight="1" x14ac:dyDescent="0.25">
      <c r="A570" s="1412"/>
      <c r="B570" s="1412"/>
      <c r="C570" s="1412"/>
      <c r="D570" s="1412"/>
      <c r="E570" s="1412"/>
      <c r="F570" s="1412"/>
      <c r="G570" s="1412"/>
      <c r="H570" s="1412"/>
      <c r="I570" s="1412"/>
      <c r="J570" s="1412"/>
      <c r="K570" s="1412"/>
      <c r="L570" s="1412"/>
      <c r="M570" s="1412"/>
      <c r="N570" s="1412"/>
      <c r="O570" s="1412"/>
      <c r="P570" s="1412"/>
      <c r="Q570" s="1412"/>
      <c r="R570" s="366"/>
    </row>
    <row r="571" spans="1:18" ht="26.25" customHeight="1" x14ac:dyDescent="0.25">
      <c r="A571" s="1412"/>
      <c r="B571" s="1412"/>
      <c r="C571" s="1412"/>
      <c r="D571" s="1412"/>
      <c r="E571" s="1412"/>
      <c r="F571" s="1412"/>
      <c r="G571" s="1412"/>
      <c r="H571" s="1412"/>
      <c r="I571" s="1412"/>
      <c r="J571" s="1412"/>
      <c r="K571" s="1412"/>
      <c r="L571" s="1412"/>
      <c r="M571" s="1412"/>
      <c r="N571" s="1412"/>
      <c r="O571" s="1412"/>
      <c r="P571" s="1412"/>
      <c r="Q571" s="1412"/>
      <c r="R571" s="366"/>
    </row>
    <row r="572" spans="1:18" ht="26.25" customHeight="1" x14ac:dyDescent="0.25">
      <c r="A572" s="1412"/>
      <c r="B572" s="1412"/>
      <c r="C572" s="1412"/>
      <c r="D572" s="1412"/>
      <c r="E572" s="1412"/>
      <c r="F572" s="1412"/>
      <c r="G572" s="1412"/>
      <c r="H572" s="1412"/>
      <c r="I572" s="1412"/>
      <c r="J572" s="1412"/>
      <c r="K572" s="1412"/>
      <c r="L572" s="1412"/>
      <c r="M572" s="1412"/>
      <c r="N572" s="1412"/>
      <c r="O572" s="1412"/>
      <c r="P572" s="1412"/>
      <c r="Q572" s="1412"/>
      <c r="R572" s="366"/>
    </row>
    <row r="573" spans="1:18" ht="26.25" customHeight="1" x14ac:dyDescent="0.25">
      <c r="A573" s="371"/>
      <c r="B573" s="371"/>
      <c r="C573" s="371"/>
      <c r="D573" s="371"/>
      <c r="E573" s="371"/>
      <c r="F573" s="371"/>
      <c r="G573" s="371"/>
      <c r="H573" s="371"/>
      <c r="I573" s="371"/>
      <c r="J573" s="371"/>
      <c r="K573" s="371"/>
      <c r="L573" s="371"/>
      <c r="M573" s="371"/>
      <c r="N573" s="371"/>
      <c r="O573" s="371"/>
      <c r="P573" s="371"/>
      <c r="Q573" s="371"/>
      <c r="R573" s="371"/>
    </row>
    <row r="574" spans="1:18" ht="26.25" customHeight="1" x14ac:dyDescent="0.25">
      <c r="A574" s="1411"/>
      <c r="B574" s="1411"/>
      <c r="C574" s="1411"/>
      <c r="D574" s="1411"/>
      <c r="E574" s="1411"/>
      <c r="F574" s="1411"/>
      <c r="G574" s="1411"/>
      <c r="H574" s="1411"/>
      <c r="I574" s="1411"/>
      <c r="J574" s="1411"/>
      <c r="K574" s="1411"/>
      <c r="L574" s="1411"/>
      <c r="M574" s="1411"/>
      <c r="N574" s="1411"/>
      <c r="O574" s="1411"/>
      <c r="P574" s="1411"/>
      <c r="Q574" s="1411"/>
      <c r="R574" s="365"/>
    </row>
    <row r="575" spans="1:18" ht="26.25" customHeight="1" x14ac:dyDescent="0.25">
      <c r="A575" s="1412"/>
      <c r="B575" s="1412"/>
      <c r="C575" s="1412"/>
      <c r="D575" s="1412"/>
      <c r="E575" s="1412"/>
      <c r="F575" s="1412"/>
      <c r="G575" s="1412"/>
      <c r="H575" s="1412"/>
      <c r="I575" s="1412"/>
      <c r="J575" s="1412"/>
      <c r="K575" s="1412"/>
      <c r="L575" s="1412"/>
      <c r="M575" s="1412"/>
      <c r="N575" s="1412"/>
      <c r="O575" s="1412"/>
      <c r="P575" s="1412"/>
      <c r="Q575" s="1412"/>
      <c r="R575" s="366"/>
    </row>
    <row r="576" spans="1:18" ht="26.25" customHeight="1" x14ac:dyDescent="0.25">
      <c r="A576" s="1412"/>
      <c r="B576" s="1412"/>
      <c r="C576" s="1412"/>
      <c r="D576" s="1412"/>
      <c r="E576" s="1412"/>
      <c r="F576" s="1412"/>
      <c r="G576" s="1412"/>
      <c r="H576" s="1412"/>
      <c r="I576" s="1412"/>
      <c r="J576" s="1412"/>
      <c r="K576" s="1412"/>
      <c r="L576" s="1412"/>
      <c r="M576" s="1412"/>
      <c r="N576" s="1412"/>
      <c r="O576" s="1412"/>
      <c r="P576" s="1412"/>
      <c r="Q576" s="1412"/>
      <c r="R576" s="366"/>
    </row>
    <row r="577" spans="1:18" ht="26.25" customHeight="1" x14ac:dyDescent="0.25">
      <c r="A577" s="1412"/>
      <c r="B577" s="1412"/>
      <c r="C577" s="1412"/>
      <c r="D577" s="1412"/>
      <c r="E577" s="1412"/>
      <c r="F577" s="1412"/>
      <c r="G577" s="1412"/>
      <c r="H577" s="1412"/>
      <c r="I577" s="1412"/>
      <c r="J577" s="1412"/>
      <c r="K577" s="1412"/>
      <c r="L577" s="1412"/>
      <c r="M577" s="1412"/>
      <c r="N577" s="1412"/>
      <c r="O577" s="1412"/>
      <c r="P577" s="1412"/>
      <c r="Q577" s="1412"/>
      <c r="R577" s="366"/>
    </row>
    <row r="578" spans="1:18" ht="26.25" customHeight="1" x14ac:dyDescent="0.25">
      <c r="A578" s="1412"/>
      <c r="B578" s="1412"/>
      <c r="C578" s="1412"/>
      <c r="D578" s="1412"/>
      <c r="E578" s="1412"/>
      <c r="F578" s="1412"/>
      <c r="G578" s="1412"/>
      <c r="H578" s="1412"/>
      <c r="I578" s="1412"/>
      <c r="J578" s="1412"/>
      <c r="K578" s="1412"/>
      <c r="L578" s="1412"/>
      <c r="M578" s="1412"/>
      <c r="N578" s="1412"/>
      <c r="O578" s="1412"/>
      <c r="P578" s="1412"/>
      <c r="Q578" s="1412"/>
      <c r="R578" s="366"/>
    </row>
    <row r="579" spans="1:18" ht="26.25" customHeight="1" x14ac:dyDescent="0.25">
      <c r="A579" s="1412"/>
      <c r="B579" s="1412"/>
      <c r="C579" s="1412"/>
      <c r="D579" s="1412"/>
      <c r="E579" s="1412"/>
      <c r="F579" s="1412"/>
      <c r="G579" s="1412"/>
      <c r="H579" s="1412"/>
      <c r="I579" s="1412"/>
      <c r="J579" s="1412"/>
      <c r="K579" s="1412"/>
      <c r="L579" s="1412"/>
      <c r="M579" s="1412"/>
      <c r="N579" s="1412"/>
      <c r="O579" s="1412"/>
      <c r="P579" s="1412"/>
      <c r="Q579" s="1412"/>
      <c r="R579" s="366"/>
    </row>
    <row r="580" spans="1:18" ht="26.25" customHeight="1" x14ac:dyDescent="0.25">
      <c r="A580" s="1412"/>
      <c r="B580" s="1412"/>
      <c r="C580" s="1412"/>
      <c r="D580" s="1412"/>
      <c r="E580" s="1412"/>
      <c r="F580" s="1412"/>
      <c r="G580" s="1412"/>
      <c r="H580" s="1412"/>
      <c r="I580" s="1412"/>
      <c r="J580" s="1412"/>
      <c r="K580" s="1412"/>
      <c r="L580" s="1412"/>
      <c r="M580" s="1412"/>
      <c r="N580" s="1412"/>
      <c r="O580" s="1412"/>
      <c r="P580" s="1412"/>
      <c r="Q580" s="1412"/>
      <c r="R580" s="366"/>
    </row>
    <row r="581" spans="1:18" ht="26.25" customHeight="1" x14ac:dyDescent="0.25">
      <c r="A581" s="1412"/>
      <c r="B581" s="1412"/>
      <c r="C581" s="1412"/>
      <c r="D581" s="1412"/>
      <c r="E581" s="1412"/>
      <c r="F581" s="1412"/>
      <c r="G581" s="1412"/>
      <c r="H581" s="1412"/>
      <c r="I581" s="1412"/>
      <c r="J581" s="1412"/>
      <c r="K581" s="1412"/>
      <c r="L581" s="1412"/>
      <c r="M581" s="1412"/>
      <c r="N581" s="1412"/>
      <c r="O581" s="1412"/>
      <c r="P581" s="1412"/>
      <c r="Q581" s="1412"/>
      <c r="R581" s="366"/>
    </row>
    <row r="582" spans="1:18" ht="26.25" customHeight="1" x14ac:dyDescent="0.25">
      <c r="A582" s="1412"/>
      <c r="B582" s="1412"/>
      <c r="C582" s="1412"/>
      <c r="D582" s="1412"/>
      <c r="E582" s="1412"/>
      <c r="F582" s="1412"/>
      <c r="G582" s="1412"/>
      <c r="H582" s="1412"/>
      <c r="I582" s="1412"/>
      <c r="J582" s="1412"/>
      <c r="K582" s="1412"/>
      <c r="L582" s="1412"/>
      <c r="M582" s="1412"/>
      <c r="N582" s="1412"/>
      <c r="O582" s="1412"/>
      <c r="P582" s="1412"/>
      <c r="Q582" s="1412"/>
      <c r="R582" s="366"/>
    </row>
    <row r="583" spans="1:18" ht="26.25" customHeight="1" x14ac:dyDescent="0.25">
      <c r="A583" s="1412"/>
      <c r="B583" s="1412"/>
      <c r="C583" s="1412"/>
      <c r="D583" s="1412"/>
      <c r="E583" s="1412"/>
      <c r="F583" s="1412"/>
      <c r="G583" s="1412"/>
      <c r="H583" s="1412"/>
      <c r="I583" s="1412"/>
      <c r="J583" s="1412"/>
      <c r="K583" s="1412"/>
      <c r="L583" s="1412"/>
      <c r="M583" s="1412"/>
      <c r="N583" s="1412"/>
      <c r="O583" s="1412"/>
      <c r="P583" s="1412"/>
      <c r="Q583" s="1412"/>
      <c r="R583" s="366"/>
    </row>
    <row r="584" spans="1:18" ht="26.25" customHeight="1" x14ac:dyDescent="0.25">
      <c r="A584" s="370"/>
      <c r="B584" s="366"/>
      <c r="C584" s="366"/>
      <c r="D584" s="366"/>
      <c r="E584" s="366"/>
      <c r="F584" s="366"/>
      <c r="G584" s="366"/>
      <c r="H584" s="366"/>
      <c r="I584" s="366"/>
      <c r="J584" s="366"/>
      <c r="K584" s="366"/>
      <c r="L584" s="366"/>
      <c r="M584" s="366"/>
      <c r="N584" s="366"/>
      <c r="O584" s="366"/>
      <c r="P584" s="1410"/>
      <c r="Q584" s="1410"/>
      <c r="R584" s="372"/>
    </row>
    <row r="585" spans="1:18" ht="52.5" customHeight="1" x14ac:dyDescent="0.25">
      <c r="A585" s="1411"/>
      <c r="B585" s="1411"/>
      <c r="C585" s="1411"/>
      <c r="D585" s="1411"/>
      <c r="E585" s="1411"/>
      <c r="F585" s="1411"/>
      <c r="G585" s="1411"/>
      <c r="H585" s="1411"/>
      <c r="I585" s="1411"/>
      <c r="J585" s="1411"/>
      <c r="K585" s="1411"/>
      <c r="L585" s="1411"/>
      <c r="M585" s="1411"/>
      <c r="N585" s="1411"/>
      <c r="O585" s="1411"/>
      <c r="P585" s="1411"/>
      <c r="Q585" s="1411"/>
      <c r="R585" s="365"/>
    </row>
    <row r="586" spans="1:18" ht="26.25" customHeight="1" x14ac:dyDescent="0.25">
      <c r="A586" s="1412"/>
      <c r="B586" s="1412"/>
      <c r="C586" s="1412"/>
      <c r="D586" s="1412"/>
      <c r="E586" s="1412"/>
      <c r="F586" s="1412"/>
      <c r="G586" s="1412"/>
      <c r="H586" s="1412"/>
      <c r="I586" s="1412"/>
      <c r="J586" s="1412"/>
      <c r="K586" s="1412"/>
      <c r="L586" s="1412"/>
      <c r="M586" s="1412"/>
      <c r="N586" s="1412"/>
      <c r="O586" s="1412"/>
      <c r="P586" s="1412"/>
      <c r="Q586" s="1412"/>
      <c r="R586" s="366"/>
    </row>
    <row r="587" spans="1:18" ht="26.25" customHeight="1" x14ac:dyDescent="0.25">
      <c r="A587" s="1412"/>
      <c r="B587" s="1412"/>
      <c r="C587" s="1412"/>
      <c r="D587" s="1412"/>
      <c r="E587" s="1412"/>
      <c r="F587" s="1412"/>
      <c r="G587" s="1412"/>
      <c r="H587" s="1412"/>
      <c r="I587" s="1412"/>
      <c r="J587" s="1412"/>
      <c r="K587" s="1412"/>
      <c r="L587" s="1412"/>
      <c r="M587" s="1412"/>
      <c r="N587" s="1412"/>
      <c r="O587" s="1412"/>
      <c r="P587" s="1412"/>
      <c r="Q587" s="1412"/>
      <c r="R587" s="366"/>
    </row>
    <row r="588" spans="1:18" ht="26.25" customHeight="1" x14ac:dyDescent="0.25">
      <c r="A588" s="1412"/>
      <c r="B588" s="1412"/>
      <c r="C588" s="1412"/>
      <c r="D588" s="1412"/>
      <c r="E588" s="1412"/>
      <c r="F588" s="1412"/>
      <c r="G588" s="1412"/>
      <c r="H588" s="1412"/>
      <c r="I588" s="1412"/>
      <c r="J588" s="1412"/>
      <c r="K588" s="1412"/>
      <c r="L588" s="1412"/>
      <c r="M588" s="1412"/>
      <c r="N588" s="1412"/>
      <c r="O588" s="1412"/>
      <c r="P588" s="1412"/>
      <c r="Q588" s="1412"/>
      <c r="R588" s="366"/>
    </row>
    <row r="589" spans="1:18" ht="26.25" customHeight="1" x14ac:dyDescent="0.25">
      <c r="A589" s="1412"/>
      <c r="B589" s="1412"/>
      <c r="C589" s="1412"/>
      <c r="D589" s="1412"/>
      <c r="E589" s="1412"/>
      <c r="F589" s="1412"/>
      <c r="G589" s="1412"/>
      <c r="H589" s="1412"/>
      <c r="I589" s="1412"/>
      <c r="J589" s="1412"/>
      <c r="K589" s="1412"/>
      <c r="L589" s="1412"/>
      <c r="M589" s="1412"/>
      <c r="N589" s="1412"/>
      <c r="O589" s="1412"/>
      <c r="P589" s="1412"/>
      <c r="Q589" s="1412"/>
      <c r="R589" s="366"/>
    </row>
    <row r="590" spans="1:18" ht="26.25" customHeight="1" x14ac:dyDescent="0.25">
      <c r="A590" s="1412"/>
      <c r="B590" s="1412"/>
      <c r="C590" s="1412"/>
      <c r="D590" s="1412"/>
      <c r="E590" s="1412"/>
      <c r="F590" s="1412"/>
      <c r="G590" s="1412"/>
      <c r="H590" s="1412"/>
      <c r="I590" s="1412"/>
      <c r="J590" s="1412"/>
      <c r="K590" s="1412"/>
      <c r="L590" s="1412"/>
      <c r="M590" s="1412"/>
      <c r="N590" s="1412"/>
      <c r="O590" s="1412"/>
      <c r="P590" s="1412"/>
      <c r="Q590" s="1412"/>
      <c r="R590" s="366"/>
    </row>
    <row r="591" spans="1:18" ht="26.25" customHeight="1" x14ac:dyDescent="0.25">
      <c r="A591" s="1412"/>
      <c r="B591" s="1412"/>
      <c r="C591" s="1412"/>
      <c r="D591" s="1412"/>
      <c r="E591" s="1412"/>
      <c r="F591" s="1412"/>
      <c r="G591" s="1412"/>
      <c r="H591" s="1412"/>
      <c r="I591" s="1412"/>
      <c r="J591" s="1412"/>
      <c r="K591" s="1412"/>
      <c r="L591" s="1412"/>
      <c r="M591" s="1412"/>
      <c r="N591" s="1412"/>
      <c r="O591" s="1412"/>
      <c r="P591" s="1412"/>
      <c r="Q591" s="1412"/>
      <c r="R591" s="366"/>
    </row>
    <row r="592" spans="1:18" ht="26.25" customHeight="1" x14ac:dyDescent="0.25">
      <c r="A592" s="1412"/>
      <c r="B592" s="1412"/>
      <c r="C592" s="1412"/>
      <c r="D592" s="1412"/>
      <c r="E592" s="1412"/>
      <c r="F592" s="1412"/>
      <c r="G592" s="1412"/>
      <c r="H592" s="1412"/>
      <c r="I592" s="1412"/>
      <c r="J592" s="1412"/>
      <c r="K592" s="1412"/>
      <c r="L592" s="1412"/>
      <c r="M592" s="1412"/>
      <c r="N592" s="1412"/>
      <c r="O592" s="1412"/>
      <c r="P592" s="1412"/>
      <c r="Q592" s="1412"/>
      <c r="R592" s="366"/>
    </row>
    <row r="593" spans="1:18" ht="26.25" customHeight="1" x14ac:dyDescent="0.25">
      <c r="A593" s="1412"/>
      <c r="B593" s="1412"/>
      <c r="C593" s="1412"/>
      <c r="D593" s="1412"/>
      <c r="E593" s="1412"/>
      <c r="F593" s="1412"/>
      <c r="G593" s="1412"/>
      <c r="H593" s="1412"/>
      <c r="I593" s="1412"/>
      <c r="J593" s="1412"/>
      <c r="K593" s="1412"/>
      <c r="L593" s="1412"/>
      <c r="M593" s="1412"/>
      <c r="N593" s="1412"/>
      <c r="O593" s="1412"/>
      <c r="P593" s="1412"/>
      <c r="Q593" s="1412"/>
      <c r="R593" s="366"/>
    </row>
    <row r="594" spans="1:18" ht="26.25" customHeight="1" x14ac:dyDescent="0.25">
      <c r="A594" s="1412"/>
      <c r="B594" s="1412"/>
      <c r="C594" s="1412"/>
      <c r="D594" s="1412"/>
      <c r="E594" s="1412"/>
      <c r="F594" s="1412"/>
      <c r="G594" s="1412"/>
      <c r="H594" s="1412"/>
      <c r="I594" s="1412"/>
      <c r="J594" s="1412"/>
      <c r="K594" s="1412"/>
      <c r="L594" s="1412"/>
      <c r="M594" s="1412"/>
      <c r="N594" s="1412"/>
      <c r="O594" s="1412"/>
      <c r="P594" s="1412"/>
      <c r="Q594" s="1412"/>
      <c r="R594" s="366"/>
    </row>
    <row r="595" spans="1:18" ht="26.25" customHeight="1" x14ac:dyDescent="0.25">
      <c r="A595" s="371"/>
      <c r="B595" s="371"/>
      <c r="C595" s="371"/>
      <c r="D595" s="371"/>
      <c r="E595" s="371"/>
      <c r="F595" s="371"/>
      <c r="G595" s="371"/>
      <c r="H595" s="371"/>
      <c r="I595" s="371"/>
      <c r="J595" s="371"/>
      <c r="K595" s="371"/>
      <c r="L595" s="371"/>
      <c r="M595" s="371"/>
      <c r="N595" s="371"/>
      <c r="O595" s="371"/>
      <c r="P595" s="371"/>
      <c r="Q595" s="371"/>
      <c r="R595" s="371"/>
    </row>
    <row r="596" spans="1:18" ht="26.25" customHeight="1" x14ac:dyDescent="0.25">
      <c r="A596" s="1413"/>
      <c r="B596" s="1413"/>
      <c r="C596" s="1413"/>
      <c r="D596" s="1413"/>
      <c r="E596" s="1413"/>
      <c r="F596" s="1413"/>
      <c r="G596" s="1413"/>
      <c r="H596" s="1413"/>
      <c r="I596" s="1413"/>
      <c r="J596" s="1413"/>
      <c r="K596" s="1413"/>
      <c r="L596" s="1413"/>
      <c r="M596" s="1413"/>
      <c r="N596" s="1413"/>
      <c r="O596" s="1413"/>
      <c r="P596" s="1413"/>
      <c r="Q596" s="1413"/>
      <c r="R596" s="367"/>
    </row>
    <row r="597" spans="1:18" ht="26.25" customHeight="1" x14ac:dyDescent="0.25">
      <c r="A597" s="1412"/>
      <c r="B597" s="1412"/>
      <c r="C597" s="1412"/>
      <c r="D597" s="1412"/>
      <c r="E597" s="1412"/>
      <c r="F597" s="1412"/>
      <c r="G597" s="1412"/>
      <c r="H597" s="1412"/>
      <c r="I597" s="1412"/>
      <c r="J597" s="1412"/>
      <c r="K597" s="1412"/>
      <c r="L597" s="1412"/>
      <c r="M597" s="1412"/>
      <c r="N597" s="1412"/>
      <c r="O597" s="1412"/>
      <c r="P597" s="1412"/>
      <c r="Q597" s="1412"/>
      <c r="R597" s="366"/>
    </row>
    <row r="598" spans="1:18" ht="26.25" customHeight="1" x14ac:dyDescent="0.25">
      <c r="A598" s="1412"/>
      <c r="B598" s="1412"/>
      <c r="C598" s="1412"/>
      <c r="D598" s="1412"/>
      <c r="E598" s="1412"/>
      <c r="F598" s="1412"/>
      <c r="G598" s="1412"/>
      <c r="H598" s="1412"/>
      <c r="I598" s="1412"/>
      <c r="J598" s="1412"/>
      <c r="K598" s="1412"/>
      <c r="L598" s="1412"/>
      <c r="M598" s="1412"/>
      <c r="N598" s="1412"/>
      <c r="O598" s="1412"/>
      <c r="P598" s="1412"/>
      <c r="Q598" s="1412"/>
      <c r="R598" s="366"/>
    </row>
    <row r="599" spans="1:18" ht="26.25" customHeight="1" x14ac:dyDescent="0.25">
      <c r="A599" s="1412"/>
      <c r="B599" s="1412"/>
      <c r="C599" s="1412"/>
      <c r="D599" s="1412"/>
      <c r="E599" s="1412"/>
      <c r="F599" s="1412"/>
      <c r="G599" s="1412"/>
      <c r="H599" s="1412"/>
      <c r="I599" s="1412"/>
      <c r="J599" s="1412"/>
      <c r="K599" s="1412"/>
      <c r="L599" s="1412"/>
      <c r="M599" s="1412"/>
      <c r="N599" s="1412"/>
      <c r="O599" s="1412"/>
      <c r="P599" s="1412"/>
      <c r="Q599" s="1412"/>
      <c r="R599" s="366"/>
    </row>
    <row r="600" spans="1:18" ht="26.25" customHeight="1" x14ac:dyDescent="0.25">
      <c r="A600" s="1412"/>
      <c r="B600" s="1412"/>
      <c r="C600" s="1412"/>
      <c r="D600" s="1412"/>
      <c r="E600" s="1412"/>
      <c r="F600" s="1412"/>
      <c r="G600" s="1412"/>
      <c r="H600" s="1412"/>
      <c r="I600" s="1412"/>
      <c r="J600" s="1412"/>
      <c r="K600" s="1412"/>
      <c r="L600" s="1412"/>
      <c r="M600" s="1412"/>
      <c r="N600" s="1412"/>
      <c r="O600" s="1412"/>
      <c r="P600" s="1412"/>
      <c r="Q600" s="1412"/>
      <c r="R600" s="366"/>
    </row>
    <row r="601" spans="1:18" ht="26.25" customHeight="1" x14ac:dyDescent="0.25">
      <c r="A601" s="1412"/>
      <c r="B601" s="1412"/>
      <c r="C601" s="1412"/>
      <c r="D601" s="1412"/>
      <c r="E601" s="1412"/>
      <c r="F601" s="1412"/>
      <c r="G601" s="1412"/>
      <c r="H601" s="1412"/>
      <c r="I601" s="1412"/>
      <c r="J601" s="1412"/>
      <c r="K601" s="1412"/>
      <c r="L601" s="1412"/>
      <c r="M601" s="1412"/>
      <c r="N601" s="1412"/>
      <c r="O601" s="1412"/>
      <c r="P601" s="1412"/>
      <c r="Q601" s="1412"/>
      <c r="R601" s="366"/>
    </row>
    <row r="602" spans="1:18" ht="26.25" customHeight="1" x14ac:dyDescent="0.25">
      <c r="A602" s="1412"/>
      <c r="B602" s="1412"/>
      <c r="C602" s="1412"/>
      <c r="D602" s="1412"/>
      <c r="E602" s="1412"/>
      <c r="F602" s="1412"/>
      <c r="G602" s="1412"/>
      <c r="H602" s="1412"/>
      <c r="I602" s="1412"/>
      <c r="J602" s="1412"/>
      <c r="K602" s="1412"/>
      <c r="L602" s="1412"/>
      <c r="M602" s="1412"/>
      <c r="N602" s="1412"/>
      <c r="O602" s="1412"/>
      <c r="P602" s="1412"/>
      <c r="Q602" s="1412"/>
      <c r="R602" s="366"/>
    </row>
    <row r="603" spans="1:18" ht="26.25" customHeight="1" x14ac:dyDescent="0.25">
      <c r="A603" s="1412"/>
      <c r="B603" s="1412"/>
      <c r="C603" s="1412"/>
      <c r="D603" s="1412"/>
      <c r="E603" s="1412"/>
      <c r="F603" s="1412"/>
      <c r="G603" s="1412"/>
      <c r="H603" s="1412"/>
      <c r="I603" s="1412"/>
      <c r="J603" s="1412"/>
      <c r="K603" s="1412"/>
      <c r="L603" s="1412"/>
      <c r="M603" s="1412"/>
      <c r="N603" s="1412"/>
      <c r="O603" s="1412"/>
      <c r="P603" s="1412"/>
      <c r="Q603" s="1412"/>
      <c r="R603" s="366"/>
    </row>
    <row r="604" spans="1:18" ht="26.25" customHeight="1" x14ac:dyDescent="0.25">
      <c r="A604" s="1412"/>
      <c r="B604" s="1412"/>
      <c r="C604" s="1412"/>
      <c r="D604" s="1412"/>
      <c r="E604" s="1412"/>
      <c r="F604" s="1412"/>
      <c r="G604" s="1412"/>
      <c r="H604" s="1412"/>
      <c r="I604" s="1412"/>
      <c r="J604" s="1412"/>
      <c r="K604" s="1412"/>
      <c r="L604" s="1412"/>
      <c r="M604" s="1412"/>
      <c r="N604" s="1412"/>
      <c r="O604" s="1412"/>
      <c r="P604" s="1412"/>
      <c r="Q604" s="1412"/>
      <c r="R604" s="366"/>
    </row>
    <row r="605" spans="1:18" ht="26.25" customHeight="1" x14ac:dyDescent="0.25">
      <c r="A605" s="1412"/>
      <c r="B605" s="1412"/>
      <c r="C605" s="1412"/>
      <c r="D605" s="1412"/>
      <c r="E605" s="1412"/>
      <c r="F605" s="1412"/>
      <c r="G605" s="1412"/>
      <c r="H605" s="1412"/>
      <c r="I605" s="1412"/>
      <c r="J605" s="1412"/>
      <c r="K605" s="1412"/>
      <c r="L605" s="1412"/>
      <c r="M605" s="1412"/>
      <c r="N605" s="1412"/>
      <c r="O605" s="1412"/>
      <c r="P605" s="1412"/>
      <c r="Q605" s="1412"/>
      <c r="R605" s="366"/>
    </row>
    <row r="606" spans="1:18" ht="26.25" customHeight="1" x14ac:dyDescent="0.25">
      <c r="A606" s="371"/>
      <c r="B606" s="371"/>
      <c r="C606" s="371"/>
      <c r="D606" s="371"/>
      <c r="E606" s="371"/>
      <c r="F606" s="371"/>
      <c r="G606" s="371"/>
      <c r="H606" s="371"/>
      <c r="I606" s="371"/>
      <c r="J606" s="371"/>
      <c r="K606" s="371"/>
      <c r="L606" s="371"/>
      <c r="M606" s="371"/>
      <c r="N606" s="371"/>
      <c r="O606" s="371"/>
      <c r="P606" s="371"/>
      <c r="Q606" s="371"/>
      <c r="R606" s="371"/>
    </row>
    <row r="607" spans="1:18" ht="26.25" customHeight="1" x14ac:dyDescent="0.25">
      <c r="A607" s="1411"/>
      <c r="B607" s="1411"/>
      <c r="C607" s="1411"/>
      <c r="D607" s="1411"/>
      <c r="E607" s="1411"/>
      <c r="F607" s="1411"/>
      <c r="G607" s="1411"/>
      <c r="H607" s="1411"/>
      <c r="I607" s="1411"/>
      <c r="J607" s="1411"/>
      <c r="K607" s="1411"/>
      <c r="L607" s="1411"/>
      <c r="M607" s="1411"/>
      <c r="N607" s="1411"/>
      <c r="O607" s="1411"/>
      <c r="P607" s="1411"/>
      <c r="Q607" s="1411"/>
      <c r="R607" s="365"/>
    </row>
    <row r="608" spans="1:18" ht="26.25" customHeight="1" x14ac:dyDescent="0.25">
      <c r="A608" s="1412"/>
      <c r="B608" s="1412"/>
      <c r="C608" s="1412"/>
      <c r="D608" s="1412"/>
      <c r="E608" s="1412"/>
      <c r="F608" s="1412"/>
      <c r="G608" s="1412"/>
      <c r="H608" s="1412"/>
      <c r="I608" s="1412"/>
      <c r="J608" s="1412"/>
      <c r="K608" s="1412"/>
      <c r="L608" s="1412"/>
      <c r="M608" s="1412"/>
      <c r="N608" s="1412"/>
      <c r="O608" s="1412"/>
      <c r="P608" s="1412"/>
      <c r="Q608" s="1412"/>
      <c r="R608" s="366"/>
    </row>
    <row r="609" spans="1:18" ht="26.25" customHeight="1" x14ac:dyDescent="0.25">
      <c r="A609" s="1412"/>
      <c r="B609" s="1412"/>
      <c r="C609" s="1412"/>
      <c r="D609" s="1412"/>
      <c r="E609" s="1412"/>
      <c r="F609" s="1412"/>
      <c r="G609" s="1412"/>
      <c r="H609" s="1412"/>
      <c r="I609" s="1412"/>
      <c r="J609" s="1412"/>
      <c r="K609" s="1412"/>
      <c r="L609" s="1412"/>
      <c r="M609" s="1412"/>
      <c r="N609" s="1412"/>
      <c r="O609" s="1412"/>
      <c r="P609" s="1412"/>
      <c r="Q609" s="1412"/>
      <c r="R609" s="366"/>
    </row>
    <row r="610" spans="1:18" ht="26.25" customHeight="1" x14ac:dyDescent="0.25">
      <c r="A610" s="1412"/>
      <c r="B610" s="1412"/>
      <c r="C610" s="1412"/>
      <c r="D610" s="1412"/>
      <c r="E610" s="1412"/>
      <c r="F610" s="1412"/>
      <c r="G610" s="1412"/>
      <c r="H610" s="1412"/>
      <c r="I610" s="1412"/>
      <c r="J610" s="1412"/>
      <c r="K610" s="1412"/>
      <c r="L610" s="1412"/>
      <c r="M610" s="1412"/>
      <c r="N610" s="1412"/>
      <c r="O610" s="1412"/>
      <c r="P610" s="1412"/>
      <c r="Q610" s="1412"/>
      <c r="R610" s="366"/>
    </row>
    <row r="611" spans="1:18" ht="26.25" customHeight="1" x14ac:dyDescent="0.25">
      <c r="A611" s="1412"/>
      <c r="B611" s="1412"/>
      <c r="C611" s="1412"/>
      <c r="D611" s="1412"/>
      <c r="E611" s="1412"/>
      <c r="F611" s="1412"/>
      <c r="G611" s="1412"/>
      <c r="H611" s="1412"/>
      <c r="I611" s="1412"/>
      <c r="J611" s="1412"/>
      <c r="K611" s="1412"/>
      <c r="L611" s="1412"/>
      <c r="M611" s="1412"/>
      <c r="N611" s="1412"/>
      <c r="O611" s="1412"/>
      <c r="P611" s="1412"/>
      <c r="Q611" s="1412"/>
      <c r="R611" s="366"/>
    </row>
    <row r="612" spans="1:18" ht="26.25" customHeight="1" x14ac:dyDescent="0.25">
      <c r="A612" s="1412"/>
      <c r="B612" s="1412"/>
      <c r="C612" s="1412"/>
      <c r="D612" s="1412"/>
      <c r="E612" s="1412"/>
      <c r="F612" s="1412"/>
      <c r="G612" s="1412"/>
      <c r="H612" s="1412"/>
      <c r="I612" s="1412"/>
      <c r="J612" s="1412"/>
      <c r="K612" s="1412"/>
      <c r="L612" s="1412"/>
      <c r="M612" s="1412"/>
      <c r="N612" s="1412"/>
      <c r="O612" s="1412"/>
      <c r="P612" s="1412"/>
      <c r="Q612" s="1412"/>
      <c r="R612" s="366"/>
    </row>
    <row r="613" spans="1:18" ht="26.25" customHeight="1" x14ac:dyDescent="0.25">
      <c r="A613" s="1412"/>
      <c r="B613" s="1412"/>
      <c r="C613" s="1412"/>
      <c r="D613" s="1412"/>
      <c r="E613" s="1412"/>
      <c r="F613" s="1412"/>
      <c r="G613" s="1412"/>
      <c r="H613" s="1412"/>
      <c r="I613" s="1412"/>
      <c r="J613" s="1412"/>
      <c r="K613" s="1412"/>
      <c r="L613" s="1412"/>
      <c r="M613" s="1412"/>
      <c r="N613" s="1412"/>
      <c r="O613" s="1412"/>
      <c r="P613" s="1412"/>
      <c r="Q613" s="1412"/>
      <c r="R613" s="366"/>
    </row>
    <row r="614" spans="1:18" ht="26.25" customHeight="1" x14ac:dyDescent="0.25">
      <c r="A614" s="1412"/>
      <c r="B614" s="1412"/>
      <c r="C614" s="1412"/>
      <c r="D614" s="1412"/>
      <c r="E614" s="1412"/>
      <c r="F614" s="1412"/>
      <c r="G614" s="1412"/>
      <c r="H614" s="1412"/>
      <c r="I614" s="1412"/>
      <c r="J614" s="1412"/>
      <c r="K614" s="1412"/>
      <c r="L614" s="1412"/>
      <c r="M614" s="1412"/>
      <c r="N614" s="1412"/>
      <c r="O614" s="1412"/>
      <c r="P614" s="1412"/>
      <c r="Q614" s="1412"/>
      <c r="R614" s="366"/>
    </row>
    <row r="615" spans="1:18" ht="26.25" customHeight="1" x14ac:dyDescent="0.25">
      <c r="A615" s="1412"/>
      <c r="B615" s="1412"/>
      <c r="C615" s="1412"/>
      <c r="D615" s="1412"/>
      <c r="E615" s="1412"/>
      <c r="F615" s="1412"/>
      <c r="G615" s="1412"/>
      <c r="H615" s="1412"/>
      <c r="I615" s="1412"/>
      <c r="J615" s="1412"/>
      <c r="K615" s="1412"/>
      <c r="L615" s="1412"/>
      <c r="M615" s="1412"/>
      <c r="N615" s="1412"/>
      <c r="O615" s="1412"/>
      <c r="P615" s="1412"/>
      <c r="Q615" s="1412"/>
      <c r="R615" s="366"/>
    </row>
    <row r="616" spans="1:18" ht="26.25" customHeight="1" x14ac:dyDescent="0.25">
      <c r="A616" s="1412"/>
      <c r="B616" s="1412"/>
      <c r="C616" s="1412"/>
      <c r="D616" s="1412"/>
      <c r="E616" s="1412"/>
      <c r="F616" s="1412"/>
      <c r="G616" s="1412"/>
      <c r="H616" s="1412"/>
      <c r="I616" s="1412"/>
      <c r="J616" s="1412"/>
      <c r="K616" s="1412"/>
      <c r="L616" s="1412"/>
      <c r="M616" s="1412"/>
      <c r="N616" s="1412"/>
      <c r="O616" s="1412"/>
      <c r="P616" s="1412"/>
      <c r="Q616" s="1412"/>
      <c r="R616" s="366"/>
    </row>
  </sheetData>
  <sheetProtection algorithmName="SHA-512" hashValue="o4Hmu8VVMFaeyWsyLJL6vZr4HHflTNtOUa/xrkmgNfjB3suB2157gTfWqWrA45JL5SE1aVq3KIHkaQOBmpcz7Q==" saltValue="2smqUlN6BUdte+xzHDi8XA==" spinCount="100000" sheet="1" objects="1" scenarios="1"/>
  <mergeCells count="754">
    <mergeCell ref="P1:Q1"/>
    <mergeCell ref="A2:H2"/>
    <mergeCell ref="I2:M2"/>
    <mergeCell ref="N2:Q2"/>
    <mergeCell ref="A3:Q4"/>
    <mergeCell ref="A5:M5"/>
    <mergeCell ref="N5:Q5"/>
    <mergeCell ref="A6:M6"/>
    <mergeCell ref="P6:Q6"/>
    <mergeCell ref="A7:D7"/>
    <mergeCell ref="E7:L7"/>
    <mergeCell ref="N7:Q7"/>
    <mergeCell ref="A8:D8"/>
    <mergeCell ref="E8:L8"/>
    <mergeCell ref="M8:P8"/>
    <mergeCell ref="A9:D9"/>
    <mergeCell ref="E9:L9"/>
    <mergeCell ref="M9:P9"/>
    <mergeCell ref="A10:D10"/>
    <mergeCell ref="E10:F10"/>
    <mergeCell ref="G10:L10"/>
    <mergeCell ref="M10:P10"/>
    <mergeCell ref="A11:D11"/>
    <mergeCell ref="E11:F11"/>
    <mergeCell ref="M11:P11"/>
    <mergeCell ref="A12:H12"/>
    <mergeCell ref="I12:J12"/>
    <mergeCell ref="K12:L12"/>
    <mergeCell ref="M12:P12"/>
    <mergeCell ref="A13:J13"/>
    <mergeCell ref="K13:N14"/>
    <mergeCell ref="O13:Q13"/>
    <mergeCell ref="A14:J15"/>
    <mergeCell ref="K15:O15"/>
    <mergeCell ref="A16:J16"/>
    <mergeCell ref="K16:O16"/>
    <mergeCell ref="A17:J18"/>
    <mergeCell ref="K17:O17"/>
    <mergeCell ref="K18:O18"/>
    <mergeCell ref="A19:Q19"/>
    <mergeCell ref="A20:D20"/>
    <mergeCell ref="E20:H20"/>
    <mergeCell ref="I20:L20"/>
    <mergeCell ref="M20:Q20"/>
    <mergeCell ref="A21:D21"/>
    <mergeCell ref="E21:H21"/>
    <mergeCell ref="I21:L21"/>
    <mergeCell ref="M21:Q21"/>
    <mergeCell ref="A22:Q22"/>
    <mergeCell ref="A23:L23"/>
    <mergeCell ref="M23:Q23"/>
    <mergeCell ref="A24:L24"/>
    <mergeCell ref="M24:Q24"/>
    <mergeCell ref="A25:L25"/>
    <mergeCell ref="M25:Q25"/>
    <mergeCell ref="A26:Q26"/>
    <mergeCell ref="A27:Q28"/>
    <mergeCell ref="A29:Q29"/>
    <mergeCell ref="A30:Q31"/>
    <mergeCell ref="A32:Q32"/>
    <mergeCell ref="A33:L33"/>
    <mergeCell ref="M33:Q33"/>
    <mergeCell ref="A34:L34"/>
    <mergeCell ref="M34:Q34"/>
    <mergeCell ref="A35:Q35"/>
    <mergeCell ref="A36:Q37"/>
    <mergeCell ref="A38:Q38"/>
    <mergeCell ref="A39:Q40"/>
    <mergeCell ref="A41:Q41"/>
    <mergeCell ref="A42:Q43"/>
    <mergeCell ref="A44:Q44"/>
    <mergeCell ref="A45:Q46"/>
    <mergeCell ref="P47:Q47"/>
    <mergeCell ref="A48:M48"/>
    <mergeCell ref="N48:Q48"/>
    <mergeCell ref="E51:L51"/>
    <mergeCell ref="M51:P51"/>
    <mergeCell ref="A232:J233"/>
    <mergeCell ref="K232:O232"/>
    <mergeCell ref="K233:O233"/>
    <mergeCell ref="I235:L235"/>
    <mergeCell ref="M235:Q235"/>
    <mergeCell ref="A216:Q216"/>
    <mergeCell ref="A217:Q218"/>
    <mergeCell ref="A220:M220"/>
    <mergeCell ref="N220:Q220"/>
    <mergeCell ref="A221:M221"/>
    <mergeCell ref="A234:Q234"/>
    <mergeCell ref="A235:D235"/>
    <mergeCell ref="E235:H235"/>
    <mergeCell ref="A62:Q62"/>
    <mergeCell ref="A63:D63"/>
    <mergeCell ref="E63:H63"/>
    <mergeCell ref="I63:L63"/>
    <mergeCell ref="M63:Q63"/>
    <mergeCell ref="A64:D64"/>
    <mergeCell ref="E64:H64"/>
    <mergeCell ref="I64:L64"/>
    <mergeCell ref="M64:Q64"/>
    <mergeCell ref="A253:Q253"/>
    <mergeCell ref="A254:Q255"/>
    <mergeCell ref="A256:Q256"/>
    <mergeCell ref="A257:Q258"/>
    <mergeCell ref="A259:Q259"/>
    <mergeCell ref="A260:Q261"/>
    <mergeCell ref="A263:M263"/>
    <mergeCell ref="N263:Q263"/>
    <mergeCell ref="A264:M264"/>
    <mergeCell ref="P264:Q264"/>
    <mergeCell ref="M248:Q248"/>
    <mergeCell ref="A249:L249"/>
    <mergeCell ref="M249:Q249"/>
    <mergeCell ref="A250:Q250"/>
    <mergeCell ref="A251:Q252"/>
    <mergeCell ref="A244:Q244"/>
    <mergeCell ref="A245:Q246"/>
    <mergeCell ref="A247:Q247"/>
    <mergeCell ref="A248:L248"/>
    <mergeCell ref="A312:D312"/>
    <mergeCell ref="E312:F312"/>
    <mergeCell ref="M312:P312"/>
    <mergeCell ref="A299:Q299"/>
    <mergeCell ref="A275:J276"/>
    <mergeCell ref="K275:O275"/>
    <mergeCell ref="K276:O276"/>
    <mergeCell ref="A279:D279"/>
    <mergeCell ref="E279:H279"/>
    <mergeCell ref="I279:L279"/>
    <mergeCell ref="M279:Q279"/>
    <mergeCell ref="A280:Q280"/>
    <mergeCell ref="A281:L281"/>
    <mergeCell ref="M281:Q281"/>
    <mergeCell ref="A282:L282"/>
    <mergeCell ref="M282:Q282"/>
    <mergeCell ref="A283:L283"/>
    <mergeCell ref="M283:Q283"/>
    <mergeCell ref="A284:Q284"/>
    <mergeCell ref="A285:Q286"/>
    <mergeCell ref="A287:Q287"/>
    <mergeCell ref="A288:Q289"/>
    <mergeCell ref="A290:Q290"/>
    <mergeCell ref="A291:L291"/>
    <mergeCell ref="A431:Q431"/>
    <mergeCell ref="A432:Q433"/>
    <mergeCell ref="A403:J403"/>
    <mergeCell ref="K403:O403"/>
    <mergeCell ref="A404:J405"/>
    <mergeCell ref="A370:Q370"/>
    <mergeCell ref="A371:Q372"/>
    <mergeCell ref="A373:Q373"/>
    <mergeCell ref="A434:Q442"/>
    <mergeCell ref="E396:L396"/>
    <mergeCell ref="M396:P396"/>
    <mergeCell ref="A397:D397"/>
    <mergeCell ref="E397:F397"/>
    <mergeCell ref="G397:L397"/>
    <mergeCell ref="M397:P397"/>
    <mergeCell ref="A398:D398"/>
    <mergeCell ref="E398:F398"/>
    <mergeCell ref="M398:P398"/>
    <mergeCell ref="A399:H399"/>
    <mergeCell ref="I399:J399"/>
    <mergeCell ref="K399:L399"/>
    <mergeCell ref="M399:P399"/>
    <mergeCell ref="A400:J400"/>
    <mergeCell ref="K400:N401"/>
    <mergeCell ref="A444:Q444"/>
    <mergeCell ref="A445:Q453"/>
    <mergeCell ref="P454:Q454"/>
    <mergeCell ref="A378:L378"/>
    <mergeCell ref="M378:Q378"/>
    <mergeCell ref="A379:Q379"/>
    <mergeCell ref="A380:Q381"/>
    <mergeCell ref="A382:Q382"/>
    <mergeCell ref="A383:Q384"/>
    <mergeCell ref="A385:Q385"/>
    <mergeCell ref="A386:Q387"/>
    <mergeCell ref="A388:Q388"/>
    <mergeCell ref="A389:Q390"/>
    <mergeCell ref="A392:M392"/>
    <mergeCell ref="N392:Q392"/>
    <mergeCell ref="A393:M393"/>
    <mergeCell ref="P393:Q393"/>
    <mergeCell ref="A394:D394"/>
    <mergeCell ref="E394:L394"/>
    <mergeCell ref="N394:Q394"/>
    <mergeCell ref="A395:D395"/>
    <mergeCell ref="E395:L395"/>
    <mergeCell ref="M395:P395"/>
    <mergeCell ref="A396:D396"/>
    <mergeCell ref="A455:Q455"/>
    <mergeCell ref="A456:Q464"/>
    <mergeCell ref="A466:Q466"/>
    <mergeCell ref="A467:Q475"/>
    <mergeCell ref="A477:Q477"/>
    <mergeCell ref="A478:Q486"/>
    <mergeCell ref="P487:Q487"/>
    <mergeCell ref="A488:M488"/>
    <mergeCell ref="N488:Q488"/>
    <mergeCell ref="A489:I489"/>
    <mergeCell ref="A490:C490"/>
    <mergeCell ref="D490:I490"/>
    <mergeCell ref="A491:C491"/>
    <mergeCell ref="D491:I491"/>
    <mergeCell ref="J491:P491"/>
    <mergeCell ref="A492:C492"/>
    <mergeCell ref="D492:I492"/>
    <mergeCell ref="J492:P492"/>
    <mergeCell ref="A494:C494"/>
    <mergeCell ref="D494:E494"/>
    <mergeCell ref="F494:J494"/>
    <mergeCell ref="K494:Q494"/>
    <mergeCell ref="A495:C495"/>
    <mergeCell ref="D495:E495"/>
    <mergeCell ref="F495:L495"/>
    <mergeCell ref="A496:E496"/>
    <mergeCell ref="G496:M496"/>
    <mergeCell ref="A498:J498"/>
    <mergeCell ref="K498:Q498"/>
    <mergeCell ref="A499:Q507"/>
    <mergeCell ref="A509:Q509"/>
    <mergeCell ref="A510:Q518"/>
    <mergeCell ref="P519:Q519"/>
    <mergeCell ref="A520:Q520"/>
    <mergeCell ref="A521:Q529"/>
    <mergeCell ref="A531:Q531"/>
    <mergeCell ref="A532:Q540"/>
    <mergeCell ref="J557:P557"/>
    <mergeCell ref="A542:Q542"/>
    <mergeCell ref="A543:Q551"/>
    <mergeCell ref="P552:Q552"/>
    <mergeCell ref="A553:M553"/>
    <mergeCell ref="N553:Q553"/>
    <mergeCell ref="A554:I554"/>
    <mergeCell ref="A560:C560"/>
    <mergeCell ref="D560:E560"/>
    <mergeCell ref="F560:L560"/>
    <mergeCell ref="A555:C555"/>
    <mergeCell ref="D555:I555"/>
    <mergeCell ref="A556:C556"/>
    <mergeCell ref="D556:I556"/>
    <mergeCell ref="J556:P556"/>
    <mergeCell ref="A557:C557"/>
    <mergeCell ref="D557:I557"/>
    <mergeCell ref="A596:Q596"/>
    <mergeCell ref="A597:Q605"/>
    <mergeCell ref="A561:E561"/>
    <mergeCell ref="G561:M561"/>
    <mergeCell ref="A563:J563"/>
    <mergeCell ref="K563:Q563"/>
    <mergeCell ref="A564:Q572"/>
    <mergeCell ref="A574:Q574"/>
    <mergeCell ref="M52:P52"/>
    <mergeCell ref="A53:D53"/>
    <mergeCell ref="A575:Q583"/>
    <mergeCell ref="P584:Q584"/>
    <mergeCell ref="A585:Q585"/>
    <mergeCell ref="A586:Q594"/>
    <mergeCell ref="A559:C559"/>
    <mergeCell ref="D559:E559"/>
    <mergeCell ref="F559:J559"/>
    <mergeCell ref="K559:Q559"/>
    <mergeCell ref="E54:F54"/>
    <mergeCell ref="M54:P54"/>
    <mergeCell ref="K59:O59"/>
    <mergeCell ref="A60:J61"/>
    <mergeCell ref="K60:O60"/>
    <mergeCell ref="K61:O61"/>
    <mergeCell ref="A607:Q607"/>
    <mergeCell ref="A608:Q616"/>
    <mergeCell ref="A49:M49"/>
    <mergeCell ref="P49:Q49"/>
    <mergeCell ref="A50:D50"/>
    <mergeCell ref="E50:L50"/>
    <mergeCell ref="N50:Q50"/>
    <mergeCell ref="A51:D51"/>
    <mergeCell ref="A52:D52"/>
    <mergeCell ref="E52:L52"/>
    <mergeCell ref="A55:H55"/>
    <mergeCell ref="I55:J55"/>
    <mergeCell ref="K55:L55"/>
    <mergeCell ref="M55:P55"/>
    <mergeCell ref="E53:F53"/>
    <mergeCell ref="G53:L53"/>
    <mergeCell ref="M53:P53"/>
    <mergeCell ref="A54:D54"/>
    <mergeCell ref="A56:J56"/>
    <mergeCell ref="K56:N57"/>
    <mergeCell ref="O56:Q56"/>
    <mergeCell ref="A57:J58"/>
    <mergeCell ref="K58:O58"/>
    <mergeCell ref="A59:J59"/>
    <mergeCell ref="A65:Q65"/>
    <mergeCell ref="A66:L66"/>
    <mergeCell ref="M66:Q66"/>
    <mergeCell ref="A67:L67"/>
    <mergeCell ref="M67:Q67"/>
    <mergeCell ref="A68:L68"/>
    <mergeCell ref="M68:Q68"/>
    <mergeCell ref="A69:Q69"/>
    <mergeCell ref="A70:Q71"/>
    <mergeCell ref="A72:Q72"/>
    <mergeCell ref="A73:Q74"/>
    <mergeCell ref="A75:Q75"/>
    <mergeCell ref="A76:L76"/>
    <mergeCell ref="M76:Q76"/>
    <mergeCell ref="A77:L77"/>
    <mergeCell ref="M77:Q77"/>
    <mergeCell ref="A78:Q78"/>
    <mergeCell ref="A79:Q80"/>
    <mergeCell ref="A81:Q81"/>
    <mergeCell ref="A82:Q83"/>
    <mergeCell ref="A84:Q84"/>
    <mergeCell ref="A85:Q86"/>
    <mergeCell ref="A87:Q87"/>
    <mergeCell ref="A88:Q89"/>
    <mergeCell ref="P90:Q90"/>
    <mergeCell ref="A91:M91"/>
    <mergeCell ref="N91:Q91"/>
    <mergeCell ref="A92:M92"/>
    <mergeCell ref="P92:Q92"/>
    <mergeCell ref="A93:D93"/>
    <mergeCell ref="E93:L93"/>
    <mergeCell ref="N93:Q93"/>
    <mergeCell ref="A94:D94"/>
    <mergeCell ref="E94:L94"/>
    <mergeCell ref="M94:P94"/>
    <mergeCell ref="A95:D95"/>
    <mergeCell ref="E95:L95"/>
    <mergeCell ref="M95:P95"/>
    <mergeCell ref="A96:D96"/>
    <mergeCell ref="E96:F96"/>
    <mergeCell ref="G96:L96"/>
    <mergeCell ref="M96:P96"/>
    <mergeCell ref="A97:D97"/>
    <mergeCell ref="E97:F97"/>
    <mergeCell ref="M97:P97"/>
    <mergeCell ref="A98:H98"/>
    <mergeCell ref="I98:J98"/>
    <mergeCell ref="K98:L98"/>
    <mergeCell ref="M98:P98"/>
    <mergeCell ref="A99:J99"/>
    <mergeCell ref="K99:N100"/>
    <mergeCell ref="O99:Q99"/>
    <mergeCell ref="A100:J101"/>
    <mergeCell ref="K101:O101"/>
    <mergeCell ref="A102:J102"/>
    <mergeCell ref="K102:O102"/>
    <mergeCell ref="A103:J104"/>
    <mergeCell ref="K103:O103"/>
    <mergeCell ref="K104:O104"/>
    <mergeCell ref="A105:Q105"/>
    <mergeCell ref="A106:D106"/>
    <mergeCell ref="E106:H106"/>
    <mergeCell ref="I106:L106"/>
    <mergeCell ref="M106:Q106"/>
    <mergeCell ref="A107:D107"/>
    <mergeCell ref="E107:H107"/>
    <mergeCell ref="I107:L107"/>
    <mergeCell ref="M107:Q107"/>
    <mergeCell ref="A108:Q108"/>
    <mergeCell ref="A109:L109"/>
    <mergeCell ref="M109:Q109"/>
    <mergeCell ref="A110:L110"/>
    <mergeCell ref="M110:Q110"/>
    <mergeCell ref="A111:L111"/>
    <mergeCell ref="M111:Q111"/>
    <mergeCell ref="A112:Q112"/>
    <mergeCell ref="A113:Q114"/>
    <mergeCell ref="A115:Q115"/>
    <mergeCell ref="A116:Q117"/>
    <mergeCell ref="A118:Q118"/>
    <mergeCell ref="A119:L119"/>
    <mergeCell ref="M119:Q119"/>
    <mergeCell ref="A120:L120"/>
    <mergeCell ref="M120:Q120"/>
    <mergeCell ref="A121:Q121"/>
    <mergeCell ref="A122:Q123"/>
    <mergeCell ref="A124:Q124"/>
    <mergeCell ref="A125:Q126"/>
    <mergeCell ref="A127:Q127"/>
    <mergeCell ref="A128:Q129"/>
    <mergeCell ref="A130:Q130"/>
    <mergeCell ref="A131:Q132"/>
    <mergeCell ref="A134:M134"/>
    <mergeCell ref="N134:Q134"/>
    <mergeCell ref="A135:M135"/>
    <mergeCell ref="P135:Q135"/>
    <mergeCell ref="A136:D136"/>
    <mergeCell ref="E136:L136"/>
    <mergeCell ref="N136:Q136"/>
    <mergeCell ref="A137:D137"/>
    <mergeCell ref="E137:L137"/>
    <mergeCell ref="M137:P137"/>
    <mergeCell ref="A138:D138"/>
    <mergeCell ref="E138:L138"/>
    <mergeCell ref="M138:P138"/>
    <mergeCell ref="A139:D139"/>
    <mergeCell ref="E139:F139"/>
    <mergeCell ref="G139:L139"/>
    <mergeCell ref="M139:P139"/>
    <mergeCell ref="A140:D140"/>
    <mergeCell ref="E140:F140"/>
    <mergeCell ref="M140:P140"/>
    <mergeCell ref="A141:H141"/>
    <mergeCell ref="I141:J141"/>
    <mergeCell ref="K141:L141"/>
    <mergeCell ref="M141:P141"/>
    <mergeCell ref="A142:J142"/>
    <mergeCell ref="K142:N143"/>
    <mergeCell ref="O142:Q142"/>
    <mergeCell ref="A143:J144"/>
    <mergeCell ref="K144:O144"/>
    <mergeCell ref="A145:J145"/>
    <mergeCell ref="K145:O145"/>
    <mergeCell ref="A146:J147"/>
    <mergeCell ref="K146:O146"/>
    <mergeCell ref="K147:O147"/>
    <mergeCell ref="A148:Q148"/>
    <mergeCell ref="A149:D149"/>
    <mergeCell ref="E149:H149"/>
    <mergeCell ref="I149:L149"/>
    <mergeCell ref="M149:Q149"/>
    <mergeCell ref="A150:D150"/>
    <mergeCell ref="E150:H150"/>
    <mergeCell ref="I150:L150"/>
    <mergeCell ref="M150:Q150"/>
    <mergeCell ref="A151:Q151"/>
    <mergeCell ref="A152:L152"/>
    <mergeCell ref="M152:Q152"/>
    <mergeCell ref="A153:L153"/>
    <mergeCell ref="M153:Q153"/>
    <mergeCell ref="A154:L154"/>
    <mergeCell ref="M154:Q154"/>
    <mergeCell ref="A155:Q155"/>
    <mergeCell ref="A156:Q157"/>
    <mergeCell ref="A158:Q158"/>
    <mergeCell ref="A159:Q160"/>
    <mergeCell ref="A161:Q161"/>
    <mergeCell ref="A162:L162"/>
    <mergeCell ref="M162:Q162"/>
    <mergeCell ref="A163:L163"/>
    <mergeCell ref="M163:Q163"/>
    <mergeCell ref="A164:Q164"/>
    <mergeCell ref="A165:Q166"/>
    <mergeCell ref="A167:Q167"/>
    <mergeCell ref="A168:Q169"/>
    <mergeCell ref="A170:Q170"/>
    <mergeCell ref="A171:Q172"/>
    <mergeCell ref="A173:Q173"/>
    <mergeCell ref="A174:Q175"/>
    <mergeCell ref="A177:M177"/>
    <mergeCell ref="N177:Q177"/>
    <mergeCell ref="A178:M178"/>
    <mergeCell ref="P178:Q178"/>
    <mergeCell ref="A179:D179"/>
    <mergeCell ref="E179:L179"/>
    <mergeCell ref="N179:Q179"/>
    <mergeCell ref="A180:D180"/>
    <mergeCell ref="E180:L180"/>
    <mergeCell ref="M180:P180"/>
    <mergeCell ref="A181:D181"/>
    <mergeCell ref="E181:L181"/>
    <mergeCell ref="M181:P181"/>
    <mergeCell ref="A182:D182"/>
    <mergeCell ref="E182:F182"/>
    <mergeCell ref="G182:L182"/>
    <mergeCell ref="M182:P182"/>
    <mergeCell ref="A183:D183"/>
    <mergeCell ref="E183:F183"/>
    <mergeCell ref="M183:P183"/>
    <mergeCell ref="A184:H184"/>
    <mergeCell ref="I184:J184"/>
    <mergeCell ref="K184:L184"/>
    <mergeCell ref="M184:P184"/>
    <mergeCell ref="A185:J185"/>
    <mergeCell ref="K185:N186"/>
    <mergeCell ref="O185:Q185"/>
    <mergeCell ref="A186:J187"/>
    <mergeCell ref="K187:O187"/>
    <mergeCell ref="A188:J188"/>
    <mergeCell ref="K188:O188"/>
    <mergeCell ref="A189:J190"/>
    <mergeCell ref="K189:O189"/>
    <mergeCell ref="K190:O190"/>
    <mergeCell ref="A191:Q191"/>
    <mergeCell ref="A192:D192"/>
    <mergeCell ref="E192:H192"/>
    <mergeCell ref="I192:L192"/>
    <mergeCell ref="M192:Q192"/>
    <mergeCell ref="A193:D193"/>
    <mergeCell ref="E193:H193"/>
    <mergeCell ref="I193:L193"/>
    <mergeCell ref="M193:Q193"/>
    <mergeCell ref="A194:Q194"/>
    <mergeCell ref="A195:L195"/>
    <mergeCell ref="M195:Q195"/>
    <mergeCell ref="A196:L196"/>
    <mergeCell ref="M196:Q196"/>
    <mergeCell ref="A197:L197"/>
    <mergeCell ref="M197:Q197"/>
    <mergeCell ref="A198:Q198"/>
    <mergeCell ref="A199:Q200"/>
    <mergeCell ref="A201:Q201"/>
    <mergeCell ref="A202:Q203"/>
    <mergeCell ref="A204:Q204"/>
    <mergeCell ref="A205:L205"/>
    <mergeCell ref="M205:Q205"/>
    <mergeCell ref="A206:L206"/>
    <mergeCell ref="M206:Q206"/>
    <mergeCell ref="A207:Q207"/>
    <mergeCell ref="A208:Q209"/>
    <mergeCell ref="A210:Q210"/>
    <mergeCell ref="A211:Q212"/>
    <mergeCell ref="A213:Q213"/>
    <mergeCell ref="A214:Q215"/>
    <mergeCell ref="P221:Q221"/>
    <mergeCell ref="A222:D222"/>
    <mergeCell ref="E222:L222"/>
    <mergeCell ref="N222:Q222"/>
    <mergeCell ref="A223:D223"/>
    <mergeCell ref="E223:L223"/>
    <mergeCell ref="M223:P223"/>
    <mergeCell ref="A224:D224"/>
    <mergeCell ref="E224:L224"/>
    <mergeCell ref="M224:P224"/>
    <mergeCell ref="A225:D225"/>
    <mergeCell ref="E225:F225"/>
    <mergeCell ref="G225:L225"/>
    <mergeCell ref="M225:P225"/>
    <mergeCell ref="A226:D226"/>
    <mergeCell ref="E226:F226"/>
    <mergeCell ref="M226:P226"/>
    <mergeCell ref="A227:H227"/>
    <mergeCell ref="I227:J227"/>
    <mergeCell ref="K227:L227"/>
    <mergeCell ref="M227:P227"/>
    <mergeCell ref="A228:J228"/>
    <mergeCell ref="K228:N229"/>
    <mergeCell ref="O228:Q228"/>
    <mergeCell ref="A229:J230"/>
    <mergeCell ref="K230:O230"/>
    <mergeCell ref="A231:J231"/>
    <mergeCell ref="K231:O231"/>
    <mergeCell ref="A239:L239"/>
    <mergeCell ref="M239:Q239"/>
    <mergeCell ref="A237:Q237"/>
    <mergeCell ref="A238:L238"/>
    <mergeCell ref="M238:Q238"/>
    <mergeCell ref="A242:Q243"/>
    <mergeCell ref="A240:L240"/>
    <mergeCell ref="M240:Q240"/>
    <mergeCell ref="A241:Q241"/>
    <mergeCell ref="A236:D236"/>
    <mergeCell ref="E236:H236"/>
    <mergeCell ref="I236:L236"/>
    <mergeCell ref="M236:Q236"/>
    <mergeCell ref="N265:Q265"/>
    <mergeCell ref="A266:D266"/>
    <mergeCell ref="E266:L266"/>
    <mergeCell ref="M266:P266"/>
    <mergeCell ref="A267:D267"/>
    <mergeCell ref="E267:L267"/>
    <mergeCell ref="M267:P267"/>
    <mergeCell ref="A268:D268"/>
    <mergeCell ref="E268:F268"/>
    <mergeCell ref="G268:L268"/>
    <mergeCell ref="M268:P268"/>
    <mergeCell ref="A265:D265"/>
    <mergeCell ref="E265:L265"/>
    <mergeCell ref="A269:D269"/>
    <mergeCell ref="E269:F269"/>
    <mergeCell ref="M269:P269"/>
    <mergeCell ref="A270:H270"/>
    <mergeCell ref="I270:J270"/>
    <mergeCell ref="K270:L270"/>
    <mergeCell ref="M270:P270"/>
    <mergeCell ref="A271:J271"/>
    <mergeCell ref="K271:N272"/>
    <mergeCell ref="O271:Q271"/>
    <mergeCell ref="A272:J273"/>
    <mergeCell ref="K273:O273"/>
    <mergeCell ref="A274:J274"/>
    <mergeCell ref="K274:O274"/>
    <mergeCell ref="A277:Q277"/>
    <mergeCell ref="A278:D278"/>
    <mergeCell ref="E278:H278"/>
    <mergeCell ref="I278:L278"/>
    <mergeCell ref="M278:Q278"/>
    <mergeCell ref="A293:Q293"/>
    <mergeCell ref="A294:Q295"/>
    <mergeCell ref="M291:Q291"/>
    <mergeCell ref="A292:L292"/>
    <mergeCell ref="M292:Q292"/>
    <mergeCell ref="A296:Q296"/>
    <mergeCell ref="A297:Q298"/>
    <mergeCell ref="E311:F311"/>
    <mergeCell ref="G311:L311"/>
    <mergeCell ref="M311:P311"/>
    <mergeCell ref="A309:D309"/>
    <mergeCell ref="E309:L309"/>
    <mergeCell ref="A300:Q301"/>
    <mergeCell ref="A302:Q302"/>
    <mergeCell ref="A303:Q304"/>
    <mergeCell ref="A308:D308"/>
    <mergeCell ref="E308:L308"/>
    <mergeCell ref="N308:Q308"/>
    <mergeCell ref="A306:M306"/>
    <mergeCell ref="N306:Q306"/>
    <mergeCell ref="A307:M307"/>
    <mergeCell ref="P307:Q307"/>
    <mergeCell ref="M309:P309"/>
    <mergeCell ref="A310:D310"/>
    <mergeCell ref="E310:L310"/>
    <mergeCell ref="M310:P310"/>
    <mergeCell ref="A311:D311"/>
    <mergeCell ref="A313:H313"/>
    <mergeCell ref="I313:J313"/>
    <mergeCell ref="K313:L313"/>
    <mergeCell ref="M313:P313"/>
    <mergeCell ref="A314:J314"/>
    <mergeCell ref="K314:N315"/>
    <mergeCell ref="O314:Q314"/>
    <mergeCell ref="A315:J316"/>
    <mergeCell ref="K316:O316"/>
    <mergeCell ref="A317:J317"/>
    <mergeCell ref="K317:O317"/>
    <mergeCell ref="A318:J319"/>
    <mergeCell ref="K318:O318"/>
    <mergeCell ref="K319:O319"/>
    <mergeCell ref="A320:Q320"/>
    <mergeCell ref="A321:D321"/>
    <mergeCell ref="E321:H321"/>
    <mergeCell ref="I321:L321"/>
    <mergeCell ref="M321:Q321"/>
    <mergeCell ref="A322:D322"/>
    <mergeCell ref="E322:H322"/>
    <mergeCell ref="I322:L322"/>
    <mergeCell ref="M322:Q322"/>
    <mergeCell ref="A323:Q323"/>
    <mergeCell ref="A324:L324"/>
    <mergeCell ref="M324:Q324"/>
    <mergeCell ref="A325:L325"/>
    <mergeCell ref="M325:Q325"/>
    <mergeCell ref="A326:L326"/>
    <mergeCell ref="M326:Q326"/>
    <mergeCell ref="A327:Q327"/>
    <mergeCell ref="A328:Q329"/>
    <mergeCell ref="A330:Q330"/>
    <mergeCell ref="A331:Q332"/>
    <mergeCell ref="A333:Q333"/>
    <mergeCell ref="A334:L334"/>
    <mergeCell ref="M334:Q334"/>
    <mergeCell ref="A335:L335"/>
    <mergeCell ref="M335:Q335"/>
    <mergeCell ref="A336:Q336"/>
    <mergeCell ref="A337:Q338"/>
    <mergeCell ref="A339:Q339"/>
    <mergeCell ref="A340:Q341"/>
    <mergeCell ref="A342:Q342"/>
    <mergeCell ref="A343:Q344"/>
    <mergeCell ref="A352:D352"/>
    <mergeCell ref="E352:L352"/>
    <mergeCell ref="M352:P352"/>
    <mergeCell ref="A345:Q345"/>
    <mergeCell ref="A346:Q347"/>
    <mergeCell ref="A349:M349"/>
    <mergeCell ref="N349:Q349"/>
    <mergeCell ref="A350:M350"/>
    <mergeCell ref="P350:Q350"/>
    <mergeCell ref="A353:D353"/>
    <mergeCell ref="E353:L353"/>
    <mergeCell ref="M353:P353"/>
    <mergeCell ref="A351:D351"/>
    <mergeCell ref="E351:L351"/>
    <mergeCell ref="N351:Q351"/>
    <mergeCell ref="A354:D354"/>
    <mergeCell ref="E354:F354"/>
    <mergeCell ref="G354:L354"/>
    <mergeCell ref="M354:P354"/>
    <mergeCell ref="A355:D355"/>
    <mergeCell ref="E355:F355"/>
    <mergeCell ref="M355:P355"/>
    <mergeCell ref="A356:H356"/>
    <mergeCell ref="I356:J356"/>
    <mergeCell ref="K356:L356"/>
    <mergeCell ref="M356:P356"/>
    <mergeCell ref="A357:J357"/>
    <mergeCell ref="K357:N358"/>
    <mergeCell ref="O357:Q357"/>
    <mergeCell ref="A358:J359"/>
    <mergeCell ref="K359:O359"/>
    <mergeCell ref="A363:Q363"/>
    <mergeCell ref="A360:J360"/>
    <mergeCell ref="K360:O360"/>
    <mergeCell ref="A361:J362"/>
    <mergeCell ref="K361:O361"/>
    <mergeCell ref="A364:D364"/>
    <mergeCell ref="E364:H364"/>
    <mergeCell ref="I364:L364"/>
    <mergeCell ref="M364:Q364"/>
    <mergeCell ref="K362:O362"/>
    <mergeCell ref="M365:Q365"/>
    <mergeCell ref="A365:D365"/>
    <mergeCell ref="E365:H365"/>
    <mergeCell ref="I365:L365"/>
    <mergeCell ref="A366:Q366"/>
    <mergeCell ref="A367:L367"/>
    <mergeCell ref="M367:Q367"/>
    <mergeCell ref="A368:L368"/>
    <mergeCell ref="M368:Q368"/>
    <mergeCell ref="A376:Q376"/>
    <mergeCell ref="A369:L369"/>
    <mergeCell ref="M369:Q369"/>
    <mergeCell ref="M377:Q377"/>
    <mergeCell ref="A374:Q375"/>
    <mergeCell ref="A377:L377"/>
    <mergeCell ref="O400:Q400"/>
    <mergeCell ref="A401:J402"/>
    <mergeCell ref="K402:O402"/>
    <mergeCell ref="K405:O405"/>
    <mergeCell ref="A406:Q406"/>
    <mergeCell ref="A407:D407"/>
    <mergeCell ref="E407:H407"/>
    <mergeCell ref="I407:L407"/>
    <mergeCell ref="M407:Q407"/>
    <mergeCell ref="A408:D408"/>
    <mergeCell ref="E408:H408"/>
    <mergeCell ref="I408:L408"/>
    <mergeCell ref="M408:Q408"/>
    <mergeCell ref="R1:R4"/>
    <mergeCell ref="A425:Q425"/>
    <mergeCell ref="A426:Q427"/>
    <mergeCell ref="A428:Q428"/>
    <mergeCell ref="A429:Q430"/>
    <mergeCell ref="A412:L412"/>
    <mergeCell ref="M412:Q412"/>
    <mergeCell ref="A413:Q413"/>
    <mergeCell ref="A414:Q415"/>
    <mergeCell ref="A416:Q416"/>
    <mergeCell ref="A417:Q418"/>
    <mergeCell ref="A419:Q419"/>
    <mergeCell ref="A420:L420"/>
    <mergeCell ref="M420:Q420"/>
    <mergeCell ref="A409:Q409"/>
    <mergeCell ref="A410:L410"/>
    <mergeCell ref="M410:Q410"/>
    <mergeCell ref="A411:L411"/>
    <mergeCell ref="M411:Q411"/>
    <mergeCell ref="A421:L421"/>
    <mergeCell ref="M421:Q421"/>
    <mergeCell ref="A422:Q422"/>
    <mergeCell ref="A423:Q424"/>
    <mergeCell ref="K404:O404"/>
  </mergeCells>
  <conditionalFormatting sqref="K1">
    <cfRule type="cellIs" dxfId="27" priority="379" stopIfTrue="1" operator="notEqual">
      <formula>Code_7595</formula>
    </cfRule>
  </conditionalFormatting>
  <conditionalFormatting sqref="P1:Q1">
    <cfRule type="cellIs" dxfId="26" priority="6" stopIfTrue="1" operator="notEqual">
      <formula>Code_7596</formula>
    </cfRule>
  </conditionalFormatting>
  <dataValidations count="9">
    <dataValidation type="list" allowBlank="1" showInputMessage="1" showErrorMessage="1" sqref="A21:D21 A322:D322 A365:D365 A64:D64 A107:D107 A150:D150 A193:D193 A236:D236 A279:D279 A408:D408" xr:uid="{00000000-0002-0000-0300-000000000000}">
      <formula1>ValidProjType</formula1>
    </dataValidation>
    <dataValidation type="list" allowBlank="1" showInputMessage="1" showErrorMessage="1" sqref="E21:H21 E322:H322 E365:H365 E64:H64 E107:H107 E150:H150 E193:H193 E236:H236 E279:H279 E408:H408" xr:uid="{00000000-0002-0000-0300-000001000000}">
      <formula1>ValidSubtype1</formula1>
    </dataValidation>
    <dataValidation type="list" allowBlank="1" showInputMessage="1" showErrorMessage="1" sqref="I21:L21 I322:L322 I365:L365 I64:L64 I107:L107 I150:L150 I193:L193 I236:L236 I279:L279 I408:L408" xr:uid="{00000000-0002-0000-0300-000002000000}">
      <formula1>ValidSubtype2</formula1>
    </dataValidation>
    <dataValidation type="list" allowBlank="1" showInputMessage="1" showErrorMessage="1" sqref="M21:Q21 M322:Q322 M365:Q365 M64:Q64 M107:Q107 M150:Q150 M193:Q193 M236:Q236 M279:Q279 M408:Q408" xr:uid="{00000000-0002-0000-0300-000003000000}">
      <formula1>ValidSubtype3</formula1>
    </dataValidation>
    <dataValidation type="list" allowBlank="1" showInputMessage="1" showErrorMessage="1" sqref="M23:Q23 M324:Q324 M367:Q367 M66:Q66 M109:Q109 M152:Q152 M195:Q195 M238:Q238 M281:Q281 M410:Q410" xr:uid="{00000000-0002-0000-0300-000004000000}">
      <formula1>ValidRemote</formula1>
    </dataValidation>
    <dataValidation type="list" allowBlank="1" showInputMessage="1" showErrorMessage="1" sqref="M24:Q24 M325:Q325 M368:Q368 M67:Q67 M110:Q110 M153:Q153 M196:Q196 M239:Q239 M282:Q282 M411:Q411" xr:uid="{00000000-0002-0000-0300-000005000000}">
      <formula1>ValidCapacity</formula1>
    </dataValidation>
    <dataValidation type="list" allowBlank="1" showInputMessage="1" showErrorMessage="1" sqref="M25:Q25 M326:Q326 M369:Q369 M68:Q68 M111:Q111 M154:Q154 M197:Q197 M240:Q240 M283:Q283 M412:Q412" xr:uid="{00000000-0002-0000-0300-000006000000}">
      <formula1>ValidPriorCap</formula1>
    </dataValidation>
    <dataValidation type="list" allowBlank="1" showInputMessage="1" showErrorMessage="1" sqref="M33:Q33 M334:Q334 M377:Q377 M76:Q76 M119:Q119 M162:Q162 M205:Q205 M248:Q248 M291:Q291 M420:Q420" xr:uid="{00000000-0002-0000-0300-000007000000}">
      <formula1>ValidImpact</formula1>
    </dataValidation>
    <dataValidation type="list" allowBlank="1" showInputMessage="1" showErrorMessage="1" sqref="M34:Q34 M335:Q335 M378:Q378 M77:Q77 M120:Q120 M163:Q163 M206:Q206 M249:Q249 M292:Q292 M421:Q421" xr:uid="{00000000-0002-0000-0300-000008000000}">
      <formula1>ValidEvidence</formula1>
    </dataValidation>
  </dataValidations>
  <hyperlinks>
    <hyperlink ref="A6:I6" location="cap_exp_contact" display="cap_exp_contact" xr:uid="{00000000-0004-0000-0300-000000000000}"/>
    <hyperlink ref="G10:L10" location="Definitions!A66" display="Definition of Spending Commitment Date" xr:uid="{00000000-0004-0000-0300-000001000000}"/>
    <hyperlink ref="O13" location="def_exceptions" display="Definition" xr:uid="{00000000-0004-0000-0300-000002000000}"/>
    <hyperlink ref="O13:Q13" location="Definitions!A77" display="Exceptions Definitions" xr:uid="{00000000-0004-0000-0300-000003000000}"/>
    <hyperlink ref="I2:M2" location="Definitions!A77" display="Retrospective Review Reporting Exceptions" xr:uid="{00000000-0004-0000-0300-000004000000}"/>
    <hyperlink ref="A6:M6" location="'2014 HAR'!A59" display="'2014 HAR'!A59" xr:uid="{00000000-0004-0000-0300-000005000000}"/>
    <hyperlink ref="A49:I49" location="cap_exp_contact" display="cap_exp_contact" xr:uid="{00000000-0004-0000-0300-000006000000}"/>
    <hyperlink ref="G53:L53" location="Definitions!A66" display="Definition of Spending Commitment Date" xr:uid="{00000000-0004-0000-0300-000007000000}"/>
    <hyperlink ref="O56" location="def_exceptions" display="Definition" xr:uid="{00000000-0004-0000-0300-000008000000}"/>
    <hyperlink ref="O56:Q56" location="Definitions!A74" display="Exceptions Definitions" xr:uid="{00000000-0004-0000-0300-000009000000}"/>
    <hyperlink ref="A49:M49" location="'2014 HAR'!A59" display="'2014 HAR'!A59" xr:uid="{00000000-0004-0000-0300-00000A000000}"/>
    <hyperlink ref="A92:I92" location="cap_exp_contact" display="cap_exp_contact" xr:uid="{00000000-0004-0000-0300-00000B000000}"/>
    <hyperlink ref="G96:L96" location="Definitions!A66" display="Definition of Spending Commitment Date" xr:uid="{00000000-0004-0000-0300-00000C000000}"/>
    <hyperlink ref="O99" location="def_exceptions" display="Definition" xr:uid="{00000000-0004-0000-0300-00000D000000}"/>
    <hyperlink ref="O99:Q99" location="Definitions!A74" display="Exceptions Definitions" xr:uid="{00000000-0004-0000-0300-00000E000000}"/>
    <hyperlink ref="A92:M92" location="'2014 HAR'!A59" display="'2014 HAR'!A59" xr:uid="{00000000-0004-0000-0300-00000F000000}"/>
    <hyperlink ref="A135:I135" location="cap_exp_contact" display="cap_exp_contact" xr:uid="{00000000-0004-0000-0300-000010000000}"/>
    <hyperlink ref="G139:L139" location="Definitions!A66" display="Definition of Spending Commitment Date" xr:uid="{00000000-0004-0000-0300-000011000000}"/>
    <hyperlink ref="O142" location="def_exceptions" display="Definition" xr:uid="{00000000-0004-0000-0300-000012000000}"/>
    <hyperlink ref="O142:Q142" location="Definitions!A74" display="Exceptions Definitions" xr:uid="{00000000-0004-0000-0300-000013000000}"/>
    <hyperlink ref="A135:M135" location="'2014 HAR'!A59" display="'2014 HAR'!A59" xr:uid="{00000000-0004-0000-0300-000014000000}"/>
    <hyperlink ref="A178:I178" location="cap_exp_contact" display="cap_exp_contact" xr:uid="{00000000-0004-0000-0300-000015000000}"/>
    <hyperlink ref="G182:L182" location="Definitions!A66" display="Definition of Spending Commitment Date" xr:uid="{00000000-0004-0000-0300-000016000000}"/>
    <hyperlink ref="O185" location="def_exceptions" display="Definition" xr:uid="{00000000-0004-0000-0300-000017000000}"/>
    <hyperlink ref="O185:Q185" location="Definitions!A74" display="Exceptions Definitions" xr:uid="{00000000-0004-0000-0300-000018000000}"/>
    <hyperlink ref="A178:M178" location="'2014 HAR'!A59" display="'2014 HAR'!A59" xr:uid="{00000000-0004-0000-0300-000019000000}"/>
    <hyperlink ref="A221:I221" location="cap_exp_contact" display="cap_exp_contact" xr:uid="{00000000-0004-0000-0300-00001A000000}"/>
    <hyperlink ref="G225:L225" location="Definitions!A66" display="Definition of Spending Commitment Date" xr:uid="{00000000-0004-0000-0300-00001B000000}"/>
    <hyperlink ref="O228" location="def_exceptions" display="Definition" xr:uid="{00000000-0004-0000-0300-00001C000000}"/>
    <hyperlink ref="O228:Q228" location="Definitions!A74" display="Exceptions Definitions" xr:uid="{00000000-0004-0000-0300-00001D000000}"/>
    <hyperlink ref="A221:M221" location="'2014 HAR'!A59" display="'2014 HAR'!A59" xr:uid="{00000000-0004-0000-0300-00001E000000}"/>
    <hyperlink ref="A264:I264" location="cap_exp_contact" display="cap_exp_contact" xr:uid="{00000000-0004-0000-0300-00001F000000}"/>
    <hyperlink ref="G268:L268" location="Definitions!A66" display="Definition of Spending Commitment Date" xr:uid="{00000000-0004-0000-0300-000020000000}"/>
    <hyperlink ref="O271" location="def_exceptions" display="Definition" xr:uid="{00000000-0004-0000-0300-000021000000}"/>
    <hyperlink ref="O271:Q271" location="Definitions!A74" display="Exceptions Definitions" xr:uid="{00000000-0004-0000-0300-000022000000}"/>
    <hyperlink ref="A264:M264" location="'2014 HAR'!A59" display="'2014 HAR'!A59" xr:uid="{00000000-0004-0000-0300-000023000000}"/>
    <hyperlink ref="A307:I307" location="cap_exp_contact" display="cap_exp_contact" xr:uid="{00000000-0004-0000-0300-000024000000}"/>
    <hyperlink ref="G311:L311" location="Definitions!A66" display="Definition of Spending Commitment Date" xr:uid="{00000000-0004-0000-0300-000025000000}"/>
    <hyperlink ref="O314" location="def_exceptions" display="Definition" xr:uid="{00000000-0004-0000-0300-000026000000}"/>
    <hyperlink ref="O314:Q314" location="Definitions!A74" display="Exceptions Definitions" xr:uid="{00000000-0004-0000-0300-000027000000}"/>
    <hyperlink ref="A307:M307" location="'2014 HAR'!A59" display="'2014 HAR'!A59" xr:uid="{00000000-0004-0000-0300-000028000000}"/>
    <hyperlink ref="A350:I350" location="cap_exp_contact" display="cap_exp_contact" xr:uid="{00000000-0004-0000-0300-000029000000}"/>
    <hyperlink ref="G354:L354" location="Definitions!A66" display="Definition of Spending Commitment Date" xr:uid="{00000000-0004-0000-0300-00002A000000}"/>
    <hyperlink ref="O357" location="def_exceptions" display="Definition" xr:uid="{00000000-0004-0000-0300-00002B000000}"/>
    <hyperlink ref="O357:Q357" location="Definitions!A74" display="Exceptions Definitions" xr:uid="{00000000-0004-0000-0300-00002C000000}"/>
    <hyperlink ref="A350:M350" location="'2014 HAR'!A59" display="'2014 HAR'!A59" xr:uid="{00000000-0004-0000-0300-00002D000000}"/>
    <hyperlink ref="A393:I393" location="cap_exp_contact" display="cap_exp_contact" xr:uid="{00000000-0004-0000-0300-00002E000000}"/>
    <hyperlink ref="G397:L397" location="Definitions!A66" display="Definition of Spending Commitment Date" xr:uid="{00000000-0004-0000-0300-00002F000000}"/>
    <hyperlink ref="O400" location="def_exceptions" display="Definition" xr:uid="{00000000-0004-0000-0300-000030000000}"/>
    <hyperlink ref="O400:Q400" location="Definitions!A74" display="Exceptions Definitions" xr:uid="{00000000-0004-0000-0300-000031000000}"/>
    <hyperlink ref="A393:M393" location="'2014 HAR'!A59" display="'2014 HAR'!A59" xr:uid="{00000000-0004-0000-0300-000032000000}"/>
    <hyperlink ref="R1:R4" location="'Prior Cap Exp Report'!A1" display="Please check here to ensure this project has not be reported in a previous year." xr:uid="{00000000-0004-0000-0300-000033000000}"/>
  </hyperlinks>
  <printOptions horizontalCentered="1"/>
  <pageMargins left="0.75" right="0.75" top="1" bottom="1" header="0.5" footer="0.5"/>
  <pageSetup scale="55" orientation="portrait" r:id="rId1"/>
  <headerFooter alignWithMargins="0">
    <oddFooter xml:space="preserve">&amp;LMDH
http://health.state.mn.us/divs/hpsc/dap/hccis
Phone: 651-201-3572 
Fax: 651-201-5179
&amp;CPage &amp;P
2016 Hospital Annual Report
Health Care Cost  Information System (HCCIS)&amp;RMHA
Jsanislo@mnhospitals.org
Phone: 651-641-1121 
Fax: 651-659-1477
</oddFooter>
  </headerFooter>
  <rowBreaks count="9" manualBreakCount="9">
    <brk id="46" max="17" man="1"/>
    <brk id="89" max="17" man="1"/>
    <brk id="132" max="17" man="1"/>
    <brk id="175" max="17" man="1"/>
    <brk id="218" max="17" man="1"/>
    <brk id="261" max="17" man="1"/>
    <brk id="304" max="17" man="1"/>
    <brk id="347" max="17" man="1"/>
    <brk id="390" max="17" man="1"/>
  </rowBreaks>
  <extLst>
    <ext xmlns:x14="http://schemas.microsoft.com/office/spreadsheetml/2009/9/main" uri="{78C0D931-6437-407d-A8EE-F0AAD7539E65}">
      <x14:conditionalFormattings>
        <x14:conditionalFormatting xmlns:xm="http://schemas.microsoft.com/office/excel/2006/main">
          <x14:cfRule type="expression" priority="5" id="{761398EE-DC27-42D6-90A7-AAD1AE06DCB0}">
            <xm:f>IF(AND('2017 HAR'!$L$756="",'2017 HAR'!$M$756="X"),TRUE,FALSE)</xm:f>
            <x14:dxf>
              <fill>
                <patternFill>
                  <bgColor rgb="FFC0C0C0"/>
                </patternFill>
              </fill>
            </x14:dxf>
          </x14:cfRule>
          <xm:sqref>E7:L9 E10:F11 I12 A14 A17 P15:Q18 A21:Q21 M23:Q25 A27 A30 M33:Q34 A36 A39 A42 A45 E50:L52 E53:F54 I55 A57 A60 P58:Q61 A64:Q64 M66:Q68 A70 A73 M76:Q77 A79 A82 A85 A88 E96:F97 I98 A100 A103 P101:Q104 A107:Q107 M109:Q111 A113 A116 M119:Q120 A122 A125 A128 A131 E136:L138 E139:F140 I141 A143 A146 P144:Q147 A150:Q150 M152:Q154 A156 A159 M162:Q163 A165 A168 A171 A174 E182:F183 I184 A186 A189 P187:Q190 A193:Q193 M195:Q197 A199 A202 M205:Q206 A208 A211 A214 A217 E222:L224 E225:F226 I227 A229 A232 P230:Q233 A236:Q236 M238:Q240 A242 A245 M248:Q249 A251 A254 A257 A260 E268:F269 I270 A272 A275 P273:Q276 A279:Q279 M281:Q283 A285 A288 M291:Q292 A294 A297 A300 A303 E308:L310 E311:F312 I313 A315 A318 P316:Q319 A322:Q322 M324:Q326 A328 A331 M334:Q335 A337 A340 A343 A346 E354:F355 I356 A358 A361 P359:Q362 A365:Q365 M367:Q369 A371 A374 M377:Q378 A380 A383 A386 A389 E394:L396 E397:F398 I399 A401 A404 P402:Q405 A408:Q408 M410:Q412 A414 A417 M420:Q421 A423 A426 A429 A432</xm:sqref>
        </x14:conditionalFormatting>
        <x14:conditionalFormatting xmlns:xm="http://schemas.microsoft.com/office/excel/2006/main">
          <x14:cfRule type="expression" priority="4" id="{477CEAA9-9A13-4124-AA43-1105DD23566D}">
            <xm:f>IF(AND('2017 HAR'!$L$756="",'2017 HAR'!$M$756="X"),TRUE,FALSE)</xm:f>
            <x14:dxf>
              <fill>
                <patternFill>
                  <bgColor rgb="FFC0C0C0"/>
                </patternFill>
              </fill>
            </x14:dxf>
          </x14:cfRule>
          <xm:sqref>E93:L95</xm:sqref>
        </x14:conditionalFormatting>
        <x14:conditionalFormatting xmlns:xm="http://schemas.microsoft.com/office/excel/2006/main">
          <x14:cfRule type="expression" priority="3" id="{80754486-762A-4495-9409-C380C18B2EA8}">
            <xm:f>IF(AND('2017 HAR'!$L$756="",'2017 HAR'!$M$756="X"),TRUE,FALSE)</xm:f>
            <x14:dxf>
              <fill>
                <patternFill>
                  <bgColor rgb="FFC0C0C0"/>
                </patternFill>
              </fill>
            </x14:dxf>
          </x14:cfRule>
          <xm:sqref>E179:L181</xm:sqref>
        </x14:conditionalFormatting>
        <x14:conditionalFormatting xmlns:xm="http://schemas.microsoft.com/office/excel/2006/main">
          <x14:cfRule type="expression" priority="2" id="{C9342169-C8B2-4911-96D3-1FB14B40D83D}">
            <xm:f>IF(AND('2017 HAR'!$L$756="",'2017 HAR'!$M$756="X"),TRUE,FALSE)</xm:f>
            <x14:dxf>
              <fill>
                <patternFill>
                  <bgColor rgb="FFC0C0C0"/>
                </patternFill>
              </fill>
            </x14:dxf>
          </x14:cfRule>
          <xm:sqref>E265:L267</xm:sqref>
        </x14:conditionalFormatting>
        <x14:conditionalFormatting xmlns:xm="http://schemas.microsoft.com/office/excel/2006/main">
          <x14:cfRule type="expression" priority="1" id="{BEB88833-4FE7-4D62-BECB-3486D397DFE7}">
            <xm:f>IF(AND('2017 HAR'!$L$756="",'2017 HAR'!$M$756="X"),TRUE,FALSE)</xm:f>
            <x14:dxf>
              <fill>
                <patternFill>
                  <bgColor rgb="FFC0C0C0"/>
                </patternFill>
              </fill>
            </x14:dxf>
          </x14:cfRule>
          <xm:sqref>E351:L353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pageSetUpPr fitToPage="1"/>
  </sheetPr>
  <dimension ref="A1:N1546"/>
  <sheetViews>
    <sheetView view="pageBreakPreview" zoomScaleNormal="100" zoomScaleSheetLayoutView="100" workbookViewId="0">
      <selection sqref="A1:I1"/>
    </sheetView>
  </sheetViews>
  <sheetFormatPr defaultColWidth="9.1796875" defaultRowHeight="12.5" x14ac:dyDescent="0.25"/>
  <cols>
    <col min="1" max="2" width="9.1796875" style="2"/>
    <col min="3" max="3" width="34.453125" style="69" customWidth="1"/>
    <col min="4" max="4" width="24.26953125" style="69" customWidth="1"/>
    <col min="5" max="5" width="17.81640625" style="69" customWidth="1"/>
    <col min="6" max="7" width="14.81640625" style="69" customWidth="1"/>
    <col min="8" max="8" width="7" style="69" customWidth="1"/>
    <col min="9" max="11" width="11.7265625" style="69" customWidth="1"/>
    <col min="12" max="12" width="11" style="69" bestFit="1" customWidth="1"/>
    <col min="13" max="13" width="11.7265625" style="69" customWidth="1"/>
    <col min="14" max="16384" width="9.1796875" style="69"/>
  </cols>
  <sheetData>
    <row r="1" spans="1:14" ht="22.5" customHeight="1" x14ac:dyDescent="0.25">
      <c r="A1" s="1446" t="e">
        <f>'2017 HAR'!$A$33</f>
        <v>#N/A</v>
      </c>
      <c r="B1" s="1447"/>
      <c r="C1" s="1447"/>
      <c r="D1" s="1447"/>
      <c r="E1" s="1447"/>
      <c r="F1" s="1447"/>
      <c r="G1" s="1447"/>
      <c r="H1" s="1447"/>
      <c r="I1" s="1447"/>
      <c r="J1" s="293"/>
      <c r="K1" s="293"/>
      <c r="L1" s="293"/>
      <c r="M1" s="293"/>
    </row>
    <row r="2" spans="1:14" ht="106.5" customHeight="1" x14ac:dyDescent="0.25">
      <c r="A2" s="1448" t="s">
        <v>1386</v>
      </c>
      <c r="B2" s="1449"/>
      <c r="C2" s="1449"/>
      <c r="D2" s="1449"/>
      <c r="E2" s="1449"/>
      <c r="F2" s="1449"/>
      <c r="G2" s="1449"/>
      <c r="H2" s="1449"/>
      <c r="I2" s="1449"/>
      <c r="J2" s="1449"/>
      <c r="K2" s="1449"/>
      <c r="L2" s="1449"/>
      <c r="M2" s="1449"/>
    </row>
    <row r="3" spans="1:14" ht="25.5" customHeight="1" x14ac:dyDescent="0.3">
      <c r="A3" s="1450" t="s">
        <v>1933</v>
      </c>
      <c r="B3" s="1451"/>
      <c r="C3" s="1451"/>
      <c r="D3" s="1451"/>
      <c r="E3" s="1451"/>
      <c r="F3" s="1451"/>
      <c r="G3" s="1451"/>
      <c r="H3" s="1451"/>
      <c r="I3" s="1451"/>
      <c r="J3" s="1451"/>
      <c r="K3" s="1451"/>
      <c r="L3" s="1451"/>
      <c r="M3" s="1452"/>
      <c r="N3" s="294"/>
    </row>
    <row r="4" spans="1:14" ht="100.5" customHeight="1" x14ac:dyDescent="0.3">
      <c r="A4" s="1458" t="s">
        <v>1668</v>
      </c>
      <c r="B4" s="1459"/>
      <c r="C4" s="1453" t="s">
        <v>1669</v>
      </c>
      <c r="D4" s="1453" t="s">
        <v>1670</v>
      </c>
      <c r="E4" s="1453" t="s">
        <v>1671</v>
      </c>
      <c r="F4" s="1453" t="s">
        <v>95</v>
      </c>
      <c r="G4" s="1453" t="s">
        <v>98</v>
      </c>
      <c r="H4" s="1453" t="s">
        <v>696</v>
      </c>
      <c r="I4" s="1453" t="s">
        <v>697</v>
      </c>
      <c r="J4" s="1453" t="s">
        <v>699</v>
      </c>
      <c r="K4" s="1453" t="s">
        <v>700</v>
      </c>
      <c r="L4" s="1453" t="s">
        <v>88</v>
      </c>
      <c r="M4" s="1455" t="s">
        <v>1672</v>
      </c>
      <c r="N4" s="294"/>
    </row>
    <row r="5" spans="1:14" ht="30" customHeight="1" x14ac:dyDescent="0.3">
      <c r="A5" s="295" t="s">
        <v>103</v>
      </c>
      <c r="B5" s="295" t="s">
        <v>104</v>
      </c>
      <c r="C5" s="1454"/>
      <c r="D5" s="1454" t="s">
        <v>1670</v>
      </c>
      <c r="E5" s="1454" t="s">
        <v>1671</v>
      </c>
      <c r="F5" s="1454" t="s">
        <v>95</v>
      </c>
      <c r="G5" s="1454" t="s">
        <v>98</v>
      </c>
      <c r="H5" s="1454" t="s">
        <v>696</v>
      </c>
      <c r="I5" s="1454" t="s">
        <v>697</v>
      </c>
      <c r="J5" s="1454" t="s">
        <v>699</v>
      </c>
      <c r="K5" s="1454" t="s">
        <v>700</v>
      </c>
      <c r="L5" s="1454" t="s">
        <v>88</v>
      </c>
      <c r="M5" s="1456" t="s">
        <v>1672</v>
      </c>
      <c r="N5" s="294"/>
    </row>
    <row r="6" spans="1:14" s="299" customFormat="1" ht="17.25" customHeight="1" x14ac:dyDescent="0.25">
      <c r="A6" s="308"/>
      <c r="B6" s="308"/>
      <c r="C6" s="296"/>
      <c r="D6" s="297"/>
      <c r="E6" s="297"/>
      <c r="F6" s="297"/>
      <c r="G6" s="297"/>
      <c r="H6" s="297"/>
      <c r="I6" s="297"/>
      <c r="J6" s="297"/>
      <c r="K6" s="297"/>
      <c r="L6" s="297"/>
      <c r="M6" s="297"/>
      <c r="N6" s="298"/>
    </row>
    <row r="7" spans="1:14" s="299" customFormat="1" ht="17.25" customHeight="1" x14ac:dyDescent="0.25">
      <c r="A7" s="308"/>
      <c r="B7" s="308"/>
      <c r="C7" s="296"/>
      <c r="D7" s="297"/>
      <c r="E7" s="297"/>
      <c r="F7" s="309"/>
      <c r="G7" s="309"/>
      <c r="H7" s="297"/>
      <c r="I7" s="297"/>
      <c r="J7" s="297"/>
      <c r="K7" s="297"/>
      <c r="L7" s="297"/>
      <c r="M7" s="297"/>
      <c r="N7" s="298"/>
    </row>
    <row r="8" spans="1:14" s="299" customFormat="1" ht="17.25" customHeight="1" x14ac:dyDescent="0.25">
      <c r="A8" s="308"/>
      <c r="B8" s="308"/>
      <c r="C8" s="296"/>
      <c r="D8" s="297"/>
      <c r="E8" s="297"/>
      <c r="F8" s="297"/>
      <c r="G8" s="297"/>
      <c r="H8" s="297"/>
      <c r="I8" s="297"/>
      <c r="J8" s="297"/>
      <c r="K8" s="297"/>
      <c r="L8" s="297"/>
      <c r="M8" s="297"/>
      <c r="N8" s="298"/>
    </row>
    <row r="9" spans="1:14" s="299" customFormat="1" ht="17.25" customHeight="1" x14ac:dyDescent="0.25">
      <c r="A9" s="308"/>
      <c r="B9" s="308"/>
      <c r="C9" s="296"/>
      <c r="D9" s="297"/>
      <c r="E9" s="297"/>
      <c r="F9" s="297"/>
      <c r="G9" s="297"/>
      <c r="H9" s="297"/>
      <c r="I9" s="297"/>
      <c r="J9" s="297"/>
      <c r="K9" s="297"/>
      <c r="L9" s="297"/>
      <c r="M9" s="297"/>
      <c r="N9" s="298"/>
    </row>
    <row r="10" spans="1:14" s="299" customFormat="1" ht="17.25" customHeight="1" x14ac:dyDescent="0.25">
      <c r="A10" s="308"/>
      <c r="B10" s="308"/>
      <c r="C10" s="296"/>
      <c r="D10" s="297"/>
      <c r="E10" s="297"/>
      <c r="F10" s="297"/>
      <c r="G10" s="297"/>
      <c r="H10" s="297"/>
      <c r="I10" s="297"/>
      <c r="J10" s="297"/>
      <c r="K10" s="297"/>
      <c r="L10" s="297"/>
      <c r="M10" s="297"/>
      <c r="N10" s="298"/>
    </row>
    <row r="11" spans="1:14" s="299" customFormat="1" ht="17.25" customHeight="1" x14ac:dyDescent="0.25">
      <c r="A11" s="308"/>
      <c r="B11" s="308"/>
      <c r="C11" s="296"/>
      <c r="D11" s="297"/>
      <c r="E11" s="297"/>
      <c r="F11" s="297"/>
      <c r="G11" s="297"/>
      <c r="H11" s="297"/>
      <c r="I11" s="297"/>
      <c r="J11" s="297"/>
      <c r="K11" s="297"/>
      <c r="L11" s="297"/>
      <c r="M11" s="297"/>
      <c r="N11" s="298"/>
    </row>
    <row r="12" spans="1:14" s="299" customFormat="1" ht="17.25" customHeight="1" x14ac:dyDescent="0.25">
      <c r="A12" s="308"/>
      <c r="B12" s="308"/>
      <c r="C12" s="296"/>
      <c r="D12" s="297"/>
      <c r="E12" s="297"/>
      <c r="F12" s="297"/>
      <c r="G12" s="297"/>
      <c r="H12" s="297"/>
      <c r="I12" s="297"/>
      <c r="J12" s="297"/>
      <c r="K12" s="297"/>
      <c r="L12" s="297"/>
      <c r="M12" s="297"/>
      <c r="N12" s="298"/>
    </row>
    <row r="13" spans="1:14" s="299" customFormat="1" ht="17.25" customHeight="1" x14ac:dyDescent="0.25">
      <c r="A13" s="308"/>
      <c r="B13" s="308"/>
      <c r="C13" s="296"/>
      <c r="D13" s="297"/>
      <c r="E13" s="297"/>
      <c r="F13" s="297"/>
      <c r="G13" s="297"/>
      <c r="H13" s="297"/>
      <c r="I13" s="297"/>
      <c r="J13" s="297"/>
      <c r="K13" s="297"/>
      <c r="L13" s="297"/>
      <c r="M13" s="297"/>
      <c r="N13" s="298"/>
    </row>
    <row r="14" spans="1:14" s="299" customFormat="1" ht="17.25" customHeight="1" x14ac:dyDescent="0.25">
      <c r="A14" s="308"/>
      <c r="B14" s="308"/>
      <c r="C14" s="300"/>
      <c r="D14" s="301"/>
      <c r="E14" s="301"/>
      <c r="F14" s="301"/>
      <c r="G14" s="301"/>
      <c r="H14" s="301"/>
      <c r="I14" s="301"/>
      <c r="J14" s="301"/>
      <c r="K14" s="301"/>
      <c r="L14" s="301"/>
      <c r="M14" s="301"/>
      <c r="N14" s="298"/>
    </row>
    <row r="15" spans="1:14" s="299" customFormat="1" ht="17.25" customHeight="1" x14ac:dyDescent="0.25">
      <c r="A15" s="308"/>
      <c r="B15" s="308"/>
      <c r="C15" s="300"/>
      <c r="D15" s="301"/>
      <c r="E15" s="301"/>
      <c r="F15" s="301"/>
      <c r="G15" s="301"/>
      <c r="H15" s="301"/>
      <c r="I15" s="301"/>
      <c r="J15" s="301"/>
      <c r="K15" s="301"/>
      <c r="L15" s="301"/>
      <c r="M15" s="301"/>
      <c r="N15" s="298"/>
    </row>
    <row r="16" spans="1:14" s="299" customFormat="1" ht="17.25" customHeight="1" x14ac:dyDescent="0.25">
      <c r="A16" s="308"/>
      <c r="B16" s="308"/>
      <c r="C16" s="300"/>
      <c r="D16" s="301"/>
      <c r="E16" s="301"/>
      <c r="F16" s="301"/>
      <c r="G16" s="301"/>
      <c r="H16" s="301"/>
      <c r="I16" s="301"/>
      <c r="J16" s="301"/>
      <c r="K16" s="301"/>
      <c r="L16" s="301"/>
      <c r="M16" s="301"/>
      <c r="N16" s="298"/>
    </row>
    <row r="17" spans="1:14" s="299" customFormat="1" ht="17.25" customHeight="1" x14ac:dyDescent="0.25">
      <c r="A17" s="308"/>
      <c r="B17" s="308"/>
      <c r="C17" s="300"/>
      <c r="D17" s="301"/>
      <c r="E17" s="301"/>
      <c r="F17" s="301"/>
      <c r="G17" s="301"/>
      <c r="H17" s="301"/>
      <c r="I17" s="301"/>
      <c r="J17" s="301"/>
      <c r="K17" s="301"/>
      <c r="L17" s="301"/>
      <c r="M17" s="301"/>
      <c r="N17" s="298"/>
    </row>
    <row r="18" spans="1:14" s="299" customFormat="1" ht="17.25" customHeight="1" x14ac:dyDescent="0.25">
      <c r="A18" s="308"/>
      <c r="B18" s="308"/>
      <c r="C18" s="300"/>
      <c r="D18" s="301"/>
      <c r="E18" s="301"/>
      <c r="F18" s="301"/>
      <c r="G18" s="301"/>
      <c r="H18" s="301"/>
      <c r="I18" s="301"/>
      <c r="J18" s="301"/>
      <c r="K18" s="301"/>
      <c r="L18" s="301"/>
      <c r="M18" s="301"/>
      <c r="N18" s="298"/>
    </row>
    <row r="19" spans="1:14" s="299" customFormat="1" ht="17.25" customHeight="1" x14ac:dyDescent="0.25">
      <c r="A19" s="308"/>
      <c r="B19" s="308"/>
      <c r="C19" s="300"/>
      <c r="D19" s="301"/>
      <c r="E19" s="301"/>
      <c r="F19" s="301"/>
      <c r="G19" s="301"/>
      <c r="H19" s="301"/>
      <c r="I19" s="301"/>
      <c r="J19" s="301"/>
      <c r="K19" s="301"/>
      <c r="L19" s="301"/>
      <c r="M19" s="301"/>
      <c r="N19" s="298"/>
    </row>
    <row r="20" spans="1:14" s="299" customFormat="1" ht="17.25" customHeight="1" x14ac:dyDescent="0.25">
      <c r="A20" s="308"/>
      <c r="B20" s="308"/>
      <c r="C20" s="300"/>
      <c r="D20" s="301"/>
      <c r="E20" s="301"/>
      <c r="F20" s="301"/>
      <c r="G20" s="301"/>
      <c r="H20" s="301"/>
      <c r="I20" s="301"/>
      <c r="J20" s="301"/>
      <c r="K20" s="301"/>
      <c r="L20" s="301"/>
      <c r="M20" s="301"/>
      <c r="N20" s="298"/>
    </row>
    <row r="21" spans="1:14" s="299" customFormat="1" ht="17.25" customHeight="1" x14ac:dyDescent="0.25">
      <c r="A21" s="308"/>
      <c r="B21" s="308"/>
      <c r="C21" s="300"/>
      <c r="D21" s="301"/>
      <c r="E21" s="301"/>
      <c r="F21" s="301"/>
      <c r="G21" s="301"/>
      <c r="H21" s="301"/>
      <c r="I21" s="301"/>
      <c r="J21" s="301"/>
      <c r="K21" s="301"/>
      <c r="L21" s="301"/>
      <c r="M21" s="301"/>
      <c r="N21" s="298"/>
    </row>
    <row r="22" spans="1:14" s="299" customFormat="1" ht="17.25" customHeight="1" x14ac:dyDescent="0.25">
      <c r="A22" s="308"/>
      <c r="B22" s="308"/>
      <c r="C22" s="300"/>
      <c r="D22" s="301"/>
      <c r="E22" s="301"/>
      <c r="F22" s="301"/>
      <c r="G22" s="301"/>
      <c r="H22" s="301"/>
      <c r="I22" s="301"/>
      <c r="J22" s="301"/>
      <c r="K22" s="301"/>
      <c r="L22" s="301"/>
      <c r="M22" s="301"/>
      <c r="N22" s="298"/>
    </row>
    <row r="23" spans="1:14" s="299" customFormat="1" ht="17.25" customHeight="1" x14ac:dyDescent="0.25">
      <c r="A23" s="308"/>
      <c r="B23" s="308"/>
      <c r="C23" s="300"/>
      <c r="D23" s="301"/>
      <c r="E23" s="301"/>
      <c r="F23" s="301"/>
      <c r="G23" s="301"/>
      <c r="H23" s="301"/>
      <c r="I23" s="301"/>
      <c r="J23" s="301"/>
      <c r="K23" s="301"/>
      <c r="L23" s="301"/>
      <c r="M23" s="301"/>
      <c r="N23" s="298"/>
    </row>
    <row r="24" spans="1:14" s="299" customFormat="1" ht="17.25" customHeight="1" x14ac:dyDescent="0.25">
      <c r="A24" s="308"/>
      <c r="B24" s="308"/>
      <c r="C24" s="300"/>
      <c r="D24" s="301"/>
      <c r="E24" s="301"/>
      <c r="F24" s="301"/>
      <c r="G24" s="301"/>
      <c r="H24" s="301"/>
      <c r="I24" s="301"/>
      <c r="J24" s="301"/>
      <c r="K24" s="301"/>
      <c r="L24" s="301"/>
      <c r="M24" s="301"/>
      <c r="N24" s="298"/>
    </row>
    <row r="25" spans="1:14" s="299" customFormat="1" ht="18.75" customHeight="1" x14ac:dyDescent="0.25">
      <c r="A25" s="308"/>
      <c r="B25" s="308"/>
      <c r="C25" s="300"/>
      <c r="D25" s="301"/>
      <c r="E25" s="301"/>
      <c r="F25" s="301"/>
      <c r="G25" s="301"/>
      <c r="H25" s="301"/>
      <c r="I25" s="301"/>
      <c r="J25" s="301"/>
      <c r="K25" s="301"/>
      <c r="L25" s="301"/>
      <c r="M25" s="301"/>
      <c r="N25" s="298"/>
    </row>
    <row r="26" spans="1:14" s="299" customFormat="1" ht="18.75" customHeight="1" x14ac:dyDescent="0.25">
      <c r="A26" s="308"/>
      <c r="B26" s="308"/>
      <c r="C26" s="300"/>
      <c r="D26" s="301"/>
      <c r="E26" s="301"/>
      <c r="F26" s="301"/>
      <c r="G26" s="301"/>
      <c r="H26" s="301"/>
      <c r="I26" s="301"/>
      <c r="J26" s="301"/>
      <c r="K26" s="301"/>
      <c r="L26" s="301"/>
      <c r="M26" s="301"/>
      <c r="N26" s="298"/>
    </row>
    <row r="27" spans="1:14" s="299" customFormat="1" ht="18.75" customHeight="1" x14ac:dyDescent="0.25">
      <c r="A27" s="308"/>
      <c r="B27" s="308"/>
      <c r="C27" s="300"/>
      <c r="D27" s="301"/>
      <c r="E27" s="301"/>
      <c r="F27" s="301"/>
      <c r="G27" s="301"/>
      <c r="H27" s="301"/>
      <c r="I27" s="301"/>
      <c r="J27" s="301"/>
      <c r="K27" s="301"/>
      <c r="L27" s="301"/>
      <c r="M27" s="301"/>
      <c r="N27" s="298"/>
    </row>
    <row r="28" spans="1:14" s="299" customFormat="1" ht="18.75" customHeight="1" x14ac:dyDescent="0.25">
      <c r="A28" s="308"/>
      <c r="B28" s="308"/>
      <c r="C28" s="300"/>
      <c r="D28" s="301"/>
      <c r="E28" s="301"/>
      <c r="F28" s="301"/>
      <c r="G28" s="301"/>
      <c r="H28" s="301"/>
      <c r="I28" s="301"/>
      <c r="J28" s="301"/>
      <c r="K28" s="301"/>
      <c r="L28" s="301"/>
      <c r="M28" s="301"/>
      <c r="N28" s="298"/>
    </row>
    <row r="29" spans="1:14" s="299" customFormat="1" ht="18.75" customHeight="1" x14ac:dyDescent="0.25">
      <c r="A29" s="308"/>
      <c r="B29" s="308"/>
      <c r="C29" s="300"/>
      <c r="D29" s="301"/>
      <c r="E29" s="301"/>
      <c r="F29" s="301"/>
      <c r="G29" s="301"/>
      <c r="H29" s="301"/>
      <c r="I29" s="301"/>
      <c r="J29" s="301"/>
      <c r="K29" s="301"/>
      <c r="L29" s="301"/>
      <c r="M29" s="301"/>
      <c r="N29" s="298"/>
    </row>
    <row r="30" spans="1:14" s="299" customFormat="1" ht="18.75" customHeight="1" x14ac:dyDescent="0.25">
      <c r="A30" s="308"/>
      <c r="B30" s="308"/>
      <c r="C30" s="300"/>
      <c r="D30" s="301"/>
      <c r="E30" s="301"/>
      <c r="F30" s="301"/>
      <c r="G30" s="301"/>
      <c r="H30" s="301"/>
      <c r="I30" s="301"/>
      <c r="J30" s="301"/>
      <c r="K30" s="301"/>
      <c r="L30" s="301"/>
      <c r="M30" s="301"/>
      <c r="N30" s="298"/>
    </row>
    <row r="31" spans="1:14" s="299" customFormat="1" ht="18.75" customHeight="1" x14ac:dyDescent="0.25">
      <c r="A31" s="308"/>
      <c r="B31" s="308"/>
      <c r="C31" s="300"/>
      <c r="D31" s="301"/>
      <c r="E31" s="301"/>
      <c r="F31" s="301"/>
      <c r="G31" s="301"/>
      <c r="H31" s="301"/>
      <c r="I31" s="301"/>
      <c r="J31" s="301"/>
      <c r="K31" s="301"/>
      <c r="L31" s="301"/>
      <c r="M31" s="301"/>
      <c r="N31" s="298"/>
    </row>
    <row r="32" spans="1:14" s="299" customFormat="1" ht="18.75" customHeight="1" x14ac:dyDescent="0.25">
      <c r="A32" s="308"/>
      <c r="B32" s="308"/>
      <c r="C32" s="300"/>
      <c r="D32" s="301"/>
      <c r="E32" s="301"/>
      <c r="F32" s="301"/>
      <c r="G32" s="301"/>
      <c r="H32" s="301"/>
      <c r="I32" s="301"/>
      <c r="J32" s="301"/>
      <c r="K32" s="301"/>
      <c r="L32" s="301"/>
      <c r="M32" s="301"/>
      <c r="N32" s="298"/>
    </row>
    <row r="33" spans="1:14" s="299" customFormat="1" ht="18.75" customHeight="1" x14ac:dyDescent="0.25">
      <c r="A33" s="308"/>
      <c r="B33" s="308"/>
      <c r="C33" s="300"/>
      <c r="D33" s="301"/>
      <c r="E33" s="301"/>
      <c r="F33" s="301"/>
      <c r="G33" s="301"/>
      <c r="H33" s="301"/>
      <c r="I33" s="301"/>
      <c r="J33" s="301"/>
      <c r="K33" s="301"/>
      <c r="L33" s="301"/>
      <c r="M33" s="301"/>
      <c r="N33" s="298"/>
    </row>
    <row r="34" spans="1:14" s="299" customFormat="1" ht="18.75" customHeight="1" x14ac:dyDescent="0.25">
      <c r="A34" s="308"/>
      <c r="B34" s="308"/>
      <c r="C34" s="300"/>
      <c r="D34" s="301"/>
      <c r="E34" s="301"/>
      <c r="F34" s="301"/>
      <c r="G34" s="301"/>
      <c r="H34" s="301"/>
      <c r="I34" s="301"/>
      <c r="J34" s="301"/>
      <c r="K34" s="301"/>
      <c r="L34" s="301"/>
      <c r="M34" s="301"/>
      <c r="N34" s="298"/>
    </row>
    <row r="35" spans="1:14" s="299" customFormat="1" ht="18.75" customHeight="1" x14ac:dyDescent="0.25">
      <c r="A35" s="308"/>
      <c r="B35" s="308"/>
      <c r="C35" s="300"/>
      <c r="D35" s="301"/>
      <c r="E35" s="301"/>
      <c r="F35" s="301"/>
      <c r="G35" s="301"/>
      <c r="H35" s="301"/>
      <c r="I35" s="301"/>
      <c r="J35" s="301"/>
      <c r="K35" s="301"/>
      <c r="L35" s="301"/>
      <c r="M35" s="301"/>
      <c r="N35" s="298"/>
    </row>
    <row r="36" spans="1:14" s="299" customFormat="1" ht="18.75" customHeight="1" x14ac:dyDescent="0.25">
      <c r="A36" s="308"/>
      <c r="B36" s="308"/>
      <c r="C36" s="300"/>
      <c r="D36" s="301"/>
      <c r="E36" s="301"/>
      <c r="F36" s="301"/>
      <c r="G36" s="301"/>
      <c r="H36" s="301"/>
      <c r="I36" s="301"/>
      <c r="J36" s="301"/>
      <c r="K36" s="301"/>
      <c r="L36" s="301"/>
      <c r="M36" s="301"/>
      <c r="N36" s="298"/>
    </row>
    <row r="37" spans="1:14" s="299" customFormat="1" ht="18.75" customHeight="1" x14ac:dyDescent="0.25">
      <c r="A37" s="308"/>
      <c r="B37" s="308"/>
      <c r="C37" s="300"/>
      <c r="D37" s="301"/>
      <c r="E37" s="301"/>
      <c r="F37" s="301"/>
      <c r="G37" s="301"/>
      <c r="H37" s="301"/>
      <c r="I37" s="301"/>
      <c r="J37" s="301"/>
      <c r="K37" s="301"/>
      <c r="L37" s="301"/>
      <c r="M37" s="301"/>
      <c r="N37" s="298"/>
    </row>
    <row r="38" spans="1:14" s="299" customFormat="1" ht="18.75" customHeight="1" x14ac:dyDescent="0.25">
      <c r="A38" s="591" t="s">
        <v>3627</v>
      </c>
      <c r="B38" s="1460"/>
      <c r="C38" s="1460"/>
      <c r="D38" s="304"/>
      <c r="E38" s="304"/>
      <c r="F38" s="304"/>
      <c r="G38" s="304"/>
      <c r="H38" s="304"/>
      <c r="I38" s="304"/>
      <c r="J38" s="304"/>
      <c r="K38" s="304"/>
      <c r="L38" s="304"/>
      <c r="M38" s="304"/>
      <c r="N38" s="298"/>
    </row>
    <row r="39" spans="1:14" s="299" customFormat="1" ht="18.75" customHeight="1" x14ac:dyDescent="0.25">
      <c r="A39" s="302"/>
      <c r="B39" s="302"/>
      <c r="C39" s="303"/>
      <c r="D39" s="304"/>
      <c r="E39" s="304"/>
      <c r="F39" s="304"/>
      <c r="G39" s="304"/>
      <c r="H39" s="304"/>
      <c r="I39" s="304"/>
      <c r="J39" s="304"/>
      <c r="K39" s="304"/>
      <c r="L39" s="304"/>
      <c r="M39" s="304"/>
      <c r="N39" s="298"/>
    </row>
    <row r="40" spans="1:14" s="299" customFormat="1" ht="18.75" customHeight="1" x14ac:dyDescent="0.25">
      <c r="A40" s="302"/>
      <c r="B40" s="302"/>
      <c r="C40" s="303"/>
      <c r="D40" s="304"/>
      <c r="E40" s="304"/>
      <c r="F40" s="304"/>
      <c r="G40" s="304"/>
      <c r="H40" s="304"/>
      <c r="I40" s="304"/>
      <c r="J40" s="304"/>
      <c r="K40" s="304"/>
      <c r="L40" s="304"/>
      <c r="M40" s="304"/>
      <c r="N40" s="298"/>
    </row>
    <row r="41" spans="1:14" s="299" customFormat="1" ht="18.75" customHeight="1" x14ac:dyDescent="0.25">
      <c r="A41" s="302"/>
      <c r="B41" s="302"/>
      <c r="C41" s="303"/>
      <c r="D41" s="304"/>
      <c r="E41" s="304"/>
      <c r="F41" s="304"/>
      <c r="G41" s="304"/>
      <c r="H41" s="304"/>
      <c r="I41" s="304"/>
      <c r="J41" s="304"/>
      <c r="K41" s="304"/>
      <c r="L41" s="304"/>
      <c r="M41" s="304"/>
      <c r="N41" s="298"/>
    </row>
    <row r="42" spans="1:14" x14ac:dyDescent="0.25">
      <c r="C42" s="303"/>
      <c r="D42" s="304"/>
      <c r="E42" s="304"/>
      <c r="F42" s="304"/>
      <c r="G42" s="304"/>
      <c r="H42" s="304"/>
      <c r="I42" s="304"/>
      <c r="J42" s="304"/>
      <c r="K42" s="304"/>
      <c r="L42" s="304"/>
      <c r="M42" s="304"/>
      <c r="N42" s="305"/>
    </row>
    <row r="43" spans="1:14" x14ac:dyDescent="0.25">
      <c r="C43" s="303"/>
      <c r="D43" s="304"/>
      <c r="E43" s="304"/>
      <c r="F43" s="304"/>
      <c r="G43" s="304"/>
      <c r="H43" s="304"/>
      <c r="I43" s="304"/>
      <c r="J43" s="304"/>
      <c r="K43" s="304"/>
      <c r="L43" s="304"/>
      <c r="M43" s="304"/>
      <c r="N43" s="305"/>
    </row>
    <row r="44" spans="1:14" ht="27" customHeight="1" x14ac:dyDescent="0.25">
      <c r="C44" s="303"/>
      <c r="D44" s="304"/>
      <c r="E44" s="304"/>
      <c r="F44" s="304"/>
      <c r="G44" s="304"/>
      <c r="H44" s="304"/>
      <c r="I44" s="304"/>
      <c r="J44" s="304"/>
      <c r="K44" s="304"/>
      <c r="L44" s="304"/>
      <c r="M44" s="304"/>
      <c r="N44" s="305"/>
    </row>
    <row r="45" spans="1:14" x14ac:dyDescent="0.25">
      <c r="C45" s="303"/>
      <c r="D45" s="304"/>
      <c r="E45" s="304"/>
      <c r="F45" s="304"/>
      <c r="G45" s="304"/>
      <c r="H45" s="304"/>
      <c r="I45" s="304"/>
      <c r="J45" s="304"/>
      <c r="K45" s="304"/>
      <c r="L45" s="304"/>
      <c r="M45" s="304"/>
      <c r="N45" s="305"/>
    </row>
    <row r="46" spans="1:14" x14ac:dyDescent="0.25">
      <c r="C46" s="303"/>
      <c r="D46" s="304"/>
      <c r="E46" s="304"/>
      <c r="F46" s="304"/>
      <c r="G46" s="304"/>
      <c r="H46" s="304"/>
      <c r="I46" s="304"/>
      <c r="J46" s="304"/>
      <c r="K46" s="304"/>
      <c r="L46" s="304"/>
      <c r="M46" s="304"/>
      <c r="N46" s="305"/>
    </row>
    <row r="47" spans="1:14" x14ac:dyDescent="0.25">
      <c r="C47" s="303"/>
      <c r="D47" s="304"/>
      <c r="E47" s="304"/>
      <c r="F47" s="304"/>
      <c r="G47" s="304"/>
      <c r="H47" s="304"/>
      <c r="I47" s="304"/>
      <c r="J47" s="304"/>
      <c r="K47" s="304"/>
      <c r="L47" s="304"/>
      <c r="M47" s="304"/>
      <c r="N47" s="305"/>
    </row>
    <row r="48" spans="1:14" x14ac:dyDescent="0.25">
      <c r="C48" s="303"/>
      <c r="D48" s="304"/>
      <c r="E48" s="304"/>
      <c r="F48" s="304"/>
      <c r="G48" s="304"/>
      <c r="H48" s="304"/>
      <c r="I48" s="304"/>
      <c r="J48" s="304"/>
      <c r="K48" s="304"/>
      <c r="L48" s="304"/>
      <c r="M48" s="304"/>
      <c r="N48" s="305"/>
    </row>
    <row r="49" spans="3:14" x14ac:dyDescent="0.25">
      <c r="C49" s="303"/>
      <c r="D49" s="304"/>
      <c r="E49" s="304"/>
      <c r="F49" s="304"/>
      <c r="G49" s="304"/>
      <c r="H49" s="304"/>
      <c r="I49" s="304"/>
      <c r="J49" s="304"/>
      <c r="K49" s="304"/>
      <c r="L49" s="304"/>
      <c r="M49" s="304"/>
      <c r="N49" s="305"/>
    </row>
    <row r="50" spans="3:14" x14ac:dyDescent="0.25">
      <c r="C50" s="306"/>
      <c r="D50" s="303"/>
      <c r="E50" s="303"/>
      <c r="F50" s="303"/>
      <c r="G50" s="303"/>
      <c r="H50" s="303"/>
      <c r="I50" s="303"/>
      <c r="J50" s="303"/>
      <c r="K50" s="303"/>
      <c r="L50" s="303"/>
      <c r="M50" s="303"/>
      <c r="N50" s="305"/>
    </row>
    <row r="51" spans="3:14" x14ac:dyDescent="0.25">
      <c r="C51" s="306"/>
      <c r="D51" s="303"/>
      <c r="E51" s="303"/>
      <c r="F51" s="303"/>
      <c r="G51" s="303"/>
      <c r="H51" s="303"/>
      <c r="I51" s="303"/>
      <c r="J51" s="303"/>
      <c r="K51" s="303"/>
      <c r="L51" s="303"/>
      <c r="M51" s="303"/>
      <c r="N51" s="305"/>
    </row>
    <row r="52" spans="3:14" x14ac:dyDescent="0.25">
      <c r="C52" s="306"/>
      <c r="D52" s="303"/>
      <c r="E52" s="303"/>
      <c r="F52" s="303"/>
      <c r="G52" s="303"/>
      <c r="H52" s="303"/>
      <c r="I52" s="303"/>
      <c r="J52" s="303"/>
      <c r="K52" s="303"/>
      <c r="L52" s="303"/>
      <c r="M52" s="303"/>
      <c r="N52" s="305"/>
    </row>
    <row r="53" spans="3:14" x14ac:dyDescent="0.25">
      <c r="C53" s="306"/>
      <c r="D53" s="303"/>
      <c r="E53" s="303"/>
      <c r="F53" s="303"/>
      <c r="G53" s="303"/>
      <c r="H53" s="303"/>
      <c r="I53" s="303"/>
      <c r="J53" s="303"/>
      <c r="K53" s="303"/>
      <c r="L53" s="303"/>
      <c r="M53" s="303"/>
      <c r="N53" s="305"/>
    </row>
    <row r="54" spans="3:14" x14ac:dyDescent="0.25">
      <c r="C54" s="306"/>
      <c r="D54" s="303"/>
      <c r="E54" s="303"/>
      <c r="F54" s="303"/>
      <c r="G54" s="303"/>
      <c r="H54" s="303"/>
      <c r="I54" s="303"/>
      <c r="J54" s="303"/>
      <c r="K54" s="303"/>
      <c r="L54" s="303"/>
      <c r="M54" s="303"/>
      <c r="N54" s="305"/>
    </row>
    <row r="55" spans="3:14" x14ac:dyDescent="0.25">
      <c r="C55" s="306"/>
      <c r="D55" s="303"/>
      <c r="E55" s="303"/>
      <c r="F55" s="303"/>
      <c r="G55" s="303"/>
      <c r="H55" s="303"/>
      <c r="I55" s="303"/>
      <c r="J55" s="303"/>
      <c r="K55" s="303"/>
      <c r="L55" s="303"/>
      <c r="M55" s="303"/>
      <c r="N55" s="305"/>
    </row>
    <row r="56" spans="3:14" x14ac:dyDescent="0.25">
      <c r="C56" s="306"/>
      <c r="D56" s="303"/>
      <c r="E56" s="303"/>
      <c r="F56" s="303"/>
      <c r="G56" s="303"/>
      <c r="H56" s="303"/>
      <c r="I56" s="303"/>
      <c r="J56" s="303"/>
      <c r="K56" s="303"/>
      <c r="L56" s="303"/>
      <c r="M56" s="303"/>
      <c r="N56" s="305"/>
    </row>
    <row r="57" spans="3:14" x14ac:dyDescent="0.25">
      <c r="C57" s="306"/>
      <c r="D57" s="303"/>
      <c r="E57" s="303"/>
      <c r="F57" s="303"/>
      <c r="G57" s="303"/>
      <c r="H57" s="303"/>
      <c r="I57" s="303"/>
      <c r="J57" s="303"/>
      <c r="K57" s="303"/>
      <c r="L57" s="303"/>
      <c r="M57" s="303"/>
      <c r="N57" s="305"/>
    </row>
    <row r="58" spans="3:14" x14ac:dyDescent="0.25">
      <c r="C58" s="306"/>
      <c r="D58" s="303"/>
      <c r="E58" s="303"/>
      <c r="F58" s="303"/>
      <c r="G58" s="303"/>
      <c r="H58" s="303"/>
      <c r="I58" s="303"/>
      <c r="J58" s="303"/>
      <c r="K58" s="303"/>
      <c r="L58" s="303"/>
      <c r="M58" s="303"/>
      <c r="N58" s="305"/>
    </row>
    <row r="59" spans="3:14" x14ac:dyDescent="0.25">
      <c r="C59" s="306"/>
      <c r="D59" s="303"/>
      <c r="E59" s="303"/>
      <c r="F59" s="303"/>
      <c r="G59" s="303"/>
      <c r="H59" s="303"/>
      <c r="I59" s="303"/>
      <c r="J59" s="303"/>
      <c r="K59" s="303"/>
      <c r="L59" s="303"/>
      <c r="M59" s="303"/>
      <c r="N59" s="305"/>
    </row>
    <row r="60" spans="3:14" x14ac:dyDescent="0.25">
      <c r="C60" s="306"/>
      <c r="D60" s="303"/>
      <c r="E60" s="303"/>
      <c r="F60" s="303"/>
      <c r="G60" s="303"/>
      <c r="H60" s="303"/>
      <c r="I60" s="303"/>
      <c r="J60" s="303"/>
      <c r="K60" s="303"/>
      <c r="L60" s="303"/>
      <c r="M60" s="303"/>
      <c r="N60" s="305"/>
    </row>
    <row r="61" spans="3:14" x14ac:dyDescent="0.25">
      <c r="C61" s="306"/>
      <c r="D61" s="303"/>
      <c r="E61" s="303"/>
      <c r="F61" s="303"/>
      <c r="G61" s="303"/>
      <c r="H61" s="303"/>
      <c r="I61" s="303"/>
      <c r="J61" s="303"/>
      <c r="K61" s="303"/>
      <c r="L61" s="303"/>
      <c r="M61" s="303"/>
      <c r="N61" s="305"/>
    </row>
    <row r="62" spans="3:14" x14ac:dyDescent="0.25">
      <c r="C62" s="306"/>
      <c r="D62" s="303"/>
      <c r="E62" s="303"/>
      <c r="F62" s="303"/>
      <c r="G62" s="303"/>
      <c r="H62" s="303"/>
      <c r="I62" s="303"/>
      <c r="J62" s="303"/>
      <c r="K62" s="303"/>
      <c r="L62" s="303"/>
      <c r="M62" s="303"/>
      <c r="N62" s="305"/>
    </row>
    <row r="63" spans="3:14" x14ac:dyDescent="0.25">
      <c r="C63" s="306"/>
      <c r="D63" s="303"/>
      <c r="E63" s="303"/>
      <c r="F63" s="303"/>
      <c r="G63" s="303"/>
      <c r="H63" s="303"/>
      <c r="I63" s="303"/>
      <c r="J63" s="303"/>
      <c r="K63" s="303"/>
      <c r="L63" s="303"/>
      <c r="M63" s="303"/>
      <c r="N63" s="305"/>
    </row>
    <row r="64" spans="3:14" x14ac:dyDescent="0.25">
      <c r="C64" s="306"/>
      <c r="D64" s="303"/>
      <c r="E64" s="303"/>
      <c r="F64" s="303"/>
      <c r="G64" s="303"/>
      <c r="H64" s="303"/>
      <c r="I64" s="303"/>
      <c r="J64" s="303"/>
      <c r="K64" s="303"/>
      <c r="L64" s="303"/>
      <c r="M64" s="303"/>
      <c r="N64" s="1457"/>
    </row>
    <row r="65" spans="3:14" ht="12.75" customHeight="1" x14ac:dyDescent="0.25">
      <c r="C65" s="306"/>
      <c r="D65" s="303"/>
      <c r="E65" s="303"/>
      <c r="F65" s="303"/>
      <c r="G65" s="303"/>
      <c r="H65" s="303"/>
      <c r="I65" s="303"/>
      <c r="J65" s="303"/>
      <c r="K65" s="303"/>
      <c r="L65" s="303"/>
      <c r="M65" s="303"/>
      <c r="N65" s="1457"/>
    </row>
    <row r="66" spans="3:14" x14ac:dyDescent="0.25">
      <c r="C66" s="307"/>
      <c r="D66" s="307"/>
      <c r="E66" s="307"/>
      <c r="F66" s="307"/>
      <c r="G66" s="307"/>
      <c r="H66" s="307"/>
      <c r="I66" s="307"/>
      <c r="J66" s="307"/>
      <c r="K66" s="307"/>
      <c r="L66" s="307"/>
      <c r="M66" s="307"/>
      <c r="N66" s="305"/>
    </row>
    <row r="67" spans="3:14" x14ac:dyDescent="0.25">
      <c r="C67" s="307"/>
      <c r="D67" s="307"/>
      <c r="E67" s="307"/>
      <c r="F67" s="307"/>
      <c r="G67" s="307"/>
      <c r="H67" s="307"/>
      <c r="I67" s="307"/>
      <c r="J67" s="307"/>
      <c r="K67" s="307"/>
      <c r="L67" s="307"/>
      <c r="M67" s="307"/>
      <c r="N67" s="305"/>
    </row>
    <row r="68" spans="3:14" x14ac:dyDescent="0.25">
      <c r="C68" s="307"/>
      <c r="D68" s="307"/>
      <c r="E68" s="307"/>
      <c r="F68" s="307"/>
      <c r="G68" s="307"/>
      <c r="H68" s="307"/>
      <c r="I68" s="307"/>
      <c r="J68" s="307"/>
      <c r="K68" s="307"/>
      <c r="L68" s="307"/>
      <c r="M68" s="307"/>
      <c r="N68" s="305"/>
    </row>
    <row r="69" spans="3:14" x14ac:dyDescent="0.25">
      <c r="C69" s="307"/>
      <c r="D69" s="307"/>
      <c r="E69" s="307"/>
      <c r="F69" s="307"/>
      <c r="G69" s="307"/>
      <c r="H69" s="307"/>
      <c r="I69" s="307"/>
      <c r="J69" s="307"/>
      <c r="K69" s="307"/>
      <c r="L69" s="307"/>
      <c r="M69" s="307"/>
      <c r="N69" s="305"/>
    </row>
    <row r="70" spans="3:14" x14ac:dyDescent="0.25">
      <c r="C70" s="307"/>
      <c r="D70" s="307"/>
      <c r="E70" s="307"/>
      <c r="F70" s="307"/>
      <c r="G70" s="307"/>
      <c r="H70" s="307"/>
      <c r="I70" s="307"/>
      <c r="J70" s="307"/>
      <c r="K70" s="307"/>
      <c r="L70" s="307"/>
      <c r="M70" s="307"/>
      <c r="N70" s="305"/>
    </row>
    <row r="71" spans="3:14" x14ac:dyDescent="0.25">
      <c r="C71" s="307"/>
      <c r="D71" s="307"/>
      <c r="E71" s="307"/>
      <c r="F71" s="307"/>
      <c r="G71" s="307"/>
      <c r="H71" s="307"/>
      <c r="I71" s="307"/>
      <c r="J71" s="307"/>
      <c r="K71" s="307"/>
      <c r="L71" s="307"/>
      <c r="M71" s="307"/>
      <c r="N71" s="305"/>
    </row>
    <row r="72" spans="3:14" x14ac:dyDescent="0.25">
      <c r="C72" s="307"/>
      <c r="D72" s="307"/>
      <c r="E72" s="307"/>
      <c r="F72" s="307"/>
      <c r="G72" s="307"/>
      <c r="H72" s="307"/>
      <c r="I72" s="307"/>
      <c r="J72" s="307"/>
      <c r="K72" s="307"/>
      <c r="L72" s="307"/>
      <c r="M72" s="307"/>
      <c r="N72" s="305"/>
    </row>
    <row r="73" spans="3:14" x14ac:dyDescent="0.25">
      <c r="C73" s="307"/>
      <c r="D73" s="307"/>
      <c r="E73" s="307"/>
      <c r="F73" s="307"/>
      <c r="G73" s="307"/>
      <c r="H73" s="307"/>
      <c r="I73" s="307"/>
      <c r="J73" s="307"/>
      <c r="K73" s="307"/>
      <c r="L73" s="307"/>
      <c r="M73" s="307"/>
      <c r="N73" s="305"/>
    </row>
    <row r="74" spans="3:14" x14ac:dyDescent="0.25">
      <c r="C74" s="307"/>
      <c r="D74" s="307"/>
      <c r="E74" s="307"/>
      <c r="F74" s="307"/>
      <c r="G74" s="307"/>
      <c r="H74" s="307"/>
      <c r="I74" s="307"/>
      <c r="J74" s="307"/>
      <c r="K74" s="307"/>
      <c r="L74" s="307"/>
      <c r="M74" s="307"/>
      <c r="N74" s="305"/>
    </row>
    <row r="75" spans="3:14" x14ac:dyDescent="0.25">
      <c r="C75" s="307"/>
      <c r="D75" s="307"/>
      <c r="E75" s="307"/>
      <c r="F75" s="307"/>
      <c r="G75" s="307"/>
      <c r="H75" s="307"/>
      <c r="I75" s="307"/>
      <c r="J75" s="307"/>
      <c r="K75" s="307"/>
      <c r="L75" s="307"/>
      <c r="M75" s="307"/>
      <c r="N75" s="305"/>
    </row>
    <row r="76" spans="3:14" x14ac:dyDescent="0.25">
      <c r="C76" s="307"/>
      <c r="D76" s="307"/>
      <c r="E76" s="307"/>
      <c r="F76" s="307"/>
      <c r="G76" s="307"/>
      <c r="H76" s="307"/>
      <c r="I76" s="307"/>
      <c r="J76" s="307"/>
      <c r="K76" s="307"/>
      <c r="L76" s="307"/>
      <c r="M76" s="307"/>
      <c r="N76" s="305"/>
    </row>
    <row r="77" spans="3:14" x14ac:dyDescent="0.25">
      <c r="C77" s="307"/>
      <c r="D77" s="307"/>
      <c r="E77" s="307"/>
      <c r="F77" s="307"/>
      <c r="G77" s="307"/>
      <c r="H77" s="307"/>
      <c r="I77" s="307"/>
      <c r="J77" s="307"/>
      <c r="K77" s="307"/>
      <c r="L77" s="307"/>
      <c r="M77" s="307"/>
      <c r="N77" s="305"/>
    </row>
    <row r="78" spans="3:14" x14ac:dyDescent="0.25">
      <c r="C78" s="307"/>
      <c r="D78" s="307"/>
      <c r="E78" s="307"/>
      <c r="F78" s="307"/>
      <c r="G78" s="307"/>
      <c r="H78" s="307"/>
      <c r="I78" s="307"/>
      <c r="J78" s="307"/>
      <c r="K78" s="307"/>
      <c r="L78" s="307"/>
      <c r="M78" s="307"/>
      <c r="N78" s="305"/>
    </row>
    <row r="79" spans="3:14" x14ac:dyDescent="0.25">
      <c r="C79" s="307"/>
      <c r="D79" s="307"/>
      <c r="E79" s="307"/>
      <c r="F79" s="307"/>
      <c r="G79" s="307"/>
      <c r="H79" s="307"/>
      <c r="I79" s="307"/>
      <c r="J79" s="307"/>
      <c r="K79" s="307"/>
      <c r="L79" s="307"/>
      <c r="M79" s="307"/>
      <c r="N79" s="305"/>
    </row>
    <row r="80" spans="3:14" x14ac:dyDescent="0.25">
      <c r="C80" s="307"/>
      <c r="D80" s="307"/>
      <c r="E80" s="307"/>
      <c r="F80" s="307"/>
      <c r="G80" s="307"/>
      <c r="H80" s="307"/>
      <c r="I80" s="307"/>
      <c r="J80" s="307"/>
      <c r="K80" s="307"/>
      <c r="L80" s="307"/>
      <c r="M80" s="307"/>
      <c r="N80" s="305"/>
    </row>
    <row r="81" spans="3:14" x14ac:dyDescent="0.25">
      <c r="C81" s="307"/>
      <c r="D81" s="307"/>
      <c r="E81" s="307"/>
      <c r="F81" s="307"/>
      <c r="G81" s="307"/>
      <c r="H81" s="307"/>
      <c r="I81" s="307"/>
      <c r="J81" s="307"/>
      <c r="K81" s="307"/>
      <c r="L81" s="307"/>
      <c r="M81" s="307"/>
      <c r="N81" s="305"/>
    </row>
    <row r="82" spans="3:14" x14ac:dyDescent="0.25">
      <c r="C82" s="307"/>
      <c r="D82" s="307"/>
      <c r="E82" s="307"/>
      <c r="F82" s="307"/>
      <c r="G82" s="307"/>
      <c r="H82" s="307"/>
      <c r="I82" s="307"/>
      <c r="J82" s="307"/>
      <c r="K82" s="307"/>
      <c r="L82" s="307"/>
      <c r="M82" s="307"/>
      <c r="N82" s="305"/>
    </row>
    <row r="83" spans="3:14" x14ac:dyDescent="0.25">
      <c r="C83" s="307"/>
      <c r="D83" s="307"/>
      <c r="E83" s="307"/>
      <c r="F83" s="307"/>
      <c r="G83" s="307"/>
      <c r="H83" s="307"/>
      <c r="I83" s="307"/>
      <c r="J83" s="307"/>
      <c r="K83" s="307"/>
      <c r="L83" s="307"/>
      <c r="M83" s="307"/>
      <c r="N83" s="305"/>
    </row>
    <row r="84" spans="3:14" x14ac:dyDescent="0.25">
      <c r="C84" s="307"/>
      <c r="D84" s="307"/>
      <c r="E84" s="307"/>
      <c r="F84" s="307"/>
      <c r="G84" s="307"/>
      <c r="H84" s="307"/>
      <c r="I84" s="307"/>
      <c r="J84" s="307"/>
      <c r="K84" s="307"/>
      <c r="L84" s="307"/>
      <c r="M84" s="307"/>
      <c r="N84" s="305"/>
    </row>
    <row r="85" spans="3:14" x14ac:dyDescent="0.25">
      <c r="C85" s="307"/>
      <c r="D85" s="307"/>
      <c r="E85" s="307"/>
      <c r="F85" s="307"/>
      <c r="G85" s="307"/>
      <c r="H85" s="307"/>
      <c r="I85" s="307"/>
      <c r="J85" s="307"/>
      <c r="K85" s="307"/>
      <c r="L85" s="307"/>
      <c r="M85" s="307"/>
      <c r="N85" s="305"/>
    </row>
    <row r="86" spans="3:14" x14ac:dyDescent="0.25">
      <c r="C86" s="307"/>
      <c r="D86" s="307"/>
      <c r="E86" s="307"/>
      <c r="F86" s="307"/>
      <c r="G86" s="307"/>
      <c r="H86" s="307"/>
      <c r="I86" s="307"/>
      <c r="J86" s="307"/>
      <c r="K86" s="307"/>
      <c r="L86" s="307"/>
      <c r="M86" s="307"/>
      <c r="N86" s="305"/>
    </row>
    <row r="87" spans="3:14" x14ac:dyDescent="0.25">
      <c r="C87" s="307"/>
      <c r="D87" s="307"/>
      <c r="E87" s="307"/>
      <c r="F87" s="307"/>
      <c r="G87" s="307"/>
      <c r="H87" s="307"/>
      <c r="I87" s="307"/>
      <c r="J87" s="307"/>
      <c r="K87" s="307"/>
      <c r="L87" s="307"/>
      <c r="M87" s="307"/>
      <c r="N87" s="305"/>
    </row>
    <row r="88" spans="3:14" x14ac:dyDescent="0.25">
      <c r="C88" s="307"/>
      <c r="D88" s="307"/>
      <c r="E88" s="307"/>
      <c r="F88" s="307"/>
      <c r="G88" s="307"/>
      <c r="H88" s="307"/>
      <c r="I88" s="307"/>
      <c r="J88" s="307"/>
      <c r="K88" s="307"/>
      <c r="L88" s="307"/>
      <c r="M88" s="307"/>
      <c r="N88" s="305"/>
    </row>
    <row r="89" spans="3:14" x14ac:dyDescent="0.25">
      <c r="C89" s="307"/>
      <c r="D89" s="307"/>
      <c r="E89" s="307"/>
      <c r="F89" s="307"/>
      <c r="G89" s="307"/>
      <c r="H89" s="307"/>
      <c r="I89" s="307"/>
      <c r="J89" s="307"/>
      <c r="K89" s="307"/>
      <c r="L89" s="307"/>
      <c r="M89" s="307"/>
      <c r="N89" s="305"/>
    </row>
    <row r="90" spans="3:14" x14ac:dyDescent="0.25">
      <c r="C90" s="307"/>
      <c r="D90" s="307"/>
      <c r="E90" s="307"/>
      <c r="F90" s="307"/>
      <c r="G90" s="307"/>
      <c r="H90" s="307"/>
      <c r="I90" s="307"/>
      <c r="J90" s="307"/>
      <c r="K90" s="307"/>
      <c r="L90" s="307"/>
      <c r="M90" s="307"/>
      <c r="N90" s="305"/>
    </row>
    <row r="91" spans="3:14" x14ac:dyDescent="0.25">
      <c r="C91" s="307"/>
      <c r="D91" s="307"/>
      <c r="E91" s="307"/>
      <c r="F91" s="307"/>
      <c r="G91" s="307"/>
      <c r="H91" s="307"/>
      <c r="I91" s="307"/>
      <c r="J91" s="307"/>
      <c r="K91" s="307"/>
      <c r="L91" s="307"/>
      <c r="M91" s="307"/>
      <c r="N91" s="305"/>
    </row>
    <row r="92" spans="3:14" x14ac:dyDescent="0.25">
      <c r="C92" s="307"/>
      <c r="D92" s="307"/>
      <c r="E92" s="307"/>
      <c r="F92" s="307"/>
      <c r="G92" s="307"/>
      <c r="H92" s="307"/>
      <c r="I92" s="307"/>
      <c r="J92" s="307"/>
      <c r="K92" s="307"/>
      <c r="L92" s="307"/>
      <c r="M92" s="307"/>
      <c r="N92" s="305"/>
    </row>
    <row r="93" spans="3:14" x14ac:dyDescent="0.25">
      <c r="C93" s="307"/>
      <c r="D93" s="307"/>
      <c r="E93" s="307"/>
      <c r="F93" s="307"/>
      <c r="G93" s="307"/>
      <c r="H93" s="307"/>
      <c r="I93" s="307"/>
      <c r="J93" s="307"/>
      <c r="K93" s="307"/>
      <c r="L93" s="307"/>
      <c r="M93" s="307"/>
      <c r="N93" s="305"/>
    </row>
    <row r="94" spans="3:14" x14ac:dyDescent="0.25">
      <c r="C94" s="307"/>
      <c r="D94" s="307"/>
      <c r="E94" s="307"/>
      <c r="F94" s="307"/>
      <c r="G94" s="307"/>
      <c r="H94" s="307"/>
      <c r="I94" s="307"/>
      <c r="J94" s="307"/>
      <c r="K94" s="307"/>
      <c r="L94" s="307"/>
      <c r="M94" s="307"/>
      <c r="N94" s="305"/>
    </row>
    <row r="95" spans="3:14" x14ac:dyDescent="0.25">
      <c r="C95" s="307"/>
      <c r="D95" s="307"/>
      <c r="E95" s="307"/>
      <c r="F95" s="307"/>
      <c r="G95" s="307"/>
      <c r="H95" s="307"/>
      <c r="I95" s="307"/>
      <c r="J95" s="307"/>
      <c r="K95" s="307"/>
      <c r="L95" s="307"/>
      <c r="M95" s="307"/>
      <c r="N95" s="305"/>
    </row>
    <row r="96" spans="3:14" x14ac:dyDescent="0.25">
      <c r="C96" s="307"/>
      <c r="D96" s="307"/>
      <c r="E96" s="307"/>
      <c r="F96" s="307"/>
      <c r="G96" s="307"/>
      <c r="H96" s="307"/>
      <c r="I96" s="307"/>
      <c r="J96" s="307"/>
      <c r="K96" s="307"/>
      <c r="L96" s="307"/>
      <c r="M96" s="307"/>
      <c r="N96" s="305"/>
    </row>
    <row r="97" spans="3:14" x14ac:dyDescent="0.25">
      <c r="C97" s="307"/>
      <c r="D97" s="307"/>
      <c r="E97" s="307"/>
      <c r="F97" s="307"/>
      <c r="G97" s="307"/>
      <c r="H97" s="307"/>
      <c r="I97" s="307"/>
      <c r="J97" s="307"/>
      <c r="K97" s="307"/>
      <c r="L97" s="307"/>
      <c r="M97" s="307"/>
      <c r="N97" s="305"/>
    </row>
    <row r="98" spans="3:14" x14ac:dyDescent="0.25">
      <c r="C98" s="307"/>
      <c r="D98" s="307"/>
      <c r="E98" s="307"/>
      <c r="F98" s="307"/>
      <c r="G98" s="307"/>
      <c r="H98" s="307"/>
      <c r="I98" s="307"/>
      <c r="J98" s="307"/>
      <c r="K98" s="307"/>
      <c r="L98" s="307"/>
      <c r="M98" s="307"/>
      <c r="N98" s="305"/>
    </row>
    <row r="99" spans="3:14" x14ac:dyDescent="0.25">
      <c r="C99" s="307"/>
      <c r="D99" s="307"/>
      <c r="E99" s="307"/>
      <c r="F99" s="307"/>
      <c r="G99" s="307"/>
      <c r="H99" s="307"/>
      <c r="I99" s="307"/>
      <c r="J99" s="307"/>
      <c r="K99" s="307"/>
      <c r="L99" s="307"/>
      <c r="M99" s="307"/>
      <c r="N99" s="305"/>
    </row>
    <row r="100" spans="3:14" x14ac:dyDescent="0.25">
      <c r="C100" s="307"/>
      <c r="D100" s="307"/>
      <c r="E100" s="307"/>
      <c r="F100" s="307"/>
      <c r="G100" s="307"/>
      <c r="H100" s="307"/>
      <c r="I100" s="307"/>
      <c r="J100" s="307"/>
      <c r="K100" s="307"/>
      <c r="L100" s="307"/>
      <c r="M100" s="307"/>
      <c r="N100" s="305"/>
    </row>
    <row r="101" spans="3:14" x14ac:dyDescent="0.25">
      <c r="C101" s="304"/>
      <c r="D101" s="304"/>
      <c r="E101" s="304"/>
      <c r="F101" s="304"/>
      <c r="G101" s="304"/>
      <c r="H101" s="304"/>
      <c r="I101" s="304"/>
      <c r="J101" s="304"/>
      <c r="K101" s="304"/>
      <c r="L101" s="304"/>
      <c r="M101" s="304"/>
      <c r="N101" s="305"/>
    </row>
    <row r="102" spans="3:14" x14ac:dyDescent="0.25">
      <c r="C102" s="304"/>
      <c r="D102" s="304"/>
      <c r="E102" s="304"/>
      <c r="F102" s="304"/>
      <c r="G102" s="304"/>
      <c r="H102" s="304"/>
      <c r="I102" s="304"/>
      <c r="J102" s="304"/>
      <c r="K102" s="304"/>
      <c r="L102" s="304"/>
      <c r="M102" s="304"/>
      <c r="N102" s="305"/>
    </row>
    <row r="103" spans="3:14" x14ac:dyDescent="0.25">
      <c r="C103" s="304"/>
      <c r="D103" s="304"/>
      <c r="E103" s="304"/>
      <c r="F103" s="304"/>
      <c r="G103" s="304"/>
      <c r="H103" s="304"/>
      <c r="I103" s="304"/>
      <c r="J103" s="304"/>
      <c r="K103" s="304"/>
      <c r="L103" s="304"/>
      <c r="M103" s="304"/>
      <c r="N103" s="305"/>
    </row>
    <row r="104" spans="3:14" x14ac:dyDescent="0.25">
      <c r="C104" s="304"/>
      <c r="D104" s="304"/>
      <c r="E104" s="304"/>
      <c r="F104" s="304"/>
      <c r="G104" s="304"/>
      <c r="H104" s="304"/>
      <c r="I104" s="304"/>
      <c r="J104" s="304"/>
      <c r="K104" s="304"/>
      <c r="L104" s="304"/>
      <c r="M104" s="304"/>
      <c r="N104" s="305"/>
    </row>
    <row r="105" spans="3:14" x14ac:dyDescent="0.25">
      <c r="C105" s="304"/>
      <c r="D105" s="304"/>
      <c r="E105" s="304"/>
      <c r="F105" s="304"/>
      <c r="G105" s="304"/>
      <c r="H105" s="304"/>
      <c r="I105" s="304"/>
      <c r="J105" s="304"/>
      <c r="K105" s="304"/>
      <c r="L105" s="304"/>
      <c r="M105" s="304"/>
      <c r="N105" s="305"/>
    </row>
    <row r="106" spans="3:14" x14ac:dyDescent="0.25">
      <c r="C106" s="304"/>
      <c r="D106" s="304"/>
      <c r="E106" s="304"/>
      <c r="F106" s="304"/>
      <c r="G106" s="304"/>
      <c r="H106" s="304"/>
      <c r="I106" s="304"/>
      <c r="J106" s="304"/>
      <c r="K106" s="304"/>
      <c r="L106" s="304"/>
      <c r="M106" s="304"/>
      <c r="N106" s="305"/>
    </row>
    <row r="107" spans="3:14" x14ac:dyDescent="0.25">
      <c r="C107" s="304"/>
      <c r="D107" s="304"/>
      <c r="E107" s="304"/>
      <c r="F107" s="304"/>
      <c r="G107" s="304"/>
      <c r="H107" s="304"/>
      <c r="I107" s="304"/>
      <c r="J107" s="304"/>
      <c r="K107" s="304"/>
      <c r="L107" s="304"/>
      <c r="M107" s="304"/>
      <c r="N107" s="305"/>
    </row>
    <row r="108" spans="3:14" x14ac:dyDescent="0.25">
      <c r="C108" s="304"/>
      <c r="D108" s="304"/>
      <c r="E108" s="304"/>
      <c r="F108" s="304"/>
      <c r="G108" s="304"/>
      <c r="H108" s="304"/>
      <c r="I108" s="304"/>
      <c r="J108" s="304"/>
      <c r="K108" s="304"/>
      <c r="L108" s="304"/>
      <c r="M108" s="304"/>
      <c r="N108" s="305"/>
    </row>
    <row r="109" spans="3:14" x14ac:dyDescent="0.25">
      <c r="C109" s="304"/>
      <c r="D109" s="304"/>
      <c r="E109" s="304"/>
      <c r="F109" s="304"/>
      <c r="G109" s="304"/>
      <c r="H109" s="304"/>
      <c r="I109" s="304"/>
      <c r="J109" s="304"/>
      <c r="K109" s="304"/>
      <c r="L109" s="304"/>
      <c r="M109" s="304"/>
      <c r="N109" s="305"/>
    </row>
    <row r="110" spans="3:14" x14ac:dyDescent="0.25">
      <c r="C110" s="304"/>
      <c r="D110" s="304"/>
      <c r="E110" s="304"/>
      <c r="F110" s="304"/>
      <c r="G110" s="304"/>
      <c r="H110" s="304"/>
      <c r="I110" s="304"/>
      <c r="J110" s="304"/>
      <c r="K110" s="304"/>
      <c r="L110" s="304"/>
      <c r="M110" s="304"/>
      <c r="N110" s="305"/>
    </row>
    <row r="111" spans="3:14" x14ac:dyDescent="0.25">
      <c r="C111" s="304"/>
      <c r="D111" s="304"/>
      <c r="E111" s="304"/>
      <c r="F111" s="304"/>
      <c r="G111" s="304"/>
      <c r="H111" s="304"/>
      <c r="I111" s="304"/>
      <c r="J111" s="304"/>
      <c r="K111" s="304"/>
      <c r="L111" s="304"/>
      <c r="M111" s="304"/>
      <c r="N111" s="305"/>
    </row>
    <row r="112" spans="3:14" x14ac:dyDescent="0.25">
      <c r="C112" s="304"/>
      <c r="D112" s="304"/>
      <c r="E112" s="304"/>
      <c r="F112" s="304"/>
      <c r="G112" s="304"/>
      <c r="H112" s="304"/>
      <c r="I112" s="304"/>
      <c r="J112" s="304"/>
      <c r="K112" s="304"/>
      <c r="L112" s="304"/>
      <c r="M112" s="304"/>
      <c r="N112" s="305"/>
    </row>
    <row r="113" spans="3:14" x14ac:dyDescent="0.25">
      <c r="C113" s="304"/>
      <c r="D113" s="304"/>
      <c r="E113" s="304"/>
      <c r="F113" s="304"/>
      <c r="G113" s="304"/>
      <c r="H113" s="304"/>
      <c r="I113" s="304"/>
      <c r="J113" s="304"/>
      <c r="K113" s="304"/>
      <c r="L113" s="304"/>
      <c r="M113" s="304"/>
      <c r="N113" s="305"/>
    </row>
    <row r="114" spans="3:14" x14ac:dyDescent="0.25">
      <c r="C114" s="304"/>
      <c r="D114" s="304"/>
      <c r="E114" s="304"/>
      <c r="F114" s="304"/>
      <c r="G114" s="304"/>
      <c r="H114" s="304"/>
      <c r="I114" s="304"/>
      <c r="J114" s="304"/>
      <c r="K114" s="304"/>
      <c r="L114" s="304"/>
      <c r="M114" s="304"/>
      <c r="N114" s="305"/>
    </row>
    <row r="115" spans="3:14" x14ac:dyDescent="0.25">
      <c r="C115" s="304"/>
      <c r="D115" s="304"/>
      <c r="E115" s="304"/>
      <c r="F115" s="304"/>
      <c r="G115" s="304"/>
      <c r="H115" s="304"/>
      <c r="I115" s="304"/>
      <c r="J115" s="304"/>
      <c r="K115" s="304"/>
      <c r="L115" s="304"/>
      <c r="M115" s="304"/>
      <c r="N115" s="305"/>
    </row>
    <row r="116" spans="3:14" x14ac:dyDescent="0.25">
      <c r="C116" s="304"/>
      <c r="D116" s="304"/>
      <c r="E116" s="304"/>
      <c r="F116" s="304"/>
      <c r="G116" s="304"/>
      <c r="H116" s="304"/>
      <c r="I116" s="304"/>
      <c r="J116" s="304"/>
      <c r="K116" s="304"/>
      <c r="L116" s="304"/>
      <c r="M116" s="304"/>
      <c r="N116" s="305"/>
    </row>
    <row r="117" spans="3:14" x14ac:dyDescent="0.25">
      <c r="C117" s="304"/>
      <c r="D117" s="304"/>
      <c r="E117" s="304"/>
      <c r="F117" s="304"/>
      <c r="G117" s="304"/>
      <c r="H117" s="304"/>
      <c r="I117" s="304"/>
      <c r="J117" s="304"/>
      <c r="K117" s="304"/>
      <c r="L117" s="304"/>
      <c r="M117" s="304"/>
      <c r="N117" s="305"/>
    </row>
    <row r="118" spans="3:14" x14ac:dyDescent="0.25">
      <c r="C118" s="304"/>
      <c r="D118" s="304"/>
      <c r="E118" s="304"/>
      <c r="F118" s="304"/>
      <c r="G118" s="304"/>
      <c r="H118" s="304"/>
      <c r="I118" s="304"/>
      <c r="J118" s="304"/>
      <c r="K118" s="304"/>
      <c r="L118" s="304"/>
      <c r="M118" s="304"/>
      <c r="N118" s="305"/>
    </row>
    <row r="119" spans="3:14" x14ac:dyDescent="0.25">
      <c r="C119" s="304"/>
      <c r="D119" s="304"/>
      <c r="E119" s="304"/>
      <c r="F119" s="304"/>
      <c r="G119" s="304"/>
      <c r="H119" s="304"/>
      <c r="I119" s="304"/>
      <c r="J119" s="304"/>
      <c r="K119" s="304"/>
      <c r="L119" s="304"/>
      <c r="M119" s="304"/>
      <c r="N119" s="305"/>
    </row>
    <row r="120" spans="3:14" x14ac:dyDescent="0.25">
      <c r="C120" s="304"/>
      <c r="D120" s="304"/>
      <c r="E120" s="304"/>
      <c r="F120" s="304"/>
      <c r="G120" s="304"/>
      <c r="H120" s="304"/>
      <c r="I120" s="304"/>
      <c r="J120" s="304"/>
      <c r="K120" s="304"/>
      <c r="L120" s="304"/>
      <c r="M120" s="304"/>
      <c r="N120" s="305"/>
    </row>
    <row r="121" spans="3:14" x14ac:dyDescent="0.25">
      <c r="C121" s="304"/>
      <c r="D121" s="304"/>
      <c r="E121" s="304"/>
      <c r="F121" s="304"/>
      <c r="G121" s="304"/>
      <c r="H121" s="304"/>
      <c r="I121" s="304"/>
      <c r="J121" s="304"/>
      <c r="K121" s="304"/>
      <c r="L121" s="304"/>
      <c r="M121" s="304"/>
      <c r="N121" s="305"/>
    </row>
    <row r="122" spans="3:14" x14ac:dyDescent="0.25">
      <c r="C122" s="304"/>
      <c r="D122" s="304"/>
      <c r="E122" s="304"/>
      <c r="F122" s="304"/>
      <c r="G122" s="304"/>
      <c r="H122" s="304"/>
      <c r="I122" s="304"/>
      <c r="J122" s="304"/>
      <c r="K122" s="304"/>
      <c r="L122" s="304"/>
      <c r="M122" s="304"/>
      <c r="N122" s="305"/>
    </row>
    <row r="123" spans="3:14" x14ac:dyDescent="0.25">
      <c r="C123" s="304"/>
      <c r="D123" s="304"/>
      <c r="E123" s="304"/>
      <c r="F123" s="304"/>
      <c r="G123" s="304"/>
      <c r="H123" s="304"/>
      <c r="I123" s="304"/>
      <c r="J123" s="304"/>
      <c r="K123" s="304"/>
      <c r="L123" s="304"/>
      <c r="M123" s="304"/>
      <c r="N123" s="305"/>
    </row>
    <row r="124" spans="3:14" x14ac:dyDescent="0.25">
      <c r="C124" s="304"/>
      <c r="D124" s="304"/>
      <c r="E124" s="304"/>
      <c r="F124" s="304"/>
      <c r="G124" s="304"/>
      <c r="H124" s="304"/>
      <c r="I124" s="304"/>
      <c r="J124" s="304"/>
      <c r="K124" s="304"/>
      <c r="L124" s="304"/>
      <c r="M124" s="304"/>
      <c r="N124" s="305"/>
    </row>
    <row r="125" spans="3:14" x14ac:dyDescent="0.25">
      <c r="C125" s="304"/>
      <c r="D125" s="304"/>
      <c r="E125" s="304"/>
      <c r="F125" s="304"/>
      <c r="G125" s="304"/>
      <c r="H125" s="304"/>
      <c r="I125" s="304"/>
      <c r="J125" s="304"/>
      <c r="K125" s="304"/>
      <c r="L125" s="304"/>
      <c r="M125" s="304"/>
      <c r="N125" s="305"/>
    </row>
    <row r="126" spans="3:14" x14ac:dyDescent="0.25">
      <c r="C126" s="304"/>
      <c r="D126" s="304"/>
      <c r="E126" s="304"/>
      <c r="F126" s="304"/>
      <c r="G126" s="304"/>
      <c r="H126" s="304"/>
      <c r="I126" s="304"/>
      <c r="J126" s="304"/>
      <c r="K126" s="304"/>
      <c r="L126" s="304"/>
      <c r="M126" s="304"/>
      <c r="N126" s="305"/>
    </row>
    <row r="127" spans="3:14" x14ac:dyDescent="0.25">
      <c r="C127" s="304"/>
      <c r="D127" s="304"/>
      <c r="E127" s="304"/>
      <c r="F127" s="304"/>
      <c r="G127" s="304"/>
      <c r="H127" s="304"/>
      <c r="I127" s="304"/>
      <c r="J127" s="304"/>
      <c r="K127" s="304"/>
      <c r="L127" s="304"/>
      <c r="M127" s="304"/>
      <c r="N127" s="305"/>
    </row>
    <row r="128" spans="3:14" x14ac:dyDescent="0.25">
      <c r="C128" s="304"/>
      <c r="D128" s="304"/>
      <c r="E128" s="304"/>
      <c r="F128" s="304"/>
      <c r="G128" s="304"/>
      <c r="H128" s="304"/>
      <c r="I128" s="304"/>
      <c r="J128" s="304"/>
      <c r="K128" s="304"/>
      <c r="L128" s="304"/>
      <c r="M128" s="304"/>
      <c r="N128" s="305"/>
    </row>
    <row r="129" spans="3:14" x14ac:dyDescent="0.25">
      <c r="C129" s="304"/>
      <c r="D129" s="304"/>
      <c r="E129" s="304"/>
      <c r="F129" s="304"/>
      <c r="G129" s="304"/>
      <c r="H129" s="304"/>
      <c r="I129" s="304"/>
      <c r="J129" s="304"/>
      <c r="K129" s="304"/>
      <c r="L129" s="304"/>
      <c r="M129" s="304"/>
      <c r="N129" s="305"/>
    </row>
    <row r="130" spans="3:14" x14ac:dyDescent="0.25">
      <c r="C130" s="304"/>
      <c r="D130" s="304"/>
      <c r="E130" s="304"/>
      <c r="F130" s="304"/>
      <c r="G130" s="304"/>
      <c r="H130" s="304"/>
      <c r="I130" s="304"/>
      <c r="J130" s="304"/>
      <c r="K130" s="304"/>
      <c r="L130" s="304"/>
      <c r="M130" s="304"/>
      <c r="N130" s="305"/>
    </row>
    <row r="131" spans="3:14" x14ac:dyDescent="0.25">
      <c r="C131" s="304"/>
      <c r="D131" s="304"/>
      <c r="E131" s="304"/>
      <c r="F131" s="304"/>
      <c r="G131" s="304"/>
      <c r="H131" s="304"/>
      <c r="I131" s="304"/>
      <c r="J131" s="304"/>
      <c r="K131" s="304"/>
      <c r="L131" s="304"/>
      <c r="M131" s="304"/>
      <c r="N131" s="305"/>
    </row>
    <row r="132" spans="3:14" x14ac:dyDescent="0.25">
      <c r="C132" s="304"/>
      <c r="D132" s="304"/>
      <c r="E132" s="304"/>
      <c r="F132" s="304"/>
      <c r="G132" s="304"/>
      <c r="H132" s="304"/>
      <c r="I132" s="304"/>
      <c r="J132" s="304"/>
      <c r="K132" s="304"/>
      <c r="L132" s="304"/>
      <c r="M132" s="304"/>
      <c r="N132" s="305"/>
    </row>
    <row r="133" spans="3:14" x14ac:dyDescent="0.25">
      <c r="C133" s="304"/>
      <c r="D133" s="304"/>
      <c r="E133" s="304"/>
      <c r="F133" s="304"/>
      <c r="G133" s="304"/>
      <c r="H133" s="304"/>
      <c r="I133" s="304"/>
      <c r="J133" s="304"/>
      <c r="K133" s="304"/>
      <c r="L133" s="304"/>
      <c r="M133" s="304"/>
      <c r="N133" s="305"/>
    </row>
    <row r="134" spans="3:14" x14ac:dyDescent="0.25">
      <c r="C134" s="304"/>
      <c r="D134" s="304"/>
      <c r="E134" s="304"/>
      <c r="F134" s="304"/>
      <c r="G134" s="304"/>
      <c r="H134" s="304"/>
      <c r="I134" s="304"/>
      <c r="J134" s="304"/>
      <c r="K134" s="304"/>
      <c r="L134" s="304"/>
      <c r="M134" s="304"/>
      <c r="N134" s="305"/>
    </row>
    <row r="135" spans="3:14" x14ac:dyDescent="0.25">
      <c r="C135" s="304"/>
      <c r="D135" s="304"/>
      <c r="E135" s="304"/>
      <c r="F135" s="304"/>
      <c r="G135" s="304"/>
      <c r="H135" s="304"/>
      <c r="I135" s="304"/>
      <c r="J135" s="304"/>
      <c r="K135" s="304"/>
      <c r="L135" s="304"/>
      <c r="M135" s="304"/>
      <c r="N135" s="305"/>
    </row>
    <row r="136" spans="3:14" x14ac:dyDescent="0.25">
      <c r="C136" s="304"/>
      <c r="D136" s="304"/>
      <c r="E136" s="304"/>
      <c r="F136" s="304"/>
      <c r="G136" s="304"/>
      <c r="H136" s="304"/>
      <c r="I136" s="304"/>
      <c r="J136" s="304"/>
      <c r="K136" s="304"/>
      <c r="L136" s="304"/>
      <c r="M136" s="304"/>
      <c r="N136" s="305"/>
    </row>
    <row r="137" spans="3:14" x14ac:dyDescent="0.25">
      <c r="C137" s="304"/>
      <c r="D137" s="304"/>
      <c r="E137" s="304"/>
      <c r="F137" s="304"/>
      <c r="G137" s="304"/>
      <c r="H137" s="304"/>
      <c r="I137" s="304"/>
      <c r="J137" s="304"/>
      <c r="K137" s="304"/>
      <c r="L137" s="304"/>
      <c r="M137" s="304"/>
      <c r="N137" s="305"/>
    </row>
    <row r="138" spans="3:14" x14ac:dyDescent="0.25">
      <c r="C138" s="304"/>
      <c r="D138" s="304"/>
      <c r="E138" s="304"/>
      <c r="F138" s="304"/>
      <c r="G138" s="304"/>
      <c r="H138" s="304"/>
      <c r="I138" s="304"/>
      <c r="J138" s="304"/>
      <c r="K138" s="304"/>
      <c r="L138" s="304"/>
      <c r="M138" s="304"/>
      <c r="N138" s="305"/>
    </row>
    <row r="139" spans="3:14" x14ac:dyDescent="0.25">
      <c r="C139" s="304"/>
      <c r="D139" s="304"/>
      <c r="E139" s="304"/>
      <c r="F139" s="304"/>
      <c r="G139" s="304"/>
      <c r="H139" s="304"/>
      <c r="I139" s="304"/>
      <c r="J139" s="304"/>
      <c r="K139" s="304"/>
      <c r="L139" s="304"/>
      <c r="M139" s="304"/>
      <c r="N139" s="305"/>
    </row>
    <row r="140" spans="3:14" x14ac:dyDescent="0.25">
      <c r="C140" s="304"/>
      <c r="D140" s="304"/>
      <c r="E140" s="304"/>
      <c r="F140" s="304"/>
      <c r="G140" s="304"/>
      <c r="H140" s="304"/>
      <c r="I140" s="304"/>
      <c r="J140" s="304"/>
      <c r="K140" s="304"/>
      <c r="L140" s="304"/>
      <c r="M140" s="304"/>
      <c r="N140" s="305"/>
    </row>
    <row r="141" spans="3:14" x14ac:dyDescent="0.25">
      <c r="C141" s="304"/>
      <c r="D141" s="304"/>
      <c r="E141" s="304"/>
      <c r="F141" s="304"/>
      <c r="G141" s="304"/>
      <c r="H141" s="304"/>
      <c r="I141" s="304"/>
      <c r="J141" s="304"/>
      <c r="K141" s="304"/>
      <c r="L141" s="304"/>
      <c r="M141" s="304"/>
      <c r="N141" s="305"/>
    </row>
    <row r="142" spans="3:14" x14ac:dyDescent="0.25">
      <c r="C142" s="304"/>
      <c r="D142" s="304"/>
      <c r="E142" s="304"/>
      <c r="F142" s="304"/>
      <c r="G142" s="304"/>
      <c r="H142" s="304"/>
      <c r="I142" s="304"/>
      <c r="J142" s="304"/>
      <c r="K142" s="304"/>
      <c r="L142" s="304"/>
      <c r="M142" s="304"/>
      <c r="N142" s="305"/>
    </row>
    <row r="143" spans="3:14" x14ac:dyDescent="0.25">
      <c r="C143" s="304"/>
      <c r="D143" s="304"/>
      <c r="E143" s="304"/>
      <c r="F143" s="304"/>
      <c r="G143" s="304"/>
      <c r="H143" s="304"/>
      <c r="I143" s="304"/>
      <c r="J143" s="304"/>
      <c r="K143" s="304"/>
      <c r="L143" s="304"/>
      <c r="M143" s="304"/>
      <c r="N143" s="305"/>
    </row>
    <row r="144" spans="3:14" x14ac:dyDescent="0.25">
      <c r="C144" s="304"/>
      <c r="D144" s="304"/>
      <c r="E144" s="304"/>
      <c r="F144" s="304"/>
      <c r="G144" s="304"/>
      <c r="H144" s="304"/>
      <c r="I144" s="304"/>
      <c r="J144" s="304"/>
      <c r="K144" s="304"/>
      <c r="L144" s="304"/>
      <c r="M144" s="304"/>
      <c r="N144" s="305"/>
    </row>
    <row r="145" spans="3:14" x14ac:dyDescent="0.25">
      <c r="C145" s="304"/>
      <c r="D145" s="304"/>
      <c r="E145" s="304"/>
      <c r="F145" s="304"/>
      <c r="G145" s="304"/>
      <c r="H145" s="304"/>
      <c r="I145" s="304"/>
      <c r="J145" s="304"/>
      <c r="K145" s="304"/>
      <c r="L145" s="304"/>
      <c r="M145" s="304"/>
      <c r="N145" s="305"/>
    </row>
    <row r="146" spans="3:14" x14ac:dyDescent="0.25">
      <c r="C146" s="304"/>
      <c r="D146" s="304"/>
      <c r="E146" s="304"/>
      <c r="F146" s="304"/>
      <c r="G146" s="304"/>
      <c r="H146" s="304"/>
      <c r="I146" s="304"/>
      <c r="J146" s="304"/>
      <c r="K146" s="304"/>
      <c r="L146" s="304"/>
      <c r="M146" s="304"/>
      <c r="N146" s="305"/>
    </row>
    <row r="147" spans="3:14" x14ac:dyDescent="0.25">
      <c r="C147" s="304"/>
      <c r="D147" s="304"/>
      <c r="E147" s="304"/>
      <c r="F147" s="304"/>
      <c r="G147" s="304"/>
      <c r="H147" s="304"/>
      <c r="I147" s="304"/>
      <c r="J147" s="304"/>
      <c r="K147" s="304"/>
      <c r="L147" s="304"/>
      <c r="M147" s="304"/>
      <c r="N147" s="305"/>
    </row>
    <row r="148" spans="3:14" x14ac:dyDescent="0.25">
      <c r="C148" s="304"/>
      <c r="D148" s="304"/>
      <c r="E148" s="304"/>
      <c r="F148" s="304"/>
      <c r="G148" s="304"/>
      <c r="H148" s="304"/>
      <c r="I148" s="304"/>
      <c r="J148" s="304"/>
      <c r="K148" s="304"/>
      <c r="L148" s="304"/>
      <c r="M148" s="304"/>
      <c r="N148" s="305"/>
    </row>
    <row r="149" spans="3:14" x14ac:dyDescent="0.25">
      <c r="C149" s="304"/>
      <c r="D149" s="304"/>
      <c r="E149" s="304"/>
      <c r="F149" s="304"/>
      <c r="G149" s="304"/>
      <c r="H149" s="304"/>
      <c r="I149" s="304"/>
      <c r="J149" s="304"/>
      <c r="K149" s="304"/>
      <c r="L149" s="304"/>
      <c r="M149" s="304"/>
      <c r="N149" s="305"/>
    </row>
    <row r="150" spans="3:14" x14ac:dyDescent="0.25">
      <c r="C150" s="304"/>
      <c r="D150" s="304"/>
      <c r="E150" s="304"/>
      <c r="F150" s="304"/>
      <c r="G150" s="304"/>
      <c r="H150" s="304"/>
      <c r="I150" s="304"/>
      <c r="J150" s="304"/>
      <c r="K150" s="304"/>
      <c r="L150" s="304"/>
      <c r="M150" s="304"/>
      <c r="N150" s="305"/>
    </row>
    <row r="151" spans="3:14" x14ac:dyDescent="0.25">
      <c r="C151" s="304"/>
      <c r="D151" s="304"/>
      <c r="E151" s="304"/>
      <c r="F151" s="304"/>
      <c r="G151" s="304"/>
      <c r="H151" s="304"/>
      <c r="I151" s="304"/>
      <c r="J151" s="304"/>
      <c r="K151" s="304"/>
      <c r="L151" s="304"/>
      <c r="M151" s="304"/>
      <c r="N151" s="305"/>
    </row>
    <row r="152" spans="3:14" x14ac:dyDescent="0.25">
      <c r="C152" s="304"/>
      <c r="D152" s="304"/>
      <c r="E152" s="304"/>
      <c r="F152" s="304"/>
      <c r="G152" s="304"/>
      <c r="H152" s="304"/>
      <c r="I152" s="304"/>
      <c r="J152" s="304"/>
      <c r="K152" s="304"/>
      <c r="L152" s="304"/>
      <c r="M152" s="304"/>
      <c r="N152" s="305"/>
    </row>
    <row r="153" spans="3:14" x14ac:dyDescent="0.25">
      <c r="C153" s="304"/>
      <c r="D153" s="304"/>
      <c r="E153" s="304"/>
      <c r="F153" s="304"/>
      <c r="G153" s="304"/>
      <c r="H153" s="304"/>
      <c r="I153" s="304"/>
      <c r="J153" s="304"/>
      <c r="K153" s="304"/>
      <c r="L153" s="304"/>
      <c r="M153" s="304"/>
      <c r="N153" s="305"/>
    </row>
    <row r="154" spans="3:14" x14ac:dyDescent="0.25">
      <c r="C154" s="304"/>
      <c r="D154" s="304"/>
      <c r="E154" s="304"/>
      <c r="F154" s="304"/>
      <c r="G154" s="304"/>
      <c r="H154" s="304"/>
      <c r="I154" s="304"/>
      <c r="J154" s="304"/>
      <c r="K154" s="304"/>
      <c r="L154" s="304"/>
      <c r="M154" s="304"/>
      <c r="N154" s="305"/>
    </row>
    <row r="155" spans="3:14" x14ac:dyDescent="0.25">
      <c r="C155" s="304"/>
      <c r="D155" s="304"/>
      <c r="E155" s="304"/>
      <c r="F155" s="304"/>
      <c r="G155" s="304"/>
      <c r="H155" s="304"/>
      <c r="I155" s="304"/>
      <c r="J155" s="304"/>
      <c r="K155" s="304"/>
      <c r="L155" s="304"/>
      <c r="M155" s="304"/>
      <c r="N155" s="305"/>
    </row>
    <row r="156" spans="3:14" x14ac:dyDescent="0.25">
      <c r="C156" s="304"/>
      <c r="D156" s="304"/>
      <c r="E156" s="304"/>
      <c r="F156" s="304"/>
      <c r="G156" s="304"/>
      <c r="H156" s="304"/>
      <c r="I156" s="304"/>
      <c r="J156" s="304"/>
      <c r="K156" s="304"/>
      <c r="L156" s="304"/>
      <c r="M156" s="304"/>
      <c r="N156" s="305"/>
    </row>
    <row r="157" spans="3:14" x14ac:dyDescent="0.25">
      <c r="C157" s="304"/>
      <c r="D157" s="304"/>
      <c r="E157" s="304"/>
      <c r="F157" s="304"/>
      <c r="G157" s="304"/>
      <c r="H157" s="304"/>
      <c r="I157" s="304"/>
      <c r="J157" s="304"/>
      <c r="K157" s="304"/>
      <c r="L157" s="304"/>
      <c r="M157" s="304"/>
      <c r="N157" s="305"/>
    </row>
    <row r="158" spans="3:14" x14ac:dyDescent="0.25">
      <c r="C158" s="304"/>
      <c r="D158" s="304"/>
      <c r="E158" s="304"/>
      <c r="F158" s="304"/>
      <c r="G158" s="304"/>
      <c r="H158" s="304"/>
      <c r="I158" s="304"/>
      <c r="J158" s="304"/>
      <c r="K158" s="304"/>
      <c r="L158" s="304"/>
      <c r="M158" s="304"/>
      <c r="N158" s="305"/>
    </row>
    <row r="159" spans="3:14" x14ac:dyDescent="0.25">
      <c r="C159" s="304"/>
      <c r="D159" s="304"/>
      <c r="E159" s="304"/>
      <c r="F159" s="304"/>
      <c r="G159" s="304"/>
      <c r="H159" s="304"/>
      <c r="I159" s="304"/>
      <c r="J159" s="304"/>
      <c r="K159" s="304"/>
      <c r="L159" s="304"/>
      <c r="M159" s="304"/>
      <c r="N159" s="305"/>
    </row>
    <row r="160" spans="3:14" x14ac:dyDescent="0.25">
      <c r="C160" s="304"/>
      <c r="D160" s="304"/>
      <c r="E160" s="304"/>
      <c r="F160" s="304"/>
      <c r="G160" s="304"/>
      <c r="H160" s="304"/>
      <c r="I160" s="304"/>
      <c r="J160" s="304"/>
      <c r="K160" s="304"/>
      <c r="L160" s="304"/>
      <c r="M160" s="304"/>
      <c r="N160" s="305"/>
    </row>
    <row r="161" spans="3:14" x14ac:dyDescent="0.25">
      <c r="C161" s="304"/>
      <c r="D161" s="304"/>
      <c r="E161" s="304"/>
      <c r="F161" s="304"/>
      <c r="G161" s="304"/>
      <c r="H161" s="304"/>
      <c r="I161" s="304"/>
      <c r="J161" s="304"/>
      <c r="K161" s="304"/>
      <c r="L161" s="304"/>
      <c r="M161" s="304"/>
      <c r="N161" s="305"/>
    </row>
    <row r="162" spans="3:14" x14ac:dyDescent="0.25">
      <c r="C162" s="304"/>
      <c r="D162" s="304"/>
      <c r="E162" s="304"/>
      <c r="F162" s="304"/>
      <c r="G162" s="304"/>
      <c r="H162" s="304"/>
      <c r="I162" s="304"/>
      <c r="J162" s="304"/>
      <c r="K162" s="304"/>
      <c r="L162" s="304"/>
      <c r="M162" s="304"/>
      <c r="N162" s="305"/>
    </row>
    <row r="163" spans="3:14" x14ac:dyDescent="0.25">
      <c r="C163" s="304"/>
      <c r="D163" s="304"/>
      <c r="E163" s="304"/>
      <c r="F163" s="304"/>
      <c r="G163" s="304"/>
      <c r="H163" s="304"/>
      <c r="I163" s="304"/>
      <c r="J163" s="304"/>
      <c r="K163" s="304"/>
      <c r="L163" s="304"/>
      <c r="M163" s="304"/>
      <c r="N163" s="305"/>
    </row>
    <row r="164" spans="3:14" x14ac:dyDescent="0.25">
      <c r="C164" s="304"/>
      <c r="D164" s="304"/>
      <c r="E164" s="304"/>
      <c r="F164" s="304"/>
      <c r="G164" s="304"/>
      <c r="H164" s="304"/>
      <c r="I164" s="304"/>
      <c r="J164" s="304"/>
      <c r="K164" s="304"/>
      <c r="L164" s="304"/>
      <c r="M164" s="304"/>
      <c r="N164" s="305"/>
    </row>
    <row r="165" spans="3:14" x14ac:dyDescent="0.25">
      <c r="C165" s="304"/>
      <c r="D165" s="304"/>
      <c r="E165" s="304"/>
      <c r="F165" s="304"/>
      <c r="G165" s="304"/>
      <c r="H165" s="304"/>
      <c r="I165" s="304"/>
      <c r="J165" s="304"/>
      <c r="K165" s="304"/>
      <c r="L165" s="304"/>
      <c r="M165" s="304"/>
      <c r="N165" s="305"/>
    </row>
    <row r="166" spans="3:14" x14ac:dyDescent="0.25">
      <c r="C166" s="304"/>
      <c r="D166" s="304"/>
      <c r="E166" s="304"/>
      <c r="F166" s="304"/>
      <c r="G166" s="304"/>
      <c r="H166" s="304"/>
      <c r="I166" s="304"/>
      <c r="J166" s="304"/>
      <c r="K166" s="304"/>
      <c r="L166" s="304"/>
      <c r="M166" s="304"/>
      <c r="N166" s="305"/>
    </row>
    <row r="167" spans="3:14" x14ac:dyDescent="0.25">
      <c r="C167" s="304"/>
      <c r="D167" s="304"/>
      <c r="E167" s="304"/>
      <c r="F167" s="304"/>
      <c r="G167" s="304"/>
      <c r="H167" s="304"/>
      <c r="I167" s="304"/>
      <c r="J167" s="304"/>
      <c r="K167" s="304"/>
      <c r="L167" s="304"/>
      <c r="M167" s="304"/>
      <c r="N167" s="305"/>
    </row>
    <row r="168" spans="3:14" x14ac:dyDescent="0.25">
      <c r="C168" s="304"/>
      <c r="D168" s="304"/>
      <c r="E168" s="304"/>
      <c r="F168" s="304"/>
      <c r="G168" s="304"/>
      <c r="H168" s="304"/>
      <c r="I168" s="304"/>
      <c r="J168" s="304"/>
      <c r="K168" s="304"/>
      <c r="L168" s="304"/>
      <c r="M168" s="304"/>
      <c r="N168" s="305"/>
    </row>
    <row r="169" spans="3:14" x14ac:dyDescent="0.25">
      <c r="C169" s="304"/>
      <c r="D169" s="304"/>
      <c r="E169" s="304"/>
      <c r="F169" s="304"/>
      <c r="G169" s="304"/>
      <c r="H169" s="304"/>
      <c r="I169" s="304"/>
      <c r="J169" s="304"/>
      <c r="K169" s="304"/>
      <c r="L169" s="304"/>
      <c r="M169" s="304"/>
      <c r="N169" s="305"/>
    </row>
    <row r="170" spans="3:14" x14ac:dyDescent="0.25">
      <c r="C170" s="304"/>
      <c r="D170" s="304"/>
      <c r="E170" s="304"/>
      <c r="F170" s="304"/>
      <c r="G170" s="304"/>
      <c r="H170" s="304"/>
      <c r="I170" s="304"/>
      <c r="J170" s="304"/>
      <c r="K170" s="304"/>
      <c r="L170" s="304"/>
      <c r="M170" s="304"/>
      <c r="N170" s="305"/>
    </row>
    <row r="171" spans="3:14" x14ac:dyDescent="0.25">
      <c r="C171" s="304"/>
      <c r="D171" s="304"/>
      <c r="E171" s="304"/>
      <c r="F171" s="304"/>
      <c r="G171" s="304"/>
      <c r="H171" s="304"/>
      <c r="I171" s="304"/>
      <c r="J171" s="304"/>
      <c r="K171" s="304"/>
      <c r="L171" s="304"/>
      <c r="M171" s="304"/>
      <c r="N171" s="305"/>
    </row>
    <row r="172" spans="3:14" x14ac:dyDescent="0.25">
      <c r="C172" s="304"/>
      <c r="D172" s="304"/>
      <c r="E172" s="304"/>
      <c r="F172" s="304"/>
      <c r="G172" s="304"/>
      <c r="H172" s="304"/>
      <c r="I172" s="304"/>
      <c r="J172" s="304"/>
      <c r="K172" s="304"/>
      <c r="L172" s="304"/>
      <c r="M172" s="304"/>
      <c r="N172" s="305"/>
    </row>
    <row r="173" spans="3:14" x14ac:dyDescent="0.25">
      <c r="C173" s="304"/>
      <c r="D173" s="304"/>
      <c r="E173" s="304"/>
      <c r="F173" s="304"/>
      <c r="G173" s="304"/>
      <c r="H173" s="304"/>
      <c r="I173" s="304"/>
      <c r="J173" s="304"/>
      <c r="K173" s="304"/>
      <c r="L173" s="304"/>
      <c r="M173" s="304"/>
      <c r="N173" s="305"/>
    </row>
    <row r="174" spans="3:14" x14ac:dyDescent="0.25">
      <c r="C174" s="304"/>
      <c r="D174" s="304"/>
      <c r="E174" s="304"/>
      <c r="F174" s="304"/>
      <c r="G174" s="304"/>
      <c r="H174" s="304"/>
      <c r="I174" s="304"/>
      <c r="J174" s="304"/>
      <c r="K174" s="304"/>
      <c r="L174" s="304"/>
      <c r="M174" s="304"/>
      <c r="N174" s="305"/>
    </row>
    <row r="175" spans="3:14" x14ac:dyDescent="0.25">
      <c r="C175" s="304"/>
      <c r="D175" s="304"/>
      <c r="E175" s="304"/>
      <c r="F175" s="304"/>
      <c r="G175" s="304"/>
      <c r="H175" s="304"/>
      <c r="I175" s="304"/>
      <c r="J175" s="304"/>
      <c r="K175" s="304"/>
      <c r="L175" s="304"/>
      <c r="M175" s="304"/>
      <c r="N175" s="305"/>
    </row>
    <row r="176" spans="3:14" x14ac:dyDescent="0.25">
      <c r="C176" s="304"/>
      <c r="D176" s="304"/>
      <c r="E176" s="304"/>
      <c r="F176" s="304"/>
      <c r="G176" s="304"/>
      <c r="H176" s="304"/>
      <c r="I176" s="304"/>
      <c r="J176" s="304"/>
      <c r="K176" s="304"/>
      <c r="L176" s="304"/>
      <c r="M176" s="304"/>
      <c r="N176" s="305"/>
    </row>
    <row r="177" spans="3:14" x14ac:dyDescent="0.25">
      <c r="C177" s="304"/>
      <c r="D177" s="304"/>
      <c r="E177" s="304"/>
      <c r="F177" s="304"/>
      <c r="G177" s="304"/>
      <c r="H177" s="304"/>
      <c r="I177" s="304"/>
      <c r="J177" s="304"/>
      <c r="K177" s="304"/>
      <c r="L177" s="304"/>
      <c r="M177" s="304"/>
      <c r="N177" s="305"/>
    </row>
    <row r="178" spans="3:14" x14ac:dyDescent="0.25">
      <c r="C178" s="304"/>
      <c r="D178" s="304"/>
      <c r="E178" s="304"/>
      <c r="F178" s="304"/>
      <c r="G178" s="304"/>
      <c r="H178" s="304"/>
      <c r="I178" s="304"/>
      <c r="J178" s="304"/>
      <c r="K178" s="304"/>
      <c r="L178" s="304"/>
      <c r="M178" s="304"/>
      <c r="N178" s="305"/>
    </row>
    <row r="179" spans="3:14" x14ac:dyDescent="0.25">
      <c r="C179" s="304"/>
      <c r="D179" s="304"/>
      <c r="E179" s="304"/>
      <c r="F179" s="304"/>
      <c r="G179" s="304"/>
      <c r="H179" s="304"/>
      <c r="I179" s="304"/>
      <c r="J179" s="304"/>
      <c r="K179" s="304"/>
      <c r="L179" s="304"/>
      <c r="M179" s="304"/>
      <c r="N179" s="305"/>
    </row>
    <row r="180" spans="3:14" x14ac:dyDescent="0.25">
      <c r="C180" s="304"/>
      <c r="D180" s="304"/>
      <c r="E180" s="304"/>
      <c r="F180" s="304"/>
      <c r="G180" s="304"/>
      <c r="H180" s="304"/>
      <c r="I180" s="304"/>
      <c r="J180" s="304"/>
      <c r="K180" s="304"/>
      <c r="L180" s="304"/>
      <c r="M180" s="304"/>
      <c r="N180" s="305"/>
    </row>
    <row r="181" spans="3:14" x14ac:dyDescent="0.25">
      <c r="C181" s="304"/>
      <c r="D181" s="304"/>
      <c r="E181" s="304"/>
      <c r="F181" s="304"/>
      <c r="G181" s="304"/>
      <c r="H181" s="304"/>
      <c r="I181" s="304"/>
      <c r="J181" s="304"/>
      <c r="K181" s="304"/>
      <c r="L181" s="304"/>
      <c r="M181" s="304"/>
      <c r="N181" s="305"/>
    </row>
    <row r="182" spans="3:14" x14ac:dyDescent="0.25">
      <c r="C182" s="304"/>
      <c r="D182" s="304"/>
      <c r="E182" s="304"/>
      <c r="F182" s="304"/>
      <c r="G182" s="304"/>
      <c r="H182" s="304"/>
      <c r="I182" s="304"/>
      <c r="J182" s="304"/>
      <c r="K182" s="304"/>
      <c r="L182" s="304"/>
      <c r="M182" s="304"/>
      <c r="N182" s="305"/>
    </row>
    <row r="183" spans="3:14" x14ac:dyDescent="0.25">
      <c r="C183" s="304"/>
      <c r="D183" s="304"/>
      <c r="E183" s="304"/>
      <c r="F183" s="304"/>
      <c r="G183" s="304"/>
      <c r="H183" s="304"/>
      <c r="I183" s="304"/>
      <c r="J183" s="304"/>
      <c r="K183" s="304"/>
      <c r="L183" s="304"/>
      <c r="M183" s="304"/>
      <c r="N183" s="305"/>
    </row>
    <row r="184" spans="3:14" x14ac:dyDescent="0.25">
      <c r="C184" s="304"/>
      <c r="D184" s="304"/>
      <c r="E184" s="304"/>
      <c r="F184" s="304"/>
      <c r="G184" s="304"/>
      <c r="H184" s="304"/>
      <c r="I184" s="304"/>
      <c r="J184" s="304"/>
      <c r="K184" s="304"/>
      <c r="L184" s="304"/>
      <c r="M184" s="304"/>
      <c r="N184" s="305"/>
    </row>
    <row r="185" spans="3:14" x14ac:dyDescent="0.25">
      <c r="C185" s="304"/>
      <c r="D185" s="304"/>
      <c r="E185" s="304"/>
      <c r="F185" s="304"/>
      <c r="G185" s="304"/>
      <c r="H185" s="304"/>
      <c r="I185" s="304"/>
      <c r="J185" s="304"/>
      <c r="K185" s="304"/>
      <c r="L185" s="304"/>
      <c r="M185" s="304"/>
      <c r="N185" s="305"/>
    </row>
    <row r="186" spans="3:14" x14ac:dyDescent="0.25">
      <c r="C186" s="304"/>
      <c r="D186" s="304"/>
      <c r="E186" s="304"/>
      <c r="F186" s="304"/>
      <c r="G186" s="304"/>
      <c r="H186" s="304"/>
      <c r="I186" s="304"/>
      <c r="J186" s="304"/>
      <c r="K186" s="304"/>
      <c r="L186" s="304"/>
      <c r="M186" s="304"/>
      <c r="N186" s="305"/>
    </row>
    <row r="187" spans="3:14" x14ac:dyDescent="0.25">
      <c r="C187" s="304"/>
      <c r="D187" s="304"/>
      <c r="E187" s="304"/>
      <c r="F187" s="304"/>
      <c r="G187" s="304"/>
      <c r="H187" s="304"/>
      <c r="I187" s="304"/>
      <c r="J187" s="304"/>
      <c r="K187" s="304"/>
      <c r="L187" s="304"/>
      <c r="M187" s="304"/>
      <c r="N187" s="305"/>
    </row>
    <row r="188" spans="3:14" x14ac:dyDescent="0.25">
      <c r="C188" s="304"/>
      <c r="D188" s="304"/>
      <c r="E188" s="304"/>
      <c r="F188" s="304"/>
      <c r="G188" s="304"/>
      <c r="H188" s="304"/>
      <c r="I188" s="304"/>
      <c r="J188" s="304"/>
      <c r="K188" s="304"/>
      <c r="L188" s="304"/>
      <c r="M188" s="304"/>
      <c r="N188" s="305"/>
    </row>
    <row r="189" spans="3:14" x14ac:dyDescent="0.25">
      <c r="C189" s="304"/>
      <c r="D189" s="304"/>
      <c r="E189" s="304"/>
      <c r="F189" s="304"/>
      <c r="G189" s="304"/>
      <c r="H189" s="304"/>
      <c r="I189" s="304"/>
      <c r="J189" s="304"/>
      <c r="K189" s="304"/>
      <c r="L189" s="304"/>
      <c r="M189" s="304"/>
      <c r="N189" s="305"/>
    </row>
    <row r="190" spans="3:14" x14ac:dyDescent="0.25">
      <c r="C190" s="304"/>
      <c r="D190" s="304"/>
      <c r="E190" s="304"/>
      <c r="F190" s="304"/>
      <c r="G190" s="304"/>
      <c r="H190" s="304"/>
      <c r="I190" s="304"/>
      <c r="J190" s="304"/>
      <c r="K190" s="304"/>
      <c r="L190" s="304"/>
      <c r="M190" s="304"/>
      <c r="N190" s="305"/>
    </row>
    <row r="191" spans="3:14" x14ac:dyDescent="0.25">
      <c r="C191" s="304"/>
      <c r="D191" s="304"/>
      <c r="E191" s="304"/>
      <c r="F191" s="304"/>
      <c r="G191" s="304"/>
      <c r="H191" s="304"/>
      <c r="I191" s="304"/>
      <c r="J191" s="304"/>
      <c r="K191" s="304"/>
      <c r="L191" s="304"/>
      <c r="M191" s="304"/>
      <c r="N191" s="305"/>
    </row>
    <row r="192" spans="3:14" x14ac:dyDescent="0.25">
      <c r="C192" s="304"/>
      <c r="D192" s="304"/>
      <c r="E192" s="304"/>
      <c r="F192" s="304"/>
      <c r="G192" s="304"/>
      <c r="H192" s="304"/>
      <c r="I192" s="304"/>
      <c r="J192" s="304"/>
      <c r="K192" s="304"/>
      <c r="L192" s="304"/>
      <c r="M192" s="304"/>
      <c r="N192" s="305"/>
    </row>
    <row r="193" spans="3:14" x14ac:dyDescent="0.25">
      <c r="C193" s="304"/>
      <c r="D193" s="304"/>
      <c r="E193" s="304"/>
      <c r="F193" s="304"/>
      <c r="G193" s="304"/>
      <c r="H193" s="304"/>
      <c r="I193" s="304"/>
      <c r="J193" s="304"/>
      <c r="K193" s="304"/>
      <c r="L193" s="304"/>
      <c r="M193" s="304"/>
      <c r="N193" s="305"/>
    </row>
    <row r="194" spans="3:14" x14ac:dyDescent="0.25">
      <c r="C194" s="304"/>
      <c r="D194" s="304"/>
      <c r="E194" s="304"/>
      <c r="F194" s="304"/>
      <c r="G194" s="304"/>
      <c r="H194" s="304"/>
      <c r="I194" s="304"/>
      <c r="J194" s="304"/>
      <c r="K194" s="304"/>
      <c r="L194" s="304"/>
      <c r="M194" s="304"/>
      <c r="N194" s="305"/>
    </row>
    <row r="195" spans="3:14" x14ac:dyDescent="0.25">
      <c r="C195" s="304"/>
      <c r="D195" s="304"/>
      <c r="E195" s="304"/>
      <c r="F195" s="304"/>
      <c r="G195" s="304"/>
      <c r="H195" s="304"/>
      <c r="I195" s="304"/>
      <c r="J195" s="304"/>
      <c r="K195" s="304"/>
      <c r="L195" s="304"/>
      <c r="M195" s="304"/>
      <c r="N195" s="305"/>
    </row>
    <row r="196" spans="3:14" x14ac:dyDescent="0.25">
      <c r="C196" s="304"/>
      <c r="D196" s="304"/>
      <c r="E196" s="304"/>
      <c r="F196" s="304"/>
      <c r="G196" s="304"/>
      <c r="H196" s="304"/>
      <c r="I196" s="304"/>
      <c r="J196" s="304"/>
      <c r="K196" s="304"/>
      <c r="L196" s="304"/>
      <c r="M196" s="304"/>
      <c r="N196" s="305"/>
    </row>
    <row r="197" spans="3:14" x14ac:dyDescent="0.25">
      <c r="C197" s="304"/>
      <c r="D197" s="304"/>
      <c r="E197" s="304"/>
      <c r="F197" s="304"/>
      <c r="G197" s="304"/>
      <c r="H197" s="304"/>
      <c r="I197" s="304"/>
      <c r="J197" s="304"/>
      <c r="K197" s="304"/>
      <c r="L197" s="304"/>
      <c r="M197" s="304"/>
      <c r="N197" s="305"/>
    </row>
    <row r="198" spans="3:14" x14ac:dyDescent="0.25">
      <c r="C198" s="304"/>
      <c r="D198" s="304"/>
      <c r="E198" s="304"/>
      <c r="F198" s="304"/>
      <c r="G198" s="304"/>
      <c r="H198" s="304"/>
      <c r="I198" s="304"/>
      <c r="J198" s="304"/>
      <c r="K198" s="304"/>
      <c r="L198" s="304"/>
      <c r="M198" s="304"/>
      <c r="N198" s="305"/>
    </row>
    <row r="199" spans="3:14" x14ac:dyDescent="0.25">
      <c r="C199" s="304"/>
      <c r="D199" s="304"/>
      <c r="E199" s="304"/>
      <c r="F199" s="304"/>
      <c r="G199" s="304"/>
      <c r="H199" s="304"/>
      <c r="I199" s="304"/>
      <c r="J199" s="304"/>
      <c r="K199" s="304"/>
      <c r="L199" s="304"/>
      <c r="M199" s="304"/>
      <c r="N199" s="305"/>
    </row>
    <row r="200" spans="3:14" x14ac:dyDescent="0.25">
      <c r="C200" s="304"/>
      <c r="D200" s="304"/>
      <c r="E200" s="304"/>
      <c r="F200" s="304"/>
      <c r="G200" s="304"/>
      <c r="H200" s="304"/>
      <c r="I200" s="304"/>
      <c r="J200" s="304"/>
      <c r="K200" s="304"/>
      <c r="L200" s="304"/>
      <c r="M200" s="304"/>
      <c r="N200" s="305"/>
    </row>
    <row r="201" spans="3:14" x14ac:dyDescent="0.25">
      <c r="C201" s="304"/>
      <c r="D201" s="304"/>
      <c r="E201" s="304"/>
      <c r="F201" s="304"/>
      <c r="G201" s="304"/>
      <c r="H201" s="304"/>
      <c r="I201" s="304"/>
      <c r="J201" s="304"/>
      <c r="K201" s="304"/>
      <c r="L201" s="304"/>
      <c r="M201" s="304"/>
      <c r="N201" s="305"/>
    </row>
    <row r="202" spans="3:14" x14ac:dyDescent="0.25">
      <c r="C202" s="304"/>
      <c r="D202" s="304"/>
      <c r="E202" s="304"/>
      <c r="F202" s="304"/>
      <c r="G202" s="304"/>
      <c r="H202" s="304"/>
      <c r="I202" s="304"/>
      <c r="J202" s="304"/>
      <c r="K202" s="304"/>
      <c r="L202" s="304"/>
      <c r="M202" s="304"/>
      <c r="N202" s="305"/>
    </row>
    <row r="203" spans="3:14" x14ac:dyDescent="0.25">
      <c r="C203" s="304"/>
      <c r="D203" s="304"/>
      <c r="E203" s="304"/>
      <c r="F203" s="304"/>
      <c r="G203" s="304"/>
      <c r="H203" s="304"/>
      <c r="I203" s="304"/>
      <c r="J203" s="304"/>
      <c r="K203" s="304"/>
      <c r="L203" s="304"/>
      <c r="M203" s="304"/>
      <c r="N203" s="305"/>
    </row>
    <row r="204" spans="3:14" x14ac:dyDescent="0.25">
      <c r="C204" s="304"/>
      <c r="D204" s="304"/>
      <c r="E204" s="304"/>
      <c r="F204" s="304"/>
      <c r="G204" s="304"/>
      <c r="H204" s="304"/>
      <c r="I204" s="304"/>
      <c r="J204" s="304"/>
      <c r="K204" s="304"/>
      <c r="L204" s="304"/>
      <c r="M204" s="304"/>
      <c r="N204" s="305"/>
    </row>
    <row r="205" spans="3:14" x14ac:dyDescent="0.25">
      <c r="C205" s="304"/>
      <c r="D205" s="304"/>
      <c r="E205" s="304"/>
      <c r="F205" s="304"/>
      <c r="G205" s="304"/>
      <c r="H205" s="304"/>
      <c r="I205" s="304"/>
      <c r="J205" s="304"/>
      <c r="K205" s="304"/>
      <c r="L205" s="304"/>
      <c r="M205" s="304"/>
      <c r="N205" s="305"/>
    </row>
    <row r="206" spans="3:14" x14ac:dyDescent="0.25">
      <c r="C206" s="304"/>
      <c r="D206" s="304"/>
      <c r="E206" s="304"/>
      <c r="F206" s="304"/>
      <c r="G206" s="304"/>
      <c r="H206" s="304"/>
      <c r="I206" s="304"/>
      <c r="J206" s="304"/>
      <c r="K206" s="304"/>
      <c r="L206" s="304"/>
      <c r="M206" s="304"/>
      <c r="N206" s="305"/>
    </row>
    <row r="207" spans="3:14" x14ac:dyDescent="0.25">
      <c r="C207" s="304"/>
      <c r="D207" s="304"/>
      <c r="E207" s="304"/>
      <c r="F207" s="304"/>
      <c r="G207" s="304"/>
      <c r="H207" s="304"/>
      <c r="I207" s="304"/>
      <c r="J207" s="304"/>
      <c r="K207" s="304"/>
      <c r="L207" s="304"/>
      <c r="M207" s="304"/>
      <c r="N207" s="305"/>
    </row>
    <row r="208" spans="3:14" x14ac:dyDescent="0.25">
      <c r="C208" s="304"/>
      <c r="D208" s="304"/>
      <c r="E208" s="304"/>
      <c r="F208" s="304"/>
      <c r="G208" s="304"/>
      <c r="H208" s="304"/>
      <c r="I208" s="304"/>
      <c r="J208" s="304"/>
      <c r="K208" s="304"/>
      <c r="L208" s="304"/>
      <c r="M208" s="304"/>
      <c r="N208" s="305"/>
    </row>
    <row r="209" spans="3:14" x14ac:dyDescent="0.25">
      <c r="C209" s="304"/>
      <c r="D209" s="304"/>
      <c r="E209" s="304"/>
      <c r="F209" s="304"/>
      <c r="G209" s="304"/>
      <c r="H209" s="304"/>
      <c r="I209" s="304"/>
      <c r="J209" s="304"/>
      <c r="K209" s="304"/>
      <c r="L209" s="304"/>
      <c r="M209" s="304"/>
      <c r="N209" s="305"/>
    </row>
    <row r="210" spans="3:14" x14ac:dyDescent="0.25">
      <c r="C210" s="304"/>
      <c r="D210" s="304"/>
      <c r="E210" s="304"/>
      <c r="F210" s="304"/>
      <c r="G210" s="304"/>
      <c r="H210" s="304"/>
      <c r="I210" s="304"/>
      <c r="J210" s="304"/>
      <c r="K210" s="304"/>
      <c r="L210" s="304"/>
      <c r="M210" s="304"/>
      <c r="N210" s="305"/>
    </row>
    <row r="211" spans="3:14" x14ac:dyDescent="0.25">
      <c r="C211" s="304"/>
      <c r="D211" s="304"/>
      <c r="E211" s="304"/>
      <c r="F211" s="304"/>
      <c r="G211" s="304"/>
      <c r="H211" s="304"/>
      <c r="I211" s="304"/>
      <c r="J211" s="304"/>
      <c r="K211" s="304"/>
      <c r="L211" s="304"/>
      <c r="M211" s="304"/>
      <c r="N211" s="305"/>
    </row>
    <row r="212" spans="3:14" x14ac:dyDescent="0.25">
      <c r="C212" s="304"/>
      <c r="D212" s="304"/>
      <c r="E212" s="304"/>
      <c r="F212" s="304"/>
      <c r="G212" s="304"/>
      <c r="H212" s="304"/>
      <c r="I212" s="304"/>
      <c r="J212" s="304"/>
      <c r="K212" s="304"/>
      <c r="L212" s="304"/>
      <c r="M212" s="304"/>
      <c r="N212" s="305"/>
    </row>
    <row r="213" spans="3:14" x14ac:dyDescent="0.25">
      <c r="C213" s="304"/>
      <c r="D213" s="304"/>
      <c r="E213" s="304"/>
      <c r="F213" s="304"/>
      <c r="G213" s="304"/>
      <c r="H213" s="304"/>
      <c r="I213" s="304"/>
      <c r="J213" s="304"/>
      <c r="K213" s="304"/>
      <c r="L213" s="304"/>
      <c r="M213" s="304"/>
      <c r="N213" s="305"/>
    </row>
    <row r="214" spans="3:14" x14ac:dyDescent="0.25">
      <c r="C214" s="304"/>
      <c r="D214" s="304"/>
      <c r="E214" s="304"/>
      <c r="F214" s="304"/>
      <c r="G214" s="304"/>
      <c r="H214" s="304"/>
      <c r="I214" s="304"/>
      <c r="J214" s="304"/>
      <c r="K214" s="304"/>
      <c r="L214" s="304"/>
      <c r="M214" s="304"/>
      <c r="N214" s="305"/>
    </row>
    <row r="215" spans="3:14" x14ac:dyDescent="0.25">
      <c r="C215" s="304"/>
      <c r="D215" s="304"/>
      <c r="E215" s="304"/>
      <c r="F215" s="304"/>
      <c r="G215" s="304"/>
      <c r="H215" s="304"/>
      <c r="I215" s="304"/>
      <c r="J215" s="304"/>
      <c r="K215" s="304"/>
      <c r="L215" s="304"/>
      <c r="M215" s="304"/>
      <c r="N215" s="305"/>
    </row>
    <row r="216" spans="3:14" x14ac:dyDescent="0.25">
      <c r="C216" s="304"/>
      <c r="D216" s="304"/>
      <c r="E216" s="304"/>
      <c r="F216" s="304"/>
      <c r="G216" s="304"/>
      <c r="H216" s="304"/>
      <c r="I216" s="304"/>
      <c r="J216" s="304"/>
      <c r="K216" s="304"/>
      <c r="L216" s="304"/>
      <c r="M216" s="304"/>
      <c r="N216" s="305"/>
    </row>
    <row r="217" spans="3:14" x14ac:dyDescent="0.25">
      <c r="C217" s="304"/>
      <c r="D217" s="304"/>
      <c r="E217" s="304"/>
      <c r="F217" s="304"/>
      <c r="G217" s="304"/>
      <c r="H217" s="304"/>
      <c r="I217" s="304"/>
      <c r="J217" s="304"/>
      <c r="K217" s="304"/>
      <c r="L217" s="304"/>
      <c r="M217" s="304"/>
      <c r="N217" s="305"/>
    </row>
    <row r="218" spans="3:14" x14ac:dyDescent="0.25">
      <c r="C218" s="304"/>
      <c r="D218" s="304"/>
      <c r="E218" s="304"/>
      <c r="F218" s="304"/>
      <c r="G218" s="304"/>
      <c r="H218" s="304"/>
      <c r="I218" s="304"/>
      <c r="J218" s="304"/>
      <c r="K218" s="304"/>
      <c r="L218" s="304"/>
      <c r="M218" s="304"/>
      <c r="N218" s="305"/>
    </row>
    <row r="219" spans="3:14" x14ac:dyDescent="0.25">
      <c r="C219" s="304"/>
      <c r="D219" s="304"/>
      <c r="E219" s="304"/>
      <c r="F219" s="304"/>
      <c r="G219" s="304"/>
      <c r="H219" s="304"/>
      <c r="I219" s="304"/>
      <c r="J219" s="304"/>
      <c r="K219" s="304"/>
      <c r="L219" s="304"/>
      <c r="M219" s="304"/>
      <c r="N219" s="305"/>
    </row>
    <row r="220" spans="3:14" x14ac:dyDescent="0.25">
      <c r="C220" s="304"/>
      <c r="D220" s="304"/>
      <c r="E220" s="304"/>
      <c r="F220" s="304"/>
      <c r="G220" s="304"/>
      <c r="H220" s="304"/>
      <c r="I220" s="304"/>
      <c r="J220" s="304"/>
      <c r="K220" s="304"/>
      <c r="L220" s="304"/>
      <c r="M220" s="304"/>
      <c r="N220" s="305"/>
    </row>
    <row r="221" spans="3:14" x14ac:dyDescent="0.25">
      <c r="C221" s="304"/>
      <c r="D221" s="304"/>
      <c r="E221" s="304"/>
      <c r="F221" s="304"/>
      <c r="G221" s="304"/>
      <c r="H221" s="304"/>
      <c r="I221" s="304"/>
      <c r="J221" s="304"/>
      <c r="K221" s="304"/>
      <c r="L221" s="304"/>
      <c r="M221" s="304"/>
      <c r="N221" s="305"/>
    </row>
    <row r="222" spans="3:14" x14ac:dyDescent="0.25">
      <c r="C222" s="304"/>
      <c r="D222" s="304"/>
      <c r="E222" s="304"/>
      <c r="F222" s="304"/>
      <c r="G222" s="304"/>
      <c r="H222" s="304"/>
      <c r="I222" s="304"/>
      <c r="J222" s="304"/>
      <c r="K222" s="304"/>
      <c r="L222" s="304"/>
      <c r="M222" s="304"/>
      <c r="N222" s="305"/>
    </row>
    <row r="223" spans="3:14" x14ac:dyDescent="0.25">
      <c r="C223" s="304"/>
      <c r="D223" s="304"/>
      <c r="E223" s="304"/>
      <c r="F223" s="304"/>
      <c r="G223" s="304"/>
      <c r="H223" s="304"/>
      <c r="I223" s="304"/>
      <c r="J223" s="304"/>
      <c r="K223" s="304"/>
      <c r="L223" s="304"/>
      <c r="M223" s="304"/>
      <c r="N223" s="305"/>
    </row>
    <row r="224" spans="3:14" x14ac:dyDescent="0.25">
      <c r="C224" s="304"/>
      <c r="D224" s="304"/>
      <c r="E224" s="304"/>
      <c r="F224" s="304"/>
      <c r="G224" s="304"/>
      <c r="H224" s="304"/>
      <c r="I224" s="304"/>
      <c r="J224" s="304"/>
      <c r="K224" s="304"/>
      <c r="L224" s="304"/>
      <c r="M224" s="304"/>
      <c r="N224" s="305"/>
    </row>
    <row r="225" spans="3:14" x14ac:dyDescent="0.25">
      <c r="C225" s="304"/>
      <c r="D225" s="304"/>
      <c r="E225" s="304"/>
      <c r="F225" s="304"/>
      <c r="G225" s="304"/>
      <c r="H225" s="304"/>
      <c r="I225" s="304"/>
      <c r="J225" s="304"/>
      <c r="K225" s="304"/>
      <c r="L225" s="304"/>
      <c r="M225" s="304"/>
      <c r="N225" s="305"/>
    </row>
    <row r="226" spans="3:14" x14ac:dyDescent="0.25">
      <c r="C226" s="304"/>
      <c r="D226" s="304"/>
      <c r="E226" s="304"/>
      <c r="F226" s="304"/>
      <c r="G226" s="304"/>
      <c r="H226" s="304"/>
      <c r="I226" s="304"/>
      <c r="J226" s="304"/>
      <c r="K226" s="304"/>
      <c r="L226" s="304"/>
      <c r="M226" s="304"/>
      <c r="N226" s="305"/>
    </row>
    <row r="227" spans="3:14" x14ac:dyDescent="0.25">
      <c r="C227" s="304"/>
      <c r="D227" s="304"/>
      <c r="E227" s="304"/>
      <c r="F227" s="304"/>
      <c r="G227" s="304"/>
      <c r="H227" s="304"/>
      <c r="I227" s="304"/>
      <c r="J227" s="304"/>
      <c r="K227" s="304"/>
      <c r="L227" s="304"/>
      <c r="M227" s="304"/>
      <c r="N227" s="305"/>
    </row>
    <row r="228" spans="3:14" x14ac:dyDescent="0.25">
      <c r="C228" s="304"/>
      <c r="D228" s="304"/>
      <c r="E228" s="304"/>
      <c r="F228" s="304"/>
      <c r="G228" s="304"/>
      <c r="H228" s="304"/>
      <c r="I228" s="304"/>
      <c r="J228" s="304"/>
      <c r="K228" s="304"/>
      <c r="L228" s="304"/>
      <c r="M228" s="304"/>
      <c r="N228" s="305"/>
    </row>
    <row r="229" spans="3:14" x14ac:dyDescent="0.25">
      <c r="C229" s="304"/>
      <c r="D229" s="304"/>
      <c r="E229" s="304"/>
      <c r="F229" s="304"/>
      <c r="G229" s="304"/>
      <c r="H229" s="304"/>
      <c r="I229" s="304"/>
      <c r="J229" s="304"/>
      <c r="K229" s="304"/>
      <c r="L229" s="304"/>
      <c r="M229" s="304"/>
      <c r="N229" s="305"/>
    </row>
    <row r="230" spans="3:14" x14ac:dyDescent="0.25">
      <c r="C230" s="304"/>
      <c r="D230" s="304"/>
      <c r="E230" s="304"/>
      <c r="F230" s="304"/>
      <c r="G230" s="304"/>
      <c r="H230" s="304"/>
      <c r="I230" s="304"/>
      <c r="J230" s="304"/>
      <c r="K230" s="304"/>
      <c r="L230" s="304"/>
      <c r="M230" s="304"/>
      <c r="N230" s="305"/>
    </row>
    <row r="231" spans="3:14" x14ac:dyDescent="0.25">
      <c r="C231" s="304"/>
      <c r="D231" s="304"/>
      <c r="E231" s="304"/>
      <c r="F231" s="304"/>
      <c r="G231" s="304"/>
      <c r="H231" s="304"/>
      <c r="I231" s="304"/>
      <c r="J231" s="304"/>
      <c r="K231" s="304"/>
      <c r="L231" s="304"/>
      <c r="M231" s="304"/>
      <c r="N231" s="305"/>
    </row>
    <row r="232" spans="3:14" x14ac:dyDescent="0.25">
      <c r="C232" s="304"/>
      <c r="D232" s="304"/>
      <c r="E232" s="304"/>
      <c r="F232" s="304"/>
      <c r="G232" s="304"/>
      <c r="H232" s="304"/>
      <c r="I232" s="304"/>
      <c r="J232" s="304"/>
      <c r="K232" s="304"/>
      <c r="L232" s="304"/>
      <c r="M232" s="304"/>
      <c r="N232" s="305"/>
    </row>
    <row r="233" spans="3:14" x14ac:dyDescent="0.25">
      <c r="C233" s="304"/>
      <c r="D233" s="304"/>
      <c r="E233" s="304"/>
      <c r="F233" s="304"/>
      <c r="G233" s="304"/>
      <c r="H233" s="304"/>
      <c r="I233" s="304"/>
      <c r="J233" s="304"/>
      <c r="K233" s="304"/>
      <c r="L233" s="304"/>
      <c r="M233" s="304"/>
      <c r="N233" s="305"/>
    </row>
    <row r="234" spans="3:14" x14ac:dyDescent="0.25">
      <c r="C234" s="304"/>
      <c r="D234" s="304"/>
      <c r="E234" s="304"/>
      <c r="F234" s="304"/>
      <c r="G234" s="304"/>
      <c r="H234" s="304"/>
      <c r="I234" s="304"/>
      <c r="J234" s="304"/>
      <c r="K234" s="304"/>
      <c r="L234" s="304"/>
      <c r="M234" s="304"/>
      <c r="N234" s="305"/>
    </row>
    <row r="235" spans="3:14" x14ac:dyDescent="0.25">
      <c r="C235" s="304"/>
      <c r="D235" s="304"/>
      <c r="E235" s="304"/>
      <c r="F235" s="304"/>
      <c r="G235" s="304"/>
      <c r="H235" s="304"/>
      <c r="I235" s="304"/>
      <c r="J235" s="304"/>
      <c r="K235" s="304"/>
      <c r="L235" s="304"/>
      <c r="M235" s="304"/>
      <c r="N235" s="305"/>
    </row>
    <row r="236" spans="3:14" x14ac:dyDescent="0.25">
      <c r="C236" s="304"/>
      <c r="D236" s="304"/>
      <c r="E236" s="304"/>
      <c r="F236" s="304"/>
      <c r="G236" s="304"/>
      <c r="H236" s="304"/>
      <c r="I236" s="304"/>
      <c r="J236" s="304"/>
      <c r="K236" s="304"/>
      <c r="L236" s="304"/>
      <c r="M236" s="304"/>
      <c r="N236" s="305"/>
    </row>
    <row r="237" spans="3:14" x14ac:dyDescent="0.25">
      <c r="C237" s="304"/>
      <c r="D237" s="304"/>
      <c r="E237" s="304"/>
      <c r="F237" s="304"/>
      <c r="G237" s="304"/>
      <c r="H237" s="304"/>
      <c r="I237" s="304"/>
      <c r="J237" s="304"/>
      <c r="K237" s="304"/>
      <c r="L237" s="304"/>
      <c r="M237" s="304"/>
      <c r="N237" s="305"/>
    </row>
    <row r="238" spans="3:14" x14ac:dyDescent="0.25">
      <c r="C238" s="304"/>
      <c r="D238" s="304"/>
      <c r="E238" s="304"/>
      <c r="F238" s="304"/>
      <c r="G238" s="304"/>
      <c r="H238" s="304"/>
      <c r="I238" s="304"/>
      <c r="J238" s="304"/>
      <c r="K238" s="304"/>
      <c r="L238" s="304"/>
      <c r="M238" s="304"/>
      <c r="N238" s="305"/>
    </row>
    <row r="239" spans="3:14" x14ac:dyDescent="0.25">
      <c r="C239" s="304"/>
      <c r="D239" s="304"/>
      <c r="E239" s="304"/>
      <c r="F239" s="304"/>
      <c r="G239" s="304"/>
      <c r="H239" s="304"/>
      <c r="I239" s="304"/>
      <c r="J239" s="304"/>
      <c r="K239" s="304"/>
      <c r="L239" s="304"/>
      <c r="M239" s="304"/>
      <c r="N239" s="305"/>
    </row>
    <row r="240" spans="3:14" x14ac:dyDescent="0.25">
      <c r="C240" s="304"/>
      <c r="D240" s="304"/>
      <c r="E240" s="304"/>
      <c r="F240" s="304"/>
      <c r="G240" s="304"/>
      <c r="H240" s="304"/>
      <c r="I240" s="304"/>
      <c r="J240" s="304"/>
      <c r="K240" s="304"/>
      <c r="L240" s="304"/>
      <c r="M240" s="304"/>
      <c r="N240" s="305"/>
    </row>
    <row r="241" spans="3:14" x14ac:dyDescent="0.25">
      <c r="C241" s="304"/>
      <c r="D241" s="304"/>
      <c r="E241" s="304"/>
      <c r="F241" s="304"/>
      <c r="G241" s="304"/>
      <c r="H241" s="304"/>
      <c r="I241" s="304"/>
      <c r="J241" s="304"/>
      <c r="K241" s="304"/>
      <c r="L241" s="304"/>
      <c r="M241" s="304"/>
      <c r="N241" s="305"/>
    </row>
    <row r="242" spans="3:14" x14ac:dyDescent="0.25">
      <c r="C242" s="304"/>
      <c r="D242" s="304"/>
      <c r="E242" s="304"/>
      <c r="F242" s="304"/>
      <c r="G242" s="304"/>
      <c r="H242" s="304"/>
      <c r="I242" s="304"/>
      <c r="J242" s="304"/>
      <c r="K242" s="304"/>
      <c r="L242" s="304"/>
      <c r="M242" s="304"/>
      <c r="N242" s="305"/>
    </row>
    <row r="243" spans="3:14" x14ac:dyDescent="0.25">
      <c r="C243" s="304"/>
      <c r="D243" s="304"/>
      <c r="E243" s="304"/>
      <c r="F243" s="304"/>
      <c r="G243" s="304"/>
      <c r="H243" s="304"/>
      <c r="I243" s="304"/>
      <c r="J243" s="304"/>
      <c r="K243" s="304"/>
      <c r="L243" s="304"/>
      <c r="M243" s="304"/>
      <c r="N243" s="305"/>
    </row>
    <row r="244" spans="3:14" x14ac:dyDescent="0.25">
      <c r="C244" s="304"/>
      <c r="D244" s="304"/>
      <c r="E244" s="304"/>
      <c r="F244" s="304"/>
      <c r="G244" s="304"/>
      <c r="H244" s="304"/>
      <c r="I244" s="304"/>
      <c r="J244" s="304"/>
      <c r="K244" s="304"/>
      <c r="L244" s="304"/>
      <c r="M244" s="304"/>
      <c r="N244" s="305"/>
    </row>
    <row r="245" spans="3:14" x14ac:dyDescent="0.25">
      <c r="C245" s="304"/>
      <c r="D245" s="304"/>
      <c r="E245" s="304"/>
      <c r="F245" s="304"/>
      <c r="G245" s="304"/>
      <c r="H245" s="304"/>
      <c r="I245" s="304"/>
      <c r="J245" s="304"/>
      <c r="K245" s="304"/>
      <c r="L245" s="304"/>
      <c r="M245" s="304"/>
      <c r="N245" s="305"/>
    </row>
    <row r="246" spans="3:14" x14ac:dyDescent="0.25">
      <c r="C246" s="304"/>
      <c r="D246" s="304"/>
      <c r="E246" s="304"/>
      <c r="F246" s="304"/>
      <c r="G246" s="304"/>
      <c r="H246" s="304"/>
      <c r="I246" s="304"/>
      <c r="J246" s="304"/>
      <c r="K246" s="304"/>
      <c r="L246" s="304"/>
      <c r="M246" s="304"/>
      <c r="N246" s="305"/>
    </row>
    <row r="247" spans="3:14" x14ac:dyDescent="0.25">
      <c r="C247" s="304"/>
      <c r="D247" s="304"/>
      <c r="E247" s="304"/>
      <c r="F247" s="304"/>
      <c r="G247" s="304"/>
      <c r="H247" s="304"/>
      <c r="I247" s="304"/>
      <c r="J247" s="304"/>
      <c r="K247" s="304"/>
      <c r="L247" s="304"/>
      <c r="M247" s="304"/>
      <c r="N247" s="305"/>
    </row>
    <row r="248" spans="3:14" x14ac:dyDescent="0.25">
      <c r="C248" s="304"/>
      <c r="D248" s="304"/>
      <c r="E248" s="304"/>
      <c r="F248" s="304"/>
      <c r="G248" s="304"/>
      <c r="H248" s="304"/>
      <c r="I248" s="304"/>
      <c r="J248" s="304"/>
      <c r="K248" s="304"/>
      <c r="L248" s="304"/>
      <c r="M248" s="304"/>
      <c r="N248" s="305"/>
    </row>
    <row r="249" spans="3:14" x14ac:dyDescent="0.25">
      <c r="C249" s="304"/>
      <c r="D249" s="304"/>
      <c r="E249" s="304"/>
      <c r="F249" s="304"/>
      <c r="G249" s="304"/>
      <c r="H249" s="304"/>
      <c r="I249" s="304"/>
      <c r="J249" s="304"/>
      <c r="K249" s="304"/>
      <c r="L249" s="304"/>
      <c r="M249" s="304"/>
      <c r="N249" s="305"/>
    </row>
    <row r="250" spans="3:14" x14ac:dyDescent="0.25">
      <c r="C250" s="304"/>
      <c r="D250" s="304"/>
      <c r="E250" s="304"/>
      <c r="F250" s="304"/>
      <c r="G250" s="304"/>
      <c r="H250" s="304"/>
      <c r="I250" s="304"/>
      <c r="J250" s="304"/>
      <c r="K250" s="304"/>
      <c r="L250" s="304"/>
      <c r="M250" s="304"/>
      <c r="N250" s="305"/>
    </row>
    <row r="251" spans="3:14" x14ac:dyDescent="0.25">
      <c r="C251" s="304"/>
      <c r="D251" s="304"/>
      <c r="E251" s="304"/>
      <c r="F251" s="304"/>
      <c r="G251" s="304"/>
      <c r="H251" s="304"/>
      <c r="I251" s="304"/>
      <c r="J251" s="304"/>
      <c r="K251" s="304"/>
      <c r="L251" s="304"/>
      <c r="M251" s="304"/>
      <c r="N251" s="305"/>
    </row>
    <row r="252" spans="3:14" x14ac:dyDescent="0.25">
      <c r="C252" s="304"/>
      <c r="D252" s="304"/>
      <c r="E252" s="304"/>
      <c r="F252" s="304"/>
      <c r="G252" s="304"/>
      <c r="H252" s="304"/>
      <c r="I252" s="304"/>
      <c r="J252" s="304"/>
      <c r="K252" s="304"/>
      <c r="L252" s="304"/>
      <c r="M252" s="304"/>
      <c r="N252" s="305"/>
    </row>
    <row r="253" spans="3:14" x14ac:dyDescent="0.25">
      <c r="C253" s="304"/>
      <c r="D253" s="304"/>
      <c r="E253" s="304"/>
      <c r="F253" s="304"/>
      <c r="G253" s="304"/>
      <c r="H253" s="304"/>
      <c r="I253" s="304"/>
      <c r="J253" s="304"/>
      <c r="K253" s="304"/>
      <c r="L253" s="304"/>
      <c r="M253" s="304"/>
      <c r="N253" s="305"/>
    </row>
    <row r="254" spans="3:14" x14ac:dyDescent="0.25">
      <c r="C254" s="304"/>
      <c r="D254" s="304"/>
      <c r="E254" s="304"/>
      <c r="F254" s="304"/>
      <c r="G254" s="304"/>
      <c r="H254" s="304"/>
      <c r="I254" s="304"/>
      <c r="J254" s="304"/>
      <c r="K254" s="304"/>
      <c r="L254" s="304"/>
      <c r="M254" s="304"/>
      <c r="N254" s="305"/>
    </row>
    <row r="255" spans="3:14" x14ac:dyDescent="0.25">
      <c r="C255" s="304"/>
      <c r="D255" s="304"/>
      <c r="E255" s="304"/>
      <c r="F255" s="304"/>
      <c r="G255" s="304"/>
      <c r="H255" s="304"/>
      <c r="I255" s="304"/>
      <c r="J255" s="304"/>
      <c r="K255" s="304"/>
      <c r="L255" s="304"/>
      <c r="M255" s="304"/>
      <c r="N255" s="305"/>
    </row>
    <row r="256" spans="3:14" x14ac:dyDescent="0.25">
      <c r="C256" s="304"/>
      <c r="D256" s="304"/>
      <c r="E256" s="304"/>
      <c r="F256" s="304"/>
      <c r="G256" s="304"/>
      <c r="H256" s="304"/>
      <c r="I256" s="304"/>
      <c r="J256" s="304"/>
      <c r="K256" s="304"/>
      <c r="L256" s="304"/>
      <c r="M256" s="304"/>
      <c r="N256" s="305"/>
    </row>
    <row r="257" spans="3:14" x14ac:dyDescent="0.25">
      <c r="C257" s="304"/>
      <c r="D257" s="304"/>
      <c r="E257" s="304"/>
      <c r="F257" s="304"/>
      <c r="G257" s="304"/>
      <c r="H257" s="304"/>
      <c r="I257" s="304"/>
      <c r="J257" s="304"/>
      <c r="K257" s="304"/>
      <c r="L257" s="304"/>
      <c r="M257" s="304"/>
      <c r="N257" s="305"/>
    </row>
    <row r="258" spans="3:14" x14ac:dyDescent="0.25">
      <c r="C258" s="304"/>
      <c r="D258" s="304"/>
      <c r="E258" s="304"/>
      <c r="F258" s="304"/>
      <c r="G258" s="304"/>
      <c r="H258" s="304"/>
      <c r="I258" s="304"/>
      <c r="J258" s="304"/>
      <c r="K258" s="304"/>
      <c r="L258" s="304"/>
      <c r="M258" s="304"/>
      <c r="N258" s="305"/>
    </row>
    <row r="259" spans="3:14" x14ac:dyDescent="0.25">
      <c r="C259" s="304"/>
      <c r="D259" s="304"/>
      <c r="E259" s="304"/>
      <c r="F259" s="304"/>
      <c r="G259" s="304"/>
      <c r="H259" s="304"/>
      <c r="I259" s="304"/>
      <c r="J259" s="304"/>
      <c r="K259" s="304"/>
      <c r="L259" s="304"/>
      <c r="M259" s="304"/>
      <c r="N259" s="305"/>
    </row>
    <row r="260" spans="3:14" x14ac:dyDescent="0.25">
      <c r="C260" s="304"/>
      <c r="D260" s="304"/>
      <c r="E260" s="304"/>
      <c r="F260" s="304"/>
      <c r="G260" s="304"/>
      <c r="H260" s="304"/>
      <c r="I260" s="304"/>
      <c r="J260" s="304"/>
      <c r="K260" s="304"/>
      <c r="L260" s="304"/>
      <c r="M260" s="304"/>
      <c r="N260" s="305"/>
    </row>
    <row r="261" spans="3:14" x14ac:dyDescent="0.25">
      <c r="C261" s="304"/>
      <c r="D261" s="304"/>
      <c r="E261" s="304"/>
      <c r="F261" s="304"/>
      <c r="G261" s="304"/>
      <c r="H261" s="304"/>
      <c r="I261" s="304"/>
      <c r="J261" s="304"/>
      <c r="K261" s="304"/>
      <c r="L261" s="304"/>
      <c r="M261" s="304"/>
      <c r="N261" s="305"/>
    </row>
    <row r="262" spans="3:14" x14ac:dyDescent="0.25">
      <c r="C262" s="304"/>
      <c r="D262" s="304"/>
      <c r="E262" s="304"/>
      <c r="F262" s="304"/>
      <c r="G262" s="304"/>
      <c r="H262" s="304"/>
      <c r="I262" s="304"/>
      <c r="J262" s="304"/>
      <c r="K262" s="304"/>
      <c r="L262" s="304"/>
      <c r="M262" s="304"/>
      <c r="N262" s="305"/>
    </row>
    <row r="263" spans="3:14" x14ac:dyDescent="0.25">
      <c r="C263" s="304"/>
      <c r="D263" s="304"/>
      <c r="E263" s="304"/>
      <c r="F263" s="304"/>
      <c r="G263" s="304"/>
      <c r="H263" s="304"/>
      <c r="I263" s="304"/>
      <c r="J263" s="304"/>
      <c r="K263" s="304"/>
      <c r="L263" s="304"/>
      <c r="M263" s="304"/>
      <c r="N263" s="305"/>
    </row>
    <row r="264" spans="3:14" x14ac:dyDescent="0.25">
      <c r="C264" s="304"/>
      <c r="D264" s="304"/>
      <c r="E264" s="304"/>
      <c r="F264" s="304"/>
      <c r="G264" s="304"/>
      <c r="H264" s="304"/>
      <c r="I264" s="304"/>
      <c r="J264" s="304"/>
      <c r="K264" s="304"/>
      <c r="L264" s="304"/>
      <c r="M264" s="304"/>
      <c r="N264" s="305"/>
    </row>
    <row r="265" spans="3:14" x14ac:dyDescent="0.25">
      <c r="C265" s="304"/>
      <c r="D265" s="304"/>
      <c r="E265" s="304"/>
      <c r="F265" s="304"/>
      <c r="G265" s="304"/>
      <c r="H265" s="304"/>
      <c r="I265" s="304"/>
      <c r="J265" s="304"/>
      <c r="K265" s="304"/>
      <c r="L265" s="304"/>
      <c r="M265" s="304"/>
      <c r="N265" s="305"/>
    </row>
    <row r="266" spans="3:14" x14ac:dyDescent="0.25">
      <c r="C266" s="304"/>
      <c r="D266" s="304"/>
      <c r="E266" s="304"/>
      <c r="F266" s="304"/>
      <c r="G266" s="304"/>
      <c r="H266" s="304"/>
      <c r="I266" s="304"/>
      <c r="J266" s="304"/>
      <c r="K266" s="304"/>
      <c r="L266" s="304"/>
      <c r="M266" s="304"/>
      <c r="N266" s="305"/>
    </row>
    <row r="267" spans="3:14" x14ac:dyDescent="0.25">
      <c r="C267" s="304"/>
      <c r="D267" s="304"/>
      <c r="E267" s="304"/>
      <c r="F267" s="304"/>
      <c r="G267" s="304"/>
      <c r="H267" s="304"/>
      <c r="I267" s="304"/>
      <c r="J267" s="304"/>
      <c r="K267" s="304"/>
      <c r="L267" s="304"/>
      <c r="M267" s="304"/>
      <c r="N267" s="305"/>
    </row>
    <row r="268" spans="3:14" x14ac:dyDescent="0.25">
      <c r="C268" s="304"/>
      <c r="D268" s="304"/>
      <c r="E268" s="304"/>
      <c r="F268" s="304"/>
      <c r="G268" s="304"/>
      <c r="H268" s="304"/>
      <c r="I268" s="304"/>
      <c r="J268" s="304"/>
      <c r="K268" s="304"/>
      <c r="L268" s="304"/>
      <c r="M268" s="304"/>
      <c r="N268" s="305"/>
    </row>
    <row r="269" spans="3:14" x14ac:dyDescent="0.25">
      <c r="C269" s="304"/>
      <c r="D269" s="304"/>
      <c r="E269" s="304"/>
      <c r="F269" s="304"/>
      <c r="G269" s="304"/>
      <c r="H269" s="304"/>
      <c r="I269" s="304"/>
      <c r="J269" s="304"/>
      <c r="K269" s="304"/>
      <c r="L269" s="304"/>
      <c r="M269" s="304"/>
      <c r="N269" s="305"/>
    </row>
    <row r="270" spans="3:14" x14ac:dyDescent="0.25">
      <c r="C270" s="304"/>
      <c r="D270" s="304"/>
      <c r="E270" s="304"/>
      <c r="F270" s="304"/>
      <c r="G270" s="304"/>
      <c r="H270" s="304"/>
      <c r="I270" s="304"/>
      <c r="J270" s="304"/>
      <c r="K270" s="304"/>
      <c r="L270" s="304"/>
      <c r="M270" s="304"/>
      <c r="N270" s="305"/>
    </row>
    <row r="271" spans="3:14" x14ac:dyDescent="0.25">
      <c r="C271" s="304"/>
      <c r="D271" s="304"/>
      <c r="E271" s="304"/>
      <c r="F271" s="304"/>
      <c r="G271" s="304"/>
      <c r="H271" s="304"/>
      <c r="I271" s="304"/>
      <c r="J271" s="304"/>
      <c r="K271" s="304"/>
      <c r="L271" s="304"/>
      <c r="M271" s="304"/>
      <c r="N271" s="305"/>
    </row>
    <row r="272" spans="3:14" x14ac:dyDescent="0.25">
      <c r="C272" s="304"/>
      <c r="D272" s="304"/>
      <c r="E272" s="304"/>
      <c r="F272" s="304"/>
      <c r="G272" s="304"/>
      <c r="H272" s="304"/>
      <c r="I272" s="304"/>
      <c r="J272" s="304"/>
      <c r="K272" s="304"/>
      <c r="L272" s="304"/>
      <c r="M272" s="304"/>
      <c r="N272" s="305"/>
    </row>
    <row r="273" spans="3:14" x14ac:dyDescent="0.25">
      <c r="C273" s="304"/>
      <c r="D273" s="304"/>
      <c r="E273" s="304"/>
      <c r="F273" s="304"/>
      <c r="G273" s="304"/>
      <c r="H273" s="304"/>
      <c r="I273" s="304"/>
      <c r="J273" s="304"/>
      <c r="K273" s="304"/>
      <c r="L273" s="304"/>
      <c r="M273" s="304"/>
      <c r="N273" s="305"/>
    </row>
    <row r="274" spans="3:14" x14ac:dyDescent="0.25">
      <c r="C274" s="304"/>
      <c r="D274" s="304"/>
      <c r="E274" s="304"/>
      <c r="F274" s="304"/>
      <c r="G274" s="304"/>
      <c r="H274" s="304"/>
      <c r="I274" s="304"/>
      <c r="J274" s="304"/>
      <c r="K274" s="304"/>
      <c r="L274" s="304"/>
      <c r="M274" s="304"/>
      <c r="N274" s="305"/>
    </row>
    <row r="275" spans="3:14" x14ac:dyDescent="0.25">
      <c r="C275" s="304"/>
      <c r="D275" s="304"/>
      <c r="E275" s="304"/>
      <c r="F275" s="304"/>
      <c r="G275" s="304"/>
      <c r="H275" s="304"/>
      <c r="I275" s="304"/>
      <c r="J275" s="304"/>
      <c r="K275" s="304"/>
      <c r="L275" s="304"/>
      <c r="M275" s="304"/>
      <c r="N275" s="305"/>
    </row>
    <row r="276" spans="3:14" x14ac:dyDescent="0.25">
      <c r="C276" s="304"/>
      <c r="D276" s="304"/>
      <c r="E276" s="304"/>
      <c r="F276" s="304"/>
      <c r="G276" s="304"/>
      <c r="H276" s="304"/>
      <c r="I276" s="304"/>
      <c r="J276" s="304"/>
      <c r="K276" s="304"/>
      <c r="L276" s="304"/>
      <c r="M276" s="304"/>
      <c r="N276" s="305"/>
    </row>
    <row r="277" spans="3:14" x14ac:dyDescent="0.25">
      <c r="C277" s="304"/>
      <c r="D277" s="304"/>
      <c r="E277" s="304"/>
      <c r="F277" s="304"/>
      <c r="G277" s="304"/>
      <c r="H277" s="304"/>
      <c r="I277" s="304"/>
      <c r="J277" s="304"/>
      <c r="K277" s="304"/>
      <c r="L277" s="304"/>
      <c r="M277" s="304"/>
      <c r="N277" s="305"/>
    </row>
    <row r="278" spans="3:14" x14ac:dyDescent="0.25">
      <c r="C278" s="304"/>
      <c r="D278" s="304"/>
      <c r="E278" s="304"/>
      <c r="F278" s="304"/>
      <c r="G278" s="304"/>
      <c r="H278" s="304"/>
      <c r="I278" s="304"/>
      <c r="J278" s="304"/>
      <c r="K278" s="304"/>
      <c r="L278" s="304"/>
      <c r="M278" s="304"/>
      <c r="N278" s="305"/>
    </row>
    <row r="279" spans="3:14" x14ac:dyDescent="0.25">
      <c r="C279" s="304"/>
      <c r="D279" s="304"/>
      <c r="E279" s="304"/>
      <c r="F279" s="304"/>
      <c r="G279" s="304"/>
      <c r="H279" s="304"/>
      <c r="I279" s="304"/>
      <c r="J279" s="304"/>
      <c r="K279" s="304"/>
      <c r="L279" s="304"/>
      <c r="M279" s="304"/>
      <c r="N279" s="305"/>
    </row>
    <row r="280" spans="3:14" x14ac:dyDescent="0.25">
      <c r="C280" s="304"/>
      <c r="D280" s="304"/>
      <c r="E280" s="304"/>
      <c r="F280" s="304"/>
      <c r="G280" s="304"/>
      <c r="H280" s="304"/>
      <c r="I280" s="304"/>
      <c r="J280" s="304"/>
      <c r="K280" s="304"/>
      <c r="L280" s="304"/>
      <c r="M280" s="304"/>
      <c r="N280" s="305"/>
    </row>
    <row r="281" spans="3:14" x14ac:dyDescent="0.25">
      <c r="C281" s="304"/>
      <c r="D281" s="304"/>
      <c r="E281" s="304"/>
      <c r="F281" s="304"/>
      <c r="G281" s="304"/>
      <c r="H281" s="304"/>
      <c r="I281" s="304"/>
      <c r="J281" s="304"/>
      <c r="K281" s="304"/>
      <c r="L281" s="304"/>
      <c r="M281" s="304"/>
      <c r="N281" s="305"/>
    </row>
    <row r="282" spans="3:14" x14ac:dyDescent="0.25">
      <c r="C282" s="304"/>
      <c r="D282" s="304"/>
      <c r="E282" s="304"/>
      <c r="F282" s="304"/>
      <c r="G282" s="304"/>
      <c r="H282" s="304"/>
      <c r="I282" s="304"/>
      <c r="J282" s="304"/>
      <c r="K282" s="304"/>
      <c r="L282" s="304"/>
      <c r="M282" s="304"/>
      <c r="N282" s="305"/>
    </row>
    <row r="283" spans="3:14" x14ac:dyDescent="0.25">
      <c r="C283" s="304"/>
      <c r="D283" s="304"/>
      <c r="E283" s="304"/>
      <c r="F283" s="304"/>
      <c r="G283" s="304"/>
      <c r="H283" s="304"/>
      <c r="I283" s="304"/>
      <c r="J283" s="304"/>
      <c r="K283" s="304"/>
      <c r="L283" s="304"/>
      <c r="M283" s="304"/>
      <c r="N283" s="305"/>
    </row>
    <row r="284" spans="3:14" x14ac:dyDescent="0.25">
      <c r="C284" s="304"/>
      <c r="D284" s="304"/>
      <c r="E284" s="304"/>
      <c r="F284" s="304"/>
      <c r="G284" s="304"/>
      <c r="H284" s="304"/>
      <c r="I284" s="304"/>
      <c r="J284" s="304"/>
      <c r="K284" s="304"/>
      <c r="L284" s="304"/>
      <c r="M284" s="304"/>
      <c r="N284" s="305"/>
    </row>
    <row r="285" spans="3:14" x14ac:dyDescent="0.25">
      <c r="C285" s="304"/>
      <c r="D285" s="304"/>
      <c r="E285" s="304"/>
      <c r="F285" s="304"/>
      <c r="G285" s="304"/>
      <c r="H285" s="304"/>
      <c r="I285" s="304"/>
      <c r="J285" s="304"/>
      <c r="K285" s="304"/>
      <c r="L285" s="304"/>
      <c r="M285" s="304"/>
      <c r="N285" s="305"/>
    </row>
    <row r="286" spans="3:14" x14ac:dyDescent="0.25">
      <c r="C286" s="304"/>
      <c r="D286" s="304"/>
      <c r="E286" s="304"/>
      <c r="F286" s="304"/>
      <c r="G286" s="304"/>
      <c r="H286" s="304"/>
      <c r="I286" s="304"/>
      <c r="J286" s="304"/>
      <c r="K286" s="304"/>
      <c r="L286" s="304"/>
      <c r="M286" s="304"/>
      <c r="N286" s="305"/>
    </row>
    <row r="287" spans="3:14" x14ac:dyDescent="0.25">
      <c r="C287" s="304"/>
      <c r="D287" s="304"/>
      <c r="E287" s="304"/>
      <c r="F287" s="304"/>
      <c r="G287" s="304"/>
      <c r="H287" s="304"/>
      <c r="I287" s="304"/>
      <c r="J287" s="304"/>
      <c r="K287" s="304"/>
      <c r="L287" s="304"/>
      <c r="M287" s="304"/>
      <c r="N287" s="305"/>
    </row>
    <row r="288" spans="3:14" x14ac:dyDescent="0.25">
      <c r="C288" s="304"/>
      <c r="D288" s="304"/>
      <c r="E288" s="304"/>
      <c r="F288" s="304"/>
      <c r="G288" s="304"/>
      <c r="H288" s="304"/>
      <c r="I288" s="304"/>
      <c r="J288" s="304"/>
      <c r="K288" s="304"/>
      <c r="L288" s="304"/>
      <c r="M288" s="304"/>
      <c r="N288" s="305"/>
    </row>
    <row r="289" spans="3:14" x14ac:dyDescent="0.25">
      <c r="C289" s="304"/>
      <c r="D289" s="304"/>
      <c r="E289" s="304"/>
      <c r="F289" s="304"/>
      <c r="G289" s="304"/>
      <c r="H289" s="304"/>
      <c r="I289" s="304"/>
      <c r="J289" s="304"/>
      <c r="K289" s="304"/>
      <c r="L289" s="304"/>
      <c r="M289" s="304"/>
      <c r="N289" s="305"/>
    </row>
    <row r="290" spans="3:14" x14ac:dyDescent="0.25">
      <c r="C290" s="304"/>
      <c r="D290" s="304"/>
      <c r="E290" s="304"/>
      <c r="F290" s="304"/>
      <c r="G290" s="304"/>
      <c r="H290" s="304"/>
      <c r="I290" s="304"/>
      <c r="J290" s="304"/>
      <c r="K290" s="304"/>
      <c r="L290" s="304"/>
      <c r="M290" s="304"/>
      <c r="N290" s="305"/>
    </row>
    <row r="291" spans="3:14" x14ac:dyDescent="0.25">
      <c r="C291" s="304"/>
      <c r="D291" s="304"/>
      <c r="E291" s="304"/>
      <c r="F291" s="304"/>
      <c r="G291" s="304"/>
      <c r="H291" s="304"/>
      <c r="I291" s="304"/>
      <c r="J291" s="304"/>
      <c r="K291" s="304"/>
      <c r="L291" s="304"/>
      <c r="M291" s="304"/>
      <c r="N291" s="305"/>
    </row>
    <row r="292" spans="3:14" x14ac:dyDescent="0.25">
      <c r="C292" s="304"/>
      <c r="D292" s="304"/>
      <c r="E292" s="304"/>
      <c r="F292" s="304"/>
      <c r="G292" s="304"/>
      <c r="H292" s="304"/>
      <c r="I292" s="304"/>
      <c r="J292" s="304"/>
      <c r="K292" s="304"/>
      <c r="L292" s="304"/>
      <c r="M292" s="304"/>
      <c r="N292" s="305"/>
    </row>
    <row r="293" spans="3:14" x14ac:dyDescent="0.25">
      <c r="C293" s="304"/>
      <c r="D293" s="304"/>
      <c r="E293" s="304"/>
      <c r="F293" s="304"/>
      <c r="G293" s="304"/>
      <c r="H293" s="304"/>
      <c r="I293" s="304"/>
      <c r="J293" s="304"/>
      <c r="K293" s="304"/>
      <c r="L293" s="304"/>
      <c r="M293" s="304"/>
      <c r="N293" s="305"/>
    </row>
    <row r="294" spans="3:14" x14ac:dyDescent="0.25">
      <c r="C294" s="304"/>
      <c r="D294" s="304"/>
      <c r="E294" s="304"/>
      <c r="F294" s="304"/>
      <c r="G294" s="304"/>
      <c r="H294" s="304"/>
      <c r="I294" s="304"/>
      <c r="J294" s="304"/>
      <c r="K294" s="304"/>
      <c r="L294" s="304"/>
      <c r="M294" s="304"/>
      <c r="N294" s="305"/>
    </row>
    <row r="295" spans="3:14" x14ac:dyDescent="0.25">
      <c r="C295" s="304"/>
      <c r="D295" s="304"/>
      <c r="E295" s="304"/>
      <c r="F295" s="304"/>
      <c r="G295" s="304"/>
      <c r="H295" s="304"/>
      <c r="I295" s="304"/>
      <c r="J295" s="304"/>
      <c r="K295" s="304"/>
      <c r="L295" s="304"/>
      <c r="M295" s="304"/>
      <c r="N295" s="305"/>
    </row>
    <row r="296" spans="3:14" x14ac:dyDescent="0.25">
      <c r="C296" s="304"/>
      <c r="D296" s="304"/>
      <c r="E296" s="304"/>
      <c r="F296" s="304"/>
      <c r="G296" s="304"/>
      <c r="H296" s="304"/>
      <c r="I296" s="304"/>
      <c r="J296" s="304"/>
      <c r="K296" s="304"/>
      <c r="L296" s="304"/>
      <c r="M296" s="304"/>
      <c r="N296" s="305"/>
    </row>
    <row r="297" spans="3:14" x14ac:dyDescent="0.25">
      <c r="C297" s="304"/>
      <c r="D297" s="304"/>
      <c r="E297" s="304"/>
      <c r="F297" s="304"/>
      <c r="G297" s="304"/>
      <c r="H297" s="304"/>
      <c r="I297" s="304"/>
      <c r="J297" s="304"/>
      <c r="K297" s="304"/>
      <c r="L297" s="304"/>
      <c r="M297" s="304"/>
      <c r="N297" s="305"/>
    </row>
    <row r="298" spans="3:14" x14ac:dyDescent="0.25">
      <c r="C298" s="304"/>
      <c r="D298" s="304"/>
      <c r="E298" s="304"/>
      <c r="F298" s="304"/>
      <c r="G298" s="304"/>
      <c r="H298" s="304"/>
      <c r="I298" s="304"/>
      <c r="J298" s="304"/>
      <c r="K298" s="304"/>
      <c r="L298" s="304"/>
      <c r="M298" s="304"/>
      <c r="N298" s="305"/>
    </row>
    <row r="299" spans="3:14" x14ac:dyDescent="0.25">
      <c r="C299" s="304"/>
      <c r="D299" s="304"/>
      <c r="E299" s="304"/>
      <c r="F299" s="304"/>
      <c r="G299" s="304"/>
      <c r="H299" s="304"/>
      <c r="I299" s="304"/>
      <c r="J299" s="304"/>
      <c r="K299" s="304"/>
      <c r="L299" s="304"/>
      <c r="M299" s="304"/>
      <c r="N299" s="305"/>
    </row>
    <row r="300" spans="3:14" x14ac:dyDescent="0.25">
      <c r="C300" s="304"/>
      <c r="D300" s="304"/>
      <c r="E300" s="304"/>
      <c r="F300" s="304"/>
      <c r="G300" s="304"/>
      <c r="H300" s="304"/>
      <c r="I300" s="304"/>
      <c r="J300" s="304"/>
      <c r="K300" s="304"/>
      <c r="L300" s="304"/>
      <c r="M300" s="304"/>
      <c r="N300" s="305"/>
    </row>
    <row r="301" spans="3:14" x14ac:dyDescent="0.25">
      <c r="C301" s="304"/>
      <c r="D301" s="304"/>
      <c r="E301" s="304"/>
      <c r="F301" s="304"/>
      <c r="G301" s="304"/>
      <c r="H301" s="304"/>
      <c r="I301" s="304"/>
      <c r="J301" s="304"/>
      <c r="K301" s="304"/>
      <c r="L301" s="304"/>
      <c r="M301" s="304"/>
      <c r="N301" s="305"/>
    </row>
    <row r="302" spans="3:14" x14ac:dyDescent="0.25">
      <c r="C302" s="304"/>
      <c r="D302" s="304"/>
      <c r="E302" s="304"/>
      <c r="F302" s="304"/>
      <c r="G302" s="304"/>
      <c r="H302" s="304"/>
      <c r="I302" s="304"/>
      <c r="J302" s="304"/>
      <c r="K302" s="304"/>
      <c r="L302" s="304"/>
      <c r="M302" s="304"/>
      <c r="N302" s="305"/>
    </row>
    <row r="303" spans="3:14" x14ac:dyDescent="0.25">
      <c r="C303" s="304"/>
      <c r="D303" s="304"/>
      <c r="E303" s="304"/>
      <c r="F303" s="304"/>
      <c r="G303" s="304"/>
      <c r="H303" s="304"/>
      <c r="I303" s="304"/>
      <c r="J303" s="304"/>
      <c r="K303" s="304"/>
      <c r="L303" s="304"/>
      <c r="M303" s="304"/>
      <c r="N303" s="305"/>
    </row>
    <row r="304" spans="3:14" x14ac:dyDescent="0.25">
      <c r="C304" s="304"/>
      <c r="D304" s="304"/>
      <c r="E304" s="304"/>
      <c r="F304" s="304"/>
      <c r="G304" s="304"/>
      <c r="H304" s="304"/>
      <c r="I304" s="304"/>
      <c r="J304" s="304"/>
      <c r="K304" s="304"/>
      <c r="L304" s="304"/>
      <c r="M304" s="304"/>
      <c r="N304" s="305"/>
    </row>
    <row r="305" spans="3:14" x14ac:dyDescent="0.25">
      <c r="C305" s="304"/>
      <c r="D305" s="304"/>
      <c r="E305" s="304"/>
      <c r="F305" s="304"/>
      <c r="G305" s="304"/>
      <c r="H305" s="304"/>
      <c r="I305" s="304"/>
      <c r="J305" s="304"/>
      <c r="K305" s="304"/>
      <c r="L305" s="304"/>
      <c r="M305" s="304"/>
      <c r="N305" s="305"/>
    </row>
    <row r="306" spans="3:14" x14ac:dyDescent="0.25">
      <c r="C306" s="304"/>
      <c r="D306" s="304"/>
      <c r="E306" s="304"/>
      <c r="F306" s="304"/>
      <c r="G306" s="304"/>
      <c r="H306" s="304"/>
      <c r="I306" s="304"/>
      <c r="J306" s="304"/>
      <c r="K306" s="304"/>
      <c r="L306" s="304"/>
      <c r="M306" s="304"/>
      <c r="N306" s="305"/>
    </row>
    <row r="307" spans="3:14" x14ac:dyDescent="0.25">
      <c r="C307" s="304"/>
      <c r="D307" s="304"/>
      <c r="E307" s="304"/>
      <c r="F307" s="304"/>
      <c r="G307" s="304"/>
      <c r="H307" s="304"/>
      <c r="I307" s="304"/>
      <c r="J307" s="304"/>
      <c r="K307" s="304"/>
      <c r="L307" s="304"/>
      <c r="M307" s="304"/>
      <c r="N307" s="305"/>
    </row>
    <row r="308" spans="3:14" x14ac:dyDescent="0.25">
      <c r="C308" s="304"/>
      <c r="D308" s="304"/>
      <c r="E308" s="304"/>
      <c r="F308" s="304"/>
      <c r="G308" s="304"/>
      <c r="H308" s="304"/>
      <c r="I308" s="304"/>
      <c r="J308" s="304"/>
      <c r="K308" s="304"/>
      <c r="L308" s="304"/>
      <c r="M308" s="304"/>
      <c r="N308" s="305"/>
    </row>
    <row r="309" spans="3:14" x14ac:dyDescent="0.25">
      <c r="C309" s="304"/>
      <c r="D309" s="304"/>
      <c r="E309" s="304"/>
      <c r="F309" s="304"/>
      <c r="G309" s="304"/>
      <c r="H309" s="304"/>
      <c r="I309" s="304"/>
      <c r="J309" s="304"/>
      <c r="K309" s="304"/>
      <c r="L309" s="304"/>
      <c r="M309" s="304"/>
      <c r="N309" s="305"/>
    </row>
    <row r="310" spans="3:14" x14ac:dyDescent="0.25">
      <c r="C310" s="304"/>
      <c r="D310" s="304"/>
      <c r="E310" s="304"/>
      <c r="F310" s="304"/>
      <c r="G310" s="304"/>
      <c r="H310" s="304"/>
      <c r="I310" s="304"/>
      <c r="J310" s="304"/>
      <c r="K310" s="304"/>
      <c r="L310" s="304"/>
      <c r="M310" s="304"/>
      <c r="N310" s="305"/>
    </row>
    <row r="311" spans="3:14" x14ac:dyDescent="0.25">
      <c r="C311" s="304"/>
      <c r="D311" s="304"/>
      <c r="E311" s="304"/>
      <c r="F311" s="304"/>
      <c r="G311" s="304"/>
      <c r="H311" s="304"/>
      <c r="I311" s="304"/>
      <c r="J311" s="304"/>
      <c r="K311" s="304"/>
      <c r="L311" s="304"/>
      <c r="M311" s="304"/>
      <c r="N311" s="305"/>
    </row>
    <row r="312" spans="3:14" x14ac:dyDescent="0.25">
      <c r="C312" s="304"/>
      <c r="D312" s="304"/>
      <c r="E312" s="304"/>
      <c r="F312" s="304"/>
      <c r="G312" s="304"/>
      <c r="H312" s="304"/>
      <c r="I312" s="304"/>
      <c r="J312" s="304"/>
      <c r="K312" s="304"/>
      <c r="L312" s="304"/>
      <c r="M312" s="304"/>
      <c r="N312" s="305"/>
    </row>
    <row r="313" spans="3:14" x14ac:dyDescent="0.25">
      <c r="C313" s="304"/>
      <c r="D313" s="304"/>
      <c r="E313" s="304"/>
      <c r="F313" s="304"/>
      <c r="G313" s="304"/>
      <c r="H313" s="304"/>
      <c r="I313" s="304"/>
      <c r="J313" s="304"/>
      <c r="K313" s="304"/>
      <c r="L313" s="304"/>
      <c r="M313" s="304"/>
      <c r="N313" s="305"/>
    </row>
    <row r="314" spans="3:14" x14ac:dyDescent="0.25">
      <c r="C314" s="304"/>
      <c r="D314" s="304"/>
      <c r="E314" s="304"/>
      <c r="F314" s="304"/>
      <c r="G314" s="304"/>
      <c r="H314" s="304"/>
      <c r="I314" s="304"/>
      <c r="J314" s="304"/>
      <c r="K314" s="304"/>
      <c r="L314" s="304"/>
      <c r="M314" s="304"/>
      <c r="N314" s="305"/>
    </row>
    <row r="315" spans="3:14" x14ac:dyDescent="0.25">
      <c r="C315" s="304"/>
      <c r="D315" s="304"/>
      <c r="E315" s="304"/>
      <c r="F315" s="304"/>
      <c r="G315" s="304"/>
      <c r="H315" s="304"/>
      <c r="I315" s="304"/>
      <c r="J315" s="304"/>
      <c r="K315" s="304"/>
      <c r="L315" s="304"/>
      <c r="M315" s="304"/>
      <c r="N315" s="305"/>
    </row>
    <row r="316" spans="3:14" x14ac:dyDescent="0.25">
      <c r="C316" s="304"/>
      <c r="D316" s="304"/>
      <c r="E316" s="304"/>
      <c r="F316" s="304"/>
      <c r="G316" s="304"/>
      <c r="H316" s="304"/>
      <c r="I316" s="304"/>
      <c r="J316" s="304"/>
      <c r="K316" s="304"/>
      <c r="L316" s="304"/>
      <c r="M316" s="304"/>
      <c r="N316" s="305"/>
    </row>
    <row r="317" spans="3:14" x14ac:dyDescent="0.25">
      <c r="C317" s="304"/>
      <c r="D317" s="304"/>
      <c r="E317" s="304"/>
      <c r="F317" s="304"/>
      <c r="G317" s="304"/>
      <c r="H317" s="304"/>
      <c r="I317" s="304"/>
      <c r="J317" s="304"/>
      <c r="K317" s="304"/>
      <c r="L317" s="304"/>
      <c r="M317" s="304"/>
      <c r="N317" s="305"/>
    </row>
    <row r="318" spans="3:14" x14ac:dyDescent="0.25">
      <c r="C318" s="304"/>
      <c r="D318" s="304"/>
      <c r="E318" s="304"/>
      <c r="F318" s="304"/>
      <c r="G318" s="304"/>
      <c r="H318" s="304"/>
      <c r="I318" s="304"/>
      <c r="J318" s="304"/>
      <c r="K318" s="304"/>
      <c r="L318" s="304"/>
      <c r="M318" s="304"/>
      <c r="N318" s="305"/>
    </row>
    <row r="319" spans="3:14" x14ac:dyDescent="0.25">
      <c r="C319" s="304"/>
      <c r="D319" s="304"/>
      <c r="E319" s="304"/>
      <c r="F319" s="304"/>
      <c r="G319" s="304"/>
      <c r="H319" s="304"/>
      <c r="I319" s="304"/>
      <c r="J319" s="304"/>
      <c r="K319" s="304"/>
      <c r="L319" s="304"/>
      <c r="M319" s="304"/>
      <c r="N319" s="305"/>
    </row>
    <row r="320" spans="3:14" x14ac:dyDescent="0.25">
      <c r="C320" s="304"/>
      <c r="D320" s="304"/>
      <c r="E320" s="304"/>
      <c r="F320" s="304"/>
      <c r="G320" s="304"/>
      <c r="H320" s="304"/>
      <c r="I320" s="304"/>
      <c r="J320" s="304"/>
      <c r="K320" s="304"/>
      <c r="L320" s="304"/>
      <c r="M320" s="304"/>
      <c r="N320" s="305"/>
    </row>
    <row r="321" spans="3:14" x14ac:dyDescent="0.25">
      <c r="C321" s="304"/>
      <c r="D321" s="304"/>
      <c r="E321" s="304"/>
      <c r="F321" s="304"/>
      <c r="G321" s="304"/>
      <c r="H321" s="304"/>
      <c r="I321" s="304"/>
      <c r="J321" s="304"/>
      <c r="K321" s="304"/>
      <c r="L321" s="304"/>
      <c r="M321" s="304"/>
      <c r="N321" s="305"/>
    </row>
    <row r="322" spans="3:14" x14ac:dyDescent="0.25">
      <c r="C322" s="304"/>
      <c r="D322" s="304"/>
      <c r="E322" s="304"/>
      <c r="F322" s="304"/>
      <c r="G322" s="304"/>
      <c r="H322" s="304"/>
      <c r="I322" s="304"/>
      <c r="J322" s="304"/>
      <c r="K322" s="304"/>
      <c r="L322" s="304"/>
      <c r="M322" s="304"/>
      <c r="N322" s="305"/>
    </row>
    <row r="323" spans="3:14" x14ac:dyDescent="0.25">
      <c r="C323" s="304"/>
      <c r="D323" s="304"/>
      <c r="E323" s="304"/>
      <c r="F323" s="304"/>
      <c r="G323" s="304"/>
      <c r="H323" s="304"/>
      <c r="I323" s="304"/>
      <c r="J323" s="304"/>
      <c r="K323" s="304"/>
      <c r="L323" s="304"/>
      <c r="M323" s="304"/>
      <c r="N323" s="305"/>
    </row>
    <row r="324" spans="3:14" x14ac:dyDescent="0.25">
      <c r="C324" s="304"/>
      <c r="D324" s="304"/>
      <c r="E324" s="304"/>
      <c r="F324" s="304"/>
      <c r="G324" s="304"/>
      <c r="H324" s="304"/>
      <c r="I324" s="304"/>
      <c r="J324" s="304"/>
      <c r="K324" s="304"/>
      <c r="L324" s="304"/>
      <c r="M324" s="304"/>
      <c r="N324" s="305"/>
    </row>
    <row r="325" spans="3:14" x14ac:dyDescent="0.25">
      <c r="C325" s="304"/>
      <c r="D325" s="304"/>
      <c r="E325" s="304"/>
      <c r="F325" s="304"/>
      <c r="G325" s="304"/>
      <c r="H325" s="304"/>
      <c r="I325" s="304"/>
      <c r="J325" s="304"/>
      <c r="K325" s="304"/>
      <c r="L325" s="304"/>
      <c r="M325" s="304"/>
      <c r="N325" s="305"/>
    </row>
    <row r="326" spans="3:14" x14ac:dyDescent="0.25">
      <c r="C326" s="304"/>
      <c r="D326" s="304"/>
      <c r="E326" s="304"/>
      <c r="F326" s="304"/>
      <c r="G326" s="304"/>
      <c r="H326" s="304"/>
      <c r="I326" s="304"/>
      <c r="J326" s="304"/>
      <c r="K326" s="304"/>
      <c r="L326" s="304"/>
      <c r="M326" s="304"/>
      <c r="N326" s="305"/>
    </row>
    <row r="327" spans="3:14" x14ac:dyDescent="0.25">
      <c r="C327" s="304"/>
      <c r="D327" s="304"/>
      <c r="E327" s="304"/>
      <c r="F327" s="304"/>
      <c r="G327" s="304"/>
      <c r="H327" s="304"/>
      <c r="I327" s="304"/>
      <c r="J327" s="304"/>
      <c r="K327" s="304"/>
      <c r="L327" s="304"/>
      <c r="M327" s="304"/>
      <c r="N327" s="305"/>
    </row>
    <row r="328" spans="3:14" x14ac:dyDescent="0.25">
      <c r="C328" s="304"/>
      <c r="D328" s="304"/>
      <c r="E328" s="304"/>
      <c r="F328" s="304"/>
      <c r="G328" s="304"/>
      <c r="H328" s="304"/>
      <c r="I328" s="304"/>
      <c r="J328" s="304"/>
      <c r="K328" s="304"/>
      <c r="L328" s="304"/>
      <c r="M328" s="304"/>
      <c r="N328" s="305"/>
    </row>
    <row r="329" spans="3:14" x14ac:dyDescent="0.25">
      <c r="C329" s="304"/>
      <c r="D329" s="304"/>
      <c r="E329" s="304"/>
      <c r="F329" s="304"/>
      <c r="G329" s="304"/>
      <c r="H329" s="304"/>
      <c r="I329" s="304"/>
      <c r="J329" s="304"/>
      <c r="K329" s="304"/>
      <c r="L329" s="304"/>
      <c r="M329" s="304"/>
      <c r="N329" s="305"/>
    </row>
    <row r="330" spans="3:14" x14ac:dyDescent="0.25">
      <c r="C330" s="304"/>
      <c r="D330" s="304"/>
      <c r="E330" s="304"/>
      <c r="F330" s="304"/>
      <c r="G330" s="304"/>
      <c r="H330" s="304"/>
      <c r="I330" s="304"/>
      <c r="J330" s="304"/>
      <c r="K330" s="304"/>
      <c r="L330" s="304"/>
      <c r="M330" s="304"/>
      <c r="N330" s="305"/>
    </row>
    <row r="331" spans="3:14" x14ac:dyDescent="0.25">
      <c r="C331" s="304"/>
      <c r="D331" s="304"/>
      <c r="E331" s="304"/>
      <c r="F331" s="304"/>
      <c r="G331" s="304"/>
      <c r="H331" s="304"/>
      <c r="I331" s="304"/>
      <c r="J331" s="304"/>
      <c r="K331" s="304"/>
      <c r="L331" s="304"/>
      <c r="M331" s="304"/>
      <c r="N331" s="305"/>
    </row>
    <row r="332" spans="3:14" x14ac:dyDescent="0.25">
      <c r="C332" s="304"/>
      <c r="D332" s="304"/>
      <c r="E332" s="304"/>
      <c r="F332" s="304"/>
      <c r="G332" s="304"/>
      <c r="H332" s="304"/>
      <c r="I332" s="304"/>
      <c r="J332" s="304"/>
      <c r="K332" s="304"/>
      <c r="L332" s="304"/>
      <c r="M332" s="304"/>
      <c r="N332" s="305"/>
    </row>
    <row r="333" spans="3:14" x14ac:dyDescent="0.25">
      <c r="C333" s="304"/>
      <c r="D333" s="304"/>
      <c r="E333" s="304"/>
      <c r="F333" s="304"/>
      <c r="G333" s="304"/>
      <c r="H333" s="304"/>
      <c r="I333" s="304"/>
      <c r="J333" s="304"/>
      <c r="K333" s="304"/>
      <c r="L333" s="304"/>
      <c r="M333" s="304"/>
      <c r="N333" s="305"/>
    </row>
    <row r="334" spans="3:14" x14ac:dyDescent="0.25">
      <c r="C334" s="304"/>
      <c r="D334" s="304"/>
      <c r="E334" s="304"/>
      <c r="F334" s="304"/>
      <c r="G334" s="304"/>
      <c r="H334" s="304"/>
      <c r="I334" s="304"/>
      <c r="J334" s="304"/>
      <c r="K334" s="304"/>
      <c r="L334" s="304"/>
      <c r="M334" s="304"/>
      <c r="N334" s="305"/>
    </row>
    <row r="335" spans="3:14" x14ac:dyDescent="0.25">
      <c r="C335" s="304"/>
      <c r="D335" s="304"/>
      <c r="E335" s="304"/>
      <c r="F335" s="304"/>
      <c r="G335" s="304"/>
      <c r="H335" s="304"/>
      <c r="I335" s="304"/>
      <c r="J335" s="304"/>
      <c r="K335" s="304"/>
      <c r="L335" s="304"/>
      <c r="M335" s="304"/>
      <c r="N335" s="305"/>
    </row>
    <row r="336" spans="3:14" x14ac:dyDescent="0.25">
      <c r="C336" s="304"/>
      <c r="D336" s="304"/>
      <c r="E336" s="304"/>
      <c r="F336" s="304"/>
      <c r="G336" s="304"/>
      <c r="H336" s="304"/>
      <c r="I336" s="304"/>
      <c r="J336" s="304"/>
      <c r="K336" s="304"/>
      <c r="L336" s="304"/>
      <c r="M336" s="304"/>
      <c r="N336" s="305"/>
    </row>
    <row r="337" spans="3:14" x14ac:dyDescent="0.25">
      <c r="C337" s="304"/>
      <c r="D337" s="304"/>
      <c r="E337" s="304"/>
      <c r="F337" s="304"/>
      <c r="G337" s="304"/>
      <c r="H337" s="304"/>
      <c r="I337" s="304"/>
      <c r="J337" s="304"/>
      <c r="K337" s="304"/>
      <c r="L337" s="304"/>
      <c r="M337" s="304"/>
      <c r="N337" s="305"/>
    </row>
    <row r="338" spans="3:14" x14ac:dyDescent="0.25">
      <c r="C338" s="304"/>
      <c r="D338" s="304"/>
      <c r="E338" s="304"/>
      <c r="F338" s="304"/>
      <c r="G338" s="304"/>
      <c r="H338" s="304"/>
      <c r="I338" s="304"/>
      <c r="J338" s="304"/>
      <c r="K338" s="304"/>
      <c r="L338" s="304"/>
      <c r="M338" s="304"/>
      <c r="N338" s="305"/>
    </row>
    <row r="339" spans="3:14" x14ac:dyDescent="0.25">
      <c r="C339" s="304"/>
      <c r="D339" s="304"/>
      <c r="E339" s="304"/>
      <c r="F339" s="304"/>
      <c r="G339" s="304"/>
      <c r="H339" s="304"/>
      <c r="I339" s="304"/>
      <c r="J339" s="304"/>
      <c r="K339" s="304"/>
      <c r="L339" s="304"/>
      <c r="M339" s="304"/>
      <c r="N339" s="305"/>
    </row>
    <row r="340" spans="3:14" x14ac:dyDescent="0.25">
      <c r="C340" s="304"/>
      <c r="D340" s="304"/>
      <c r="E340" s="304"/>
      <c r="F340" s="304"/>
      <c r="G340" s="304"/>
      <c r="H340" s="304"/>
      <c r="I340" s="304"/>
      <c r="J340" s="304"/>
      <c r="K340" s="304"/>
      <c r="L340" s="304"/>
      <c r="M340" s="304"/>
      <c r="N340" s="305"/>
    </row>
    <row r="341" spans="3:14" x14ac:dyDescent="0.25">
      <c r="C341" s="304"/>
      <c r="D341" s="304"/>
      <c r="E341" s="304"/>
      <c r="F341" s="304"/>
      <c r="G341" s="304"/>
      <c r="H341" s="304"/>
      <c r="I341" s="304"/>
      <c r="J341" s="304"/>
      <c r="K341" s="304"/>
      <c r="L341" s="304"/>
      <c r="M341" s="304"/>
      <c r="N341" s="305"/>
    </row>
    <row r="342" spans="3:14" x14ac:dyDescent="0.25">
      <c r="C342" s="304"/>
      <c r="D342" s="304"/>
      <c r="E342" s="304"/>
      <c r="F342" s="304"/>
      <c r="G342" s="304"/>
      <c r="H342" s="304"/>
      <c r="I342" s="304"/>
      <c r="J342" s="304"/>
      <c r="K342" s="304"/>
      <c r="L342" s="304"/>
      <c r="M342" s="304"/>
      <c r="N342" s="305"/>
    </row>
    <row r="343" spans="3:14" x14ac:dyDescent="0.25">
      <c r="C343" s="304"/>
      <c r="D343" s="304"/>
      <c r="E343" s="304"/>
      <c r="F343" s="304"/>
      <c r="G343" s="304"/>
      <c r="H343" s="304"/>
      <c r="I343" s="304"/>
      <c r="J343" s="304"/>
      <c r="K343" s="304"/>
      <c r="L343" s="304"/>
      <c r="M343" s="304"/>
      <c r="N343" s="305"/>
    </row>
    <row r="344" spans="3:14" x14ac:dyDescent="0.25">
      <c r="C344" s="304"/>
      <c r="D344" s="304"/>
      <c r="E344" s="304"/>
      <c r="F344" s="304"/>
      <c r="G344" s="304"/>
      <c r="H344" s="304"/>
      <c r="I344" s="304"/>
      <c r="J344" s="304"/>
      <c r="K344" s="304"/>
      <c r="L344" s="304"/>
      <c r="M344" s="304"/>
      <c r="N344" s="305"/>
    </row>
    <row r="345" spans="3:14" x14ac:dyDescent="0.25">
      <c r="C345" s="304"/>
      <c r="D345" s="304"/>
      <c r="E345" s="304"/>
      <c r="F345" s="304"/>
      <c r="G345" s="304"/>
      <c r="H345" s="304"/>
      <c r="I345" s="304"/>
      <c r="J345" s="304"/>
      <c r="K345" s="304"/>
      <c r="L345" s="304"/>
      <c r="M345" s="304"/>
      <c r="N345" s="305"/>
    </row>
    <row r="346" spans="3:14" x14ac:dyDescent="0.25">
      <c r="C346" s="304"/>
      <c r="D346" s="304"/>
      <c r="E346" s="304"/>
      <c r="F346" s="304"/>
      <c r="G346" s="304"/>
      <c r="H346" s="304"/>
      <c r="I346" s="304"/>
      <c r="J346" s="304"/>
      <c r="K346" s="304"/>
      <c r="L346" s="304"/>
      <c r="M346" s="304"/>
      <c r="N346" s="305"/>
    </row>
    <row r="347" spans="3:14" x14ac:dyDescent="0.25">
      <c r="C347" s="304"/>
      <c r="D347" s="304"/>
      <c r="E347" s="304"/>
      <c r="F347" s="304"/>
      <c r="G347" s="304"/>
      <c r="H347" s="304"/>
      <c r="I347" s="304"/>
      <c r="J347" s="304"/>
      <c r="K347" s="304"/>
      <c r="L347" s="304"/>
      <c r="M347" s="304"/>
      <c r="N347" s="305"/>
    </row>
    <row r="348" spans="3:14" x14ac:dyDescent="0.25">
      <c r="C348" s="304"/>
      <c r="D348" s="304"/>
      <c r="E348" s="304"/>
      <c r="F348" s="304"/>
      <c r="G348" s="304"/>
      <c r="H348" s="304"/>
      <c r="I348" s="304"/>
      <c r="J348" s="304"/>
      <c r="K348" s="304"/>
      <c r="L348" s="304"/>
      <c r="M348" s="304"/>
      <c r="N348" s="305"/>
    </row>
    <row r="349" spans="3:14" x14ac:dyDescent="0.25">
      <c r="C349" s="304"/>
      <c r="D349" s="304"/>
      <c r="E349" s="304"/>
      <c r="F349" s="304"/>
      <c r="G349" s="304"/>
      <c r="H349" s="304"/>
      <c r="I349" s="304"/>
      <c r="J349" s="304"/>
      <c r="K349" s="304"/>
      <c r="L349" s="304"/>
      <c r="M349" s="304"/>
      <c r="N349" s="305"/>
    </row>
    <row r="350" spans="3:14" x14ac:dyDescent="0.25">
      <c r="C350" s="304"/>
      <c r="D350" s="304"/>
      <c r="E350" s="304"/>
      <c r="F350" s="304"/>
      <c r="G350" s="304"/>
      <c r="H350" s="304"/>
      <c r="I350" s="304"/>
      <c r="J350" s="304"/>
      <c r="K350" s="304"/>
      <c r="L350" s="304"/>
      <c r="M350" s="304"/>
      <c r="N350" s="305"/>
    </row>
    <row r="351" spans="3:14" x14ac:dyDescent="0.25">
      <c r="C351" s="304"/>
      <c r="D351" s="304"/>
      <c r="E351" s="304"/>
      <c r="F351" s="304"/>
      <c r="G351" s="304"/>
      <c r="H351" s="304"/>
      <c r="I351" s="304"/>
      <c r="J351" s="304"/>
      <c r="K351" s="304"/>
      <c r="L351" s="304"/>
      <c r="M351" s="304"/>
      <c r="N351" s="305"/>
    </row>
    <row r="352" spans="3:14" x14ac:dyDescent="0.25">
      <c r="C352" s="304"/>
      <c r="D352" s="304"/>
      <c r="E352" s="304"/>
      <c r="F352" s="304"/>
      <c r="G352" s="304"/>
      <c r="H352" s="304"/>
      <c r="I352" s="304"/>
      <c r="J352" s="304"/>
      <c r="K352" s="304"/>
      <c r="L352" s="304"/>
      <c r="M352" s="304"/>
      <c r="N352" s="305"/>
    </row>
    <row r="353" spans="3:14" x14ac:dyDescent="0.25">
      <c r="C353" s="304"/>
      <c r="D353" s="304"/>
      <c r="E353" s="304"/>
      <c r="F353" s="304"/>
      <c r="G353" s="304"/>
      <c r="H353" s="304"/>
      <c r="I353" s="304"/>
      <c r="J353" s="304"/>
      <c r="K353" s="304"/>
      <c r="L353" s="304"/>
      <c r="M353" s="304"/>
      <c r="N353" s="305"/>
    </row>
    <row r="354" spans="3:14" x14ac:dyDescent="0.25">
      <c r="C354" s="304"/>
      <c r="D354" s="304"/>
      <c r="E354" s="304"/>
      <c r="F354" s="304"/>
      <c r="G354" s="304"/>
      <c r="H354" s="304"/>
      <c r="I354" s="304"/>
      <c r="J354" s="304"/>
      <c r="K354" s="304"/>
      <c r="L354" s="304"/>
      <c r="M354" s="304"/>
      <c r="N354" s="305"/>
    </row>
    <row r="355" spans="3:14" x14ac:dyDescent="0.25">
      <c r="C355" s="304"/>
      <c r="D355" s="304"/>
      <c r="E355" s="304"/>
      <c r="F355" s="304"/>
      <c r="G355" s="304"/>
      <c r="H355" s="304"/>
      <c r="I355" s="304"/>
      <c r="J355" s="304"/>
      <c r="K355" s="304"/>
      <c r="L355" s="304"/>
      <c r="M355" s="304"/>
      <c r="N355" s="305"/>
    </row>
    <row r="356" spans="3:14" x14ac:dyDescent="0.25">
      <c r="C356" s="304"/>
      <c r="D356" s="304"/>
      <c r="E356" s="304"/>
      <c r="F356" s="304"/>
      <c r="G356" s="304"/>
      <c r="H356" s="304"/>
      <c r="I356" s="304"/>
      <c r="J356" s="304"/>
      <c r="K356" s="304"/>
      <c r="L356" s="304"/>
      <c r="M356" s="304"/>
      <c r="N356" s="305"/>
    </row>
    <row r="357" spans="3:14" x14ac:dyDescent="0.25">
      <c r="C357" s="304"/>
      <c r="D357" s="304"/>
      <c r="E357" s="304"/>
      <c r="F357" s="304"/>
      <c r="G357" s="304"/>
      <c r="H357" s="304"/>
      <c r="I357" s="304"/>
      <c r="J357" s="304"/>
      <c r="K357" s="304"/>
      <c r="L357" s="304"/>
      <c r="M357" s="304"/>
      <c r="N357" s="305"/>
    </row>
    <row r="358" spans="3:14" x14ac:dyDescent="0.25">
      <c r="C358" s="304"/>
      <c r="D358" s="304"/>
      <c r="E358" s="304"/>
      <c r="F358" s="304"/>
      <c r="G358" s="304"/>
      <c r="H358" s="304"/>
      <c r="I358" s="304"/>
      <c r="J358" s="304"/>
      <c r="K358" s="304"/>
      <c r="L358" s="304"/>
      <c r="M358" s="304"/>
      <c r="N358" s="305"/>
    </row>
    <row r="359" spans="3:14" x14ac:dyDescent="0.25">
      <c r="C359" s="304"/>
      <c r="D359" s="304"/>
      <c r="E359" s="304"/>
      <c r="F359" s="304"/>
      <c r="G359" s="304"/>
      <c r="H359" s="304"/>
      <c r="I359" s="304"/>
      <c r="J359" s="304"/>
      <c r="K359" s="304"/>
      <c r="L359" s="304"/>
      <c r="M359" s="304"/>
      <c r="N359" s="305"/>
    </row>
    <row r="360" spans="3:14" x14ac:dyDescent="0.25">
      <c r="C360" s="304"/>
      <c r="D360" s="304"/>
      <c r="E360" s="304"/>
      <c r="F360" s="304"/>
      <c r="G360" s="304"/>
      <c r="H360" s="304"/>
      <c r="I360" s="304"/>
      <c r="J360" s="304"/>
      <c r="K360" s="304"/>
      <c r="L360" s="304"/>
      <c r="M360" s="304"/>
      <c r="N360" s="305"/>
    </row>
    <row r="361" spans="3:14" x14ac:dyDescent="0.25">
      <c r="C361" s="304"/>
      <c r="D361" s="304"/>
      <c r="E361" s="304"/>
      <c r="F361" s="304"/>
      <c r="G361" s="304"/>
      <c r="H361" s="304"/>
      <c r="I361" s="304"/>
      <c r="J361" s="304"/>
      <c r="K361" s="304"/>
      <c r="L361" s="304"/>
      <c r="M361" s="304"/>
      <c r="N361" s="305"/>
    </row>
    <row r="362" spans="3:14" x14ac:dyDescent="0.25">
      <c r="C362" s="304"/>
      <c r="D362" s="304"/>
      <c r="E362" s="304"/>
      <c r="F362" s="304"/>
      <c r="G362" s="304"/>
      <c r="H362" s="304"/>
      <c r="I362" s="304"/>
      <c r="J362" s="304"/>
      <c r="K362" s="304"/>
      <c r="L362" s="304"/>
      <c r="M362" s="304"/>
      <c r="N362" s="305"/>
    </row>
    <row r="363" spans="3:14" x14ac:dyDescent="0.25">
      <c r="C363" s="304"/>
      <c r="D363" s="304"/>
      <c r="E363" s="304"/>
      <c r="F363" s="304"/>
      <c r="G363" s="304"/>
      <c r="H363" s="304"/>
      <c r="I363" s="304"/>
      <c r="J363" s="304"/>
      <c r="K363" s="304"/>
      <c r="L363" s="304"/>
      <c r="M363" s="304"/>
      <c r="N363" s="305"/>
    </row>
    <row r="364" spans="3:14" x14ac:dyDescent="0.25">
      <c r="C364" s="304"/>
      <c r="D364" s="304"/>
      <c r="E364" s="304"/>
      <c r="F364" s="304"/>
      <c r="G364" s="304"/>
      <c r="H364" s="304"/>
      <c r="I364" s="304"/>
      <c r="J364" s="304"/>
      <c r="K364" s="304"/>
      <c r="L364" s="304"/>
      <c r="M364" s="304"/>
      <c r="N364" s="305"/>
    </row>
    <row r="365" spans="3:14" x14ac:dyDescent="0.25">
      <c r="C365" s="304"/>
      <c r="D365" s="304"/>
      <c r="E365" s="304"/>
      <c r="F365" s="304"/>
      <c r="G365" s="304"/>
      <c r="H365" s="304"/>
      <c r="I365" s="304"/>
      <c r="J365" s="304"/>
      <c r="K365" s="304"/>
      <c r="L365" s="304"/>
      <c r="M365" s="304"/>
      <c r="N365" s="305"/>
    </row>
    <row r="366" spans="3:14" x14ac:dyDescent="0.25">
      <c r="C366" s="304"/>
      <c r="D366" s="304"/>
      <c r="E366" s="304"/>
      <c r="F366" s="304"/>
      <c r="G366" s="304"/>
      <c r="H366" s="304"/>
      <c r="I366" s="304"/>
      <c r="J366" s="304"/>
      <c r="K366" s="304"/>
      <c r="L366" s="304"/>
      <c r="M366" s="304"/>
      <c r="N366" s="305"/>
    </row>
    <row r="367" spans="3:14" x14ac:dyDescent="0.25">
      <c r="C367" s="304"/>
      <c r="D367" s="304"/>
      <c r="E367" s="304"/>
      <c r="F367" s="304"/>
      <c r="G367" s="304"/>
      <c r="H367" s="304"/>
      <c r="I367" s="304"/>
      <c r="J367" s="304"/>
      <c r="K367" s="304"/>
      <c r="L367" s="304"/>
      <c r="M367" s="304"/>
      <c r="N367" s="305"/>
    </row>
    <row r="368" spans="3:14" x14ac:dyDescent="0.25">
      <c r="C368" s="304"/>
      <c r="D368" s="304"/>
      <c r="E368" s="304"/>
      <c r="F368" s="304"/>
      <c r="G368" s="304"/>
      <c r="H368" s="304"/>
      <c r="I368" s="304"/>
      <c r="J368" s="304"/>
      <c r="K368" s="304"/>
      <c r="L368" s="304"/>
      <c r="M368" s="304"/>
      <c r="N368" s="305"/>
    </row>
    <row r="369" spans="3:14" x14ac:dyDescent="0.25">
      <c r="C369" s="304"/>
      <c r="D369" s="304"/>
      <c r="E369" s="304"/>
      <c r="F369" s="304"/>
      <c r="G369" s="304"/>
      <c r="H369" s="304"/>
      <c r="I369" s="304"/>
      <c r="J369" s="304"/>
      <c r="K369" s="304"/>
      <c r="L369" s="304"/>
      <c r="M369" s="304"/>
      <c r="N369" s="305"/>
    </row>
    <row r="370" spans="3:14" x14ac:dyDescent="0.25">
      <c r="C370" s="304"/>
      <c r="D370" s="304"/>
      <c r="E370" s="304"/>
      <c r="F370" s="304"/>
      <c r="G370" s="304"/>
      <c r="H370" s="304"/>
      <c r="I370" s="304"/>
      <c r="J370" s="304"/>
      <c r="K370" s="304"/>
      <c r="L370" s="304"/>
      <c r="M370" s="304"/>
      <c r="N370" s="305"/>
    </row>
    <row r="371" spans="3:14" x14ac:dyDescent="0.25">
      <c r="C371" s="304"/>
      <c r="D371" s="304"/>
      <c r="E371" s="304"/>
      <c r="F371" s="304"/>
      <c r="G371" s="304"/>
      <c r="H371" s="304"/>
      <c r="I371" s="304"/>
      <c r="J371" s="304"/>
      <c r="K371" s="304"/>
      <c r="L371" s="304"/>
      <c r="M371" s="304"/>
      <c r="N371" s="305"/>
    </row>
    <row r="372" spans="3:14" x14ac:dyDescent="0.25">
      <c r="C372" s="304"/>
      <c r="D372" s="304"/>
      <c r="E372" s="304"/>
      <c r="F372" s="304"/>
      <c r="G372" s="304"/>
      <c r="H372" s="304"/>
      <c r="I372" s="304"/>
      <c r="J372" s="304"/>
      <c r="K372" s="304"/>
      <c r="L372" s="304"/>
      <c r="M372" s="304"/>
      <c r="N372" s="305"/>
    </row>
    <row r="373" spans="3:14" x14ac:dyDescent="0.25">
      <c r="C373" s="304"/>
      <c r="D373" s="304"/>
      <c r="E373" s="304"/>
      <c r="F373" s="304"/>
      <c r="G373" s="304"/>
      <c r="H373" s="304"/>
      <c r="I373" s="304"/>
      <c r="J373" s="304"/>
      <c r="K373" s="304"/>
      <c r="L373" s="304"/>
      <c r="M373" s="304"/>
      <c r="N373" s="305"/>
    </row>
    <row r="374" spans="3:14" x14ac:dyDescent="0.25">
      <c r="C374" s="304"/>
      <c r="D374" s="304"/>
      <c r="E374" s="304"/>
      <c r="F374" s="304"/>
      <c r="G374" s="304"/>
      <c r="H374" s="304"/>
      <c r="I374" s="304"/>
      <c r="J374" s="304"/>
      <c r="K374" s="304"/>
      <c r="L374" s="304"/>
      <c r="M374" s="304"/>
      <c r="N374" s="305"/>
    </row>
    <row r="375" spans="3:14" x14ac:dyDescent="0.25">
      <c r="C375" s="304"/>
      <c r="D375" s="304"/>
      <c r="E375" s="304"/>
      <c r="F375" s="304"/>
      <c r="G375" s="304"/>
      <c r="H375" s="304"/>
      <c r="I375" s="304"/>
      <c r="J375" s="304"/>
      <c r="K375" s="304"/>
      <c r="L375" s="304"/>
      <c r="M375" s="304"/>
      <c r="N375" s="305"/>
    </row>
    <row r="376" spans="3:14" x14ac:dyDescent="0.25">
      <c r="C376" s="304"/>
      <c r="D376" s="304"/>
      <c r="E376" s="304"/>
      <c r="F376" s="304"/>
      <c r="G376" s="304"/>
      <c r="H376" s="304"/>
      <c r="I376" s="304"/>
      <c r="J376" s="304"/>
      <c r="K376" s="304"/>
      <c r="L376" s="304"/>
      <c r="M376" s="304"/>
      <c r="N376" s="305"/>
    </row>
    <row r="377" spans="3:14" x14ac:dyDescent="0.25">
      <c r="C377" s="304"/>
      <c r="D377" s="304"/>
      <c r="E377" s="304"/>
      <c r="F377" s="304"/>
      <c r="G377" s="304"/>
      <c r="H377" s="304"/>
      <c r="I377" s="304"/>
      <c r="J377" s="304"/>
      <c r="K377" s="304"/>
      <c r="L377" s="304"/>
      <c r="M377" s="304"/>
      <c r="N377" s="305"/>
    </row>
    <row r="378" spans="3:14" x14ac:dyDescent="0.25">
      <c r="C378" s="304"/>
      <c r="D378" s="304"/>
      <c r="E378" s="304"/>
      <c r="F378" s="304"/>
      <c r="G378" s="304"/>
      <c r="H378" s="304"/>
      <c r="I378" s="304"/>
      <c r="J378" s="304"/>
      <c r="K378" s="304"/>
      <c r="L378" s="304"/>
      <c r="M378" s="304"/>
      <c r="N378" s="305"/>
    </row>
    <row r="379" spans="3:14" x14ac:dyDescent="0.25">
      <c r="C379" s="304"/>
      <c r="D379" s="304"/>
      <c r="E379" s="304"/>
      <c r="F379" s="304"/>
      <c r="G379" s="304"/>
      <c r="H379" s="304"/>
      <c r="I379" s="304"/>
      <c r="J379" s="304"/>
      <c r="K379" s="304"/>
      <c r="L379" s="304"/>
      <c r="M379" s="304"/>
      <c r="N379" s="305"/>
    </row>
    <row r="380" spans="3:14" x14ac:dyDescent="0.25">
      <c r="C380" s="304"/>
      <c r="D380" s="304"/>
      <c r="E380" s="304"/>
      <c r="F380" s="304"/>
      <c r="G380" s="304"/>
      <c r="H380" s="304"/>
      <c r="I380" s="304"/>
      <c r="J380" s="304"/>
      <c r="K380" s="304"/>
      <c r="L380" s="304"/>
      <c r="M380" s="304"/>
      <c r="N380" s="305"/>
    </row>
    <row r="381" spans="3:14" x14ac:dyDescent="0.25">
      <c r="C381" s="304"/>
      <c r="D381" s="304"/>
      <c r="E381" s="304"/>
      <c r="F381" s="304"/>
      <c r="G381" s="304"/>
      <c r="H381" s="304"/>
      <c r="I381" s="304"/>
      <c r="J381" s="304"/>
      <c r="K381" s="304"/>
      <c r="L381" s="304"/>
      <c r="M381" s="304"/>
      <c r="N381" s="305"/>
    </row>
    <row r="382" spans="3:14" x14ac:dyDescent="0.25">
      <c r="C382" s="304"/>
      <c r="D382" s="304"/>
      <c r="E382" s="304"/>
      <c r="F382" s="304"/>
      <c r="G382" s="304"/>
      <c r="H382" s="304"/>
      <c r="I382" s="304"/>
      <c r="J382" s="304"/>
      <c r="K382" s="304"/>
      <c r="L382" s="304"/>
      <c r="M382" s="304"/>
      <c r="N382" s="305"/>
    </row>
    <row r="383" spans="3:14" x14ac:dyDescent="0.25">
      <c r="C383" s="304"/>
      <c r="D383" s="304"/>
      <c r="E383" s="304"/>
      <c r="F383" s="304"/>
      <c r="G383" s="304"/>
      <c r="H383" s="304"/>
      <c r="I383" s="304"/>
      <c r="J383" s="304"/>
      <c r="K383" s="304"/>
      <c r="L383" s="304"/>
      <c r="M383" s="304"/>
      <c r="N383" s="305"/>
    </row>
    <row r="384" spans="3:14" x14ac:dyDescent="0.25">
      <c r="C384" s="304"/>
      <c r="D384" s="304"/>
      <c r="E384" s="304"/>
      <c r="F384" s="304"/>
      <c r="G384" s="304"/>
      <c r="H384" s="304"/>
      <c r="I384" s="304"/>
      <c r="J384" s="304"/>
      <c r="K384" s="304"/>
      <c r="L384" s="304"/>
      <c r="M384" s="304"/>
      <c r="N384" s="305"/>
    </row>
    <row r="385" spans="3:14" x14ac:dyDescent="0.25">
      <c r="C385" s="304"/>
      <c r="D385" s="304"/>
      <c r="E385" s="304"/>
      <c r="F385" s="304"/>
      <c r="G385" s="304"/>
      <c r="H385" s="304"/>
      <c r="I385" s="304"/>
      <c r="J385" s="304"/>
      <c r="K385" s="304"/>
      <c r="L385" s="304"/>
      <c r="M385" s="304"/>
      <c r="N385" s="305"/>
    </row>
    <row r="386" spans="3:14" x14ac:dyDescent="0.25">
      <c r="C386" s="304"/>
      <c r="D386" s="304"/>
      <c r="E386" s="304"/>
      <c r="F386" s="304"/>
      <c r="G386" s="304"/>
      <c r="H386" s="304"/>
      <c r="I386" s="304"/>
      <c r="J386" s="304"/>
      <c r="K386" s="304"/>
      <c r="L386" s="304"/>
      <c r="M386" s="304"/>
      <c r="N386" s="305"/>
    </row>
    <row r="387" spans="3:14" x14ac:dyDescent="0.25">
      <c r="C387" s="304"/>
      <c r="D387" s="304"/>
      <c r="E387" s="304"/>
      <c r="F387" s="304"/>
      <c r="G387" s="304"/>
      <c r="H387" s="304"/>
      <c r="I387" s="304"/>
      <c r="J387" s="304"/>
      <c r="K387" s="304"/>
      <c r="L387" s="304"/>
      <c r="M387" s="304"/>
      <c r="N387" s="305"/>
    </row>
    <row r="388" spans="3:14" x14ac:dyDescent="0.25">
      <c r="C388" s="304"/>
      <c r="D388" s="304"/>
      <c r="E388" s="304"/>
      <c r="F388" s="304"/>
      <c r="G388" s="304"/>
      <c r="H388" s="304"/>
      <c r="I388" s="304"/>
      <c r="J388" s="304"/>
      <c r="K388" s="304"/>
      <c r="L388" s="304"/>
      <c r="M388" s="304"/>
      <c r="N388" s="305"/>
    </row>
    <row r="389" spans="3:14" x14ac:dyDescent="0.25">
      <c r="C389" s="304"/>
      <c r="D389" s="304"/>
      <c r="E389" s="304"/>
      <c r="F389" s="304"/>
      <c r="G389" s="304"/>
      <c r="H389" s="304"/>
      <c r="I389" s="304"/>
      <c r="J389" s="304"/>
      <c r="K389" s="304"/>
      <c r="L389" s="304"/>
      <c r="M389" s="304"/>
      <c r="N389" s="305"/>
    </row>
    <row r="390" spans="3:14" x14ac:dyDescent="0.25">
      <c r="C390" s="304"/>
      <c r="D390" s="304"/>
      <c r="E390" s="304"/>
      <c r="F390" s="304"/>
      <c r="G390" s="304"/>
      <c r="H390" s="304"/>
      <c r="I390" s="304"/>
      <c r="J390" s="304"/>
      <c r="K390" s="304"/>
      <c r="L390" s="304"/>
      <c r="M390" s="304"/>
      <c r="N390" s="305"/>
    </row>
    <row r="391" spans="3:14" x14ac:dyDescent="0.25">
      <c r="C391" s="304"/>
      <c r="D391" s="304"/>
      <c r="E391" s="304"/>
      <c r="F391" s="304"/>
      <c r="G391" s="304"/>
      <c r="H391" s="304"/>
      <c r="I391" s="304"/>
      <c r="J391" s="304"/>
      <c r="K391" s="304"/>
      <c r="L391" s="304"/>
      <c r="M391" s="304"/>
      <c r="N391" s="305"/>
    </row>
    <row r="392" spans="3:14" x14ac:dyDescent="0.25">
      <c r="C392" s="304"/>
      <c r="D392" s="304"/>
      <c r="E392" s="304"/>
      <c r="F392" s="304"/>
      <c r="G392" s="304"/>
      <c r="H392" s="304"/>
      <c r="I392" s="304"/>
      <c r="J392" s="304"/>
      <c r="K392" s="304"/>
      <c r="L392" s="304"/>
      <c r="M392" s="304"/>
      <c r="N392" s="305"/>
    </row>
    <row r="393" spans="3:14" x14ac:dyDescent="0.25">
      <c r="C393" s="304"/>
      <c r="D393" s="304"/>
      <c r="E393" s="304"/>
      <c r="F393" s="304"/>
      <c r="G393" s="304"/>
      <c r="H393" s="304"/>
      <c r="I393" s="304"/>
      <c r="J393" s="304"/>
      <c r="K393" s="304"/>
      <c r="L393" s="304"/>
      <c r="M393" s="304"/>
      <c r="N393" s="305"/>
    </row>
    <row r="394" spans="3:14" x14ac:dyDescent="0.25">
      <c r="C394" s="304"/>
      <c r="D394" s="304"/>
      <c r="E394" s="304"/>
      <c r="F394" s="304"/>
      <c r="G394" s="304"/>
      <c r="H394" s="304"/>
      <c r="I394" s="304"/>
      <c r="J394" s="304"/>
      <c r="K394" s="304"/>
      <c r="L394" s="304"/>
      <c r="M394" s="304"/>
      <c r="N394" s="305"/>
    </row>
    <row r="395" spans="3:14" x14ac:dyDescent="0.25">
      <c r="C395" s="304"/>
      <c r="D395" s="304"/>
      <c r="E395" s="304"/>
      <c r="F395" s="304"/>
      <c r="G395" s="304"/>
      <c r="H395" s="304"/>
      <c r="I395" s="304"/>
      <c r="J395" s="304"/>
      <c r="K395" s="304"/>
      <c r="L395" s="304"/>
      <c r="M395" s="304"/>
      <c r="N395" s="305"/>
    </row>
    <row r="396" spans="3:14" x14ac:dyDescent="0.25">
      <c r="C396" s="304"/>
      <c r="D396" s="304"/>
      <c r="E396" s="304"/>
      <c r="F396" s="304"/>
      <c r="G396" s="304"/>
      <c r="H396" s="304"/>
      <c r="I396" s="304"/>
      <c r="J396" s="304"/>
      <c r="K396" s="304"/>
      <c r="L396" s="304"/>
      <c r="M396" s="304"/>
      <c r="N396" s="305"/>
    </row>
    <row r="397" spans="3:14" x14ac:dyDescent="0.25">
      <c r="C397" s="304"/>
      <c r="D397" s="304"/>
      <c r="E397" s="304"/>
      <c r="F397" s="304"/>
      <c r="G397" s="304"/>
      <c r="H397" s="304"/>
      <c r="I397" s="304"/>
      <c r="J397" s="304"/>
      <c r="K397" s="304"/>
      <c r="L397" s="304"/>
      <c r="M397" s="304"/>
      <c r="N397" s="305"/>
    </row>
    <row r="398" spans="3:14" x14ac:dyDescent="0.25">
      <c r="C398" s="304"/>
      <c r="D398" s="304"/>
      <c r="E398" s="304"/>
      <c r="F398" s="304"/>
      <c r="G398" s="304"/>
      <c r="H398" s="304"/>
      <c r="I398" s="304"/>
      <c r="J398" s="304"/>
      <c r="K398" s="304"/>
      <c r="L398" s="304"/>
      <c r="M398" s="304"/>
      <c r="N398" s="305"/>
    </row>
    <row r="399" spans="3:14" x14ac:dyDescent="0.25">
      <c r="C399" s="304"/>
      <c r="D399" s="304"/>
      <c r="E399" s="304"/>
      <c r="F399" s="304"/>
      <c r="G399" s="304"/>
      <c r="H399" s="304"/>
      <c r="I399" s="304"/>
      <c r="J399" s="304"/>
      <c r="K399" s="304"/>
      <c r="L399" s="304"/>
      <c r="M399" s="304"/>
      <c r="N399" s="305"/>
    </row>
    <row r="400" spans="3:14" x14ac:dyDescent="0.25">
      <c r="C400" s="304"/>
      <c r="D400" s="304"/>
      <c r="E400" s="304"/>
      <c r="F400" s="304"/>
      <c r="G400" s="304"/>
      <c r="H400" s="304"/>
      <c r="I400" s="304"/>
      <c r="J400" s="304"/>
      <c r="K400" s="304"/>
      <c r="L400" s="304"/>
      <c r="M400" s="304"/>
      <c r="N400" s="305"/>
    </row>
    <row r="401" spans="3:14" x14ac:dyDescent="0.25">
      <c r="C401" s="304"/>
      <c r="D401" s="304"/>
      <c r="E401" s="304"/>
      <c r="F401" s="304"/>
      <c r="G401" s="304"/>
      <c r="H401" s="304"/>
      <c r="I401" s="304"/>
      <c r="J401" s="304"/>
      <c r="K401" s="304"/>
      <c r="L401" s="304"/>
      <c r="M401" s="304"/>
      <c r="N401" s="305"/>
    </row>
    <row r="402" spans="3:14" x14ac:dyDescent="0.25">
      <c r="C402" s="304"/>
      <c r="D402" s="304"/>
      <c r="E402" s="304"/>
      <c r="F402" s="304"/>
      <c r="G402" s="304"/>
      <c r="H402" s="304"/>
      <c r="I402" s="304"/>
      <c r="J402" s="304"/>
      <c r="K402" s="304"/>
      <c r="L402" s="304"/>
      <c r="M402" s="304"/>
      <c r="N402" s="305"/>
    </row>
    <row r="403" spans="3:14" x14ac:dyDescent="0.25">
      <c r="C403" s="304"/>
      <c r="D403" s="304"/>
      <c r="E403" s="304"/>
      <c r="F403" s="304"/>
      <c r="G403" s="304"/>
      <c r="H403" s="304"/>
      <c r="I403" s="304"/>
      <c r="J403" s="304"/>
      <c r="K403" s="304"/>
      <c r="L403" s="304"/>
      <c r="M403" s="304"/>
      <c r="N403" s="305"/>
    </row>
    <row r="404" spans="3:14" x14ac:dyDescent="0.25">
      <c r="C404" s="304"/>
      <c r="D404" s="304"/>
      <c r="E404" s="304"/>
      <c r="F404" s="304"/>
      <c r="G404" s="304"/>
      <c r="H404" s="304"/>
      <c r="I404" s="304"/>
      <c r="J404" s="304"/>
      <c r="K404" s="304"/>
      <c r="L404" s="304"/>
      <c r="M404" s="304"/>
      <c r="N404" s="305"/>
    </row>
    <row r="405" spans="3:14" x14ac:dyDescent="0.25">
      <c r="C405" s="304"/>
      <c r="D405" s="304"/>
      <c r="E405" s="304"/>
      <c r="F405" s="304"/>
      <c r="G405" s="304"/>
      <c r="H405" s="304"/>
      <c r="I405" s="304"/>
      <c r="J405" s="304"/>
      <c r="K405" s="304"/>
      <c r="L405" s="304"/>
      <c r="M405" s="304"/>
      <c r="N405" s="305"/>
    </row>
    <row r="406" spans="3:14" x14ac:dyDescent="0.25">
      <c r="C406" s="304"/>
      <c r="D406" s="304"/>
      <c r="E406" s="304"/>
      <c r="F406" s="304"/>
      <c r="G406" s="304"/>
      <c r="H406" s="304"/>
      <c r="I406" s="304"/>
      <c r="J406" s="304"/>
      <c r="K406" s="304"/>
      <c r="L406" s="304"/>
      <c r="M406" s="304"/>
      <c r="N406" s="305"/>
    </row>
    <row r="407" spans="3:14" x14ac:dyDescent="0.25">
      <c r="C407" s="304"/>
      <c r="D407" s="304"/>
      <c r="E407" s="304"/>
      <c r="F407" s="304"/>
      <c r="G407" s="304"/>
      <c r="H407" s="304"/>
      <c r="I407" s="304"/>
      <c r="J407" s="304"/>
      <c r="K407" s="304"/>
      <c r="L407" s="304"/>
      <c r="M407" s="304"/>
      <c r="N407" s="305"/>
    </row>
    <row r="408" spans="3:14" x14ac:dyDescent="0.25">
      <c r="C408" s="304"/>
      <c r="D408" s="304"/>
      <c r="E408" s="304"/>
      <c r="F408" s="304"/>
      <c r="G408" s="304"/>
      <c r="H408" s="304"/>
      <c r="I408" s="304"/>
      <c r="J408" s="304"/>
      <c r="K408" s="304"/>
      <c r="L408" s="304"/>
      <c r="M408" s="304"/>
      <c r="N408" s="305"/>
    </row>
    <row r="409" spans="3:14" x14ac:dyDescent="0.25">
      <c r="C409" s="304"/>
      <c r="D409" s="304"/>
      <c r="E409" s="304"/>
      <c r="F409" s="304"/>
      <c r="G409" s="304"/>
      <c r="H409" s="304"/>
      <c r="I409" s="304"/>
      <c r="J409" s="304"/>
      <c r="K409" s="304"/>
      <c r="L409" s="304"/>
      <c r="M409" s="304"/>
      <c r="N409" s="305"/>
    </row>
    <row r="410" spans="3:14" x14ac:dyDescent="0.25">
      <c r="C410" s="304"/>
      <c r="D410" s="304"/>
      <c r="E410" s="304"/>
      <c r="F410" s="304"/>
      <c r="G410" s="304"/>
      <c r="H410" s="304"/>
      <c r="I410" s="304"/>
      <c r="J410" s="304"/>
      <c r="K410" s="304"/>
      <c r="L410" s="304"/>
      <c r="M410" s="304"/>
      <c r="N410" s="305"/>
    </row>
    <row r="411" spans="3:14" x14ac:dyDescent="0.25">
      <c r="C411" s="304"/>
      <c r="D411" s="304"/>
      <c r="E411" s="304"/>
      <c r="F411" s="304"/>
      <c r="G411" s="304"/>
      <c r="H411" s="304"/>
      <c r="I411" s="304"/>
      <c r="J411" s="304"/>
      <c r="K411" s="304"/>
      <c r="L411" s="304"/>
      <c r="M411" s="304"/>
      <c r="N411" s="305"/>
    </row>
    <row r="412" spans="3:14" x14ac:dyDescent="0.25">
      <c r="C412" s="304"/>
      <c r="D412" s="304"/>
      <c r="E412" s="304"/>
      <c r="F412" s="304"/>
      <c r="G412" s="304"/>
      <c r="H412" s="304"/>
      <c r="I412" s="304"/>
      <c r="J412" s="304"/>
      <c r="K412" s="304"/>
      <c r="L412" s="304"/>
      <c r="M412" s="304"/>
      <c r="N412" s="305"/>
    </row>
    <row r="413" spans="3:14" x14ac:dyDescent="0.25">
      <c r="C413" s="304"/>
      <c r="D413" s="304"/>
      <c r="E413" s="304"/>
      <c r="F413" s="304"/>
      <c r="G413" s="304"/>
      <c r="H413" s="304"/>
      <c r="I413" s="304"/>
      <c r="J413" s="304"/>
      <c r="K413" s="304"/>
      <c r="L413" s="304"/>
      <c r="M413" s="304"/>
      <c r="N413" s="305"/>
    </row>
    <row r="414" spans="3:14" x14ac:dyDescent="0.25">
      <c r="C414" s="304"/>
      <c r="D414" s="304"/>
      <c r="E414" s="304"/>
      <c r="F414" s="304"/>
      <c r="G414" s="304"/>
      <c r="H414" s="304"/>
      <c r="I414" s="304"/>
      <c r="J414" s="304"/>
      <c r="K414" s="304"/>
      <c r="L414" s="304"/>
      <c r="M414" s="304"/>
      <c r="N414" s="305"/>
    </row>
    <row r="415" spans="3:14" x14ac:dyDescent="0.25">
      <c r="C415" s="304"/>
      <c r="D415" s="304"/>
      <c r="E415" s="304"/>
      <c r="F415" s="304"/>
      <c r="G415" s="304"/>
      <c r="H415" s="304"/>
      <c r="I415" s="304"/>
      <c r="J415" s="304"/>
      <c r="K415" s="304"/>
      <c r="L415" s="304"/>
      <c r="M415" s="304"/>
      <c r="N415" s="305"/>
    </row>
    <row r="416" spans="3:14" x14ac:dyDescent="0.25">
      <c r="C416" s="304"/>
      <c r="D416" s="304"/>
      <c r="E416" s="304"/>
      <c r="F416" s="304"/>
      <c r="G416" s="304"/>
      <c r="H416" s="304"/>
      <c r="I416" s="304"/>
      <c r="J416" s="304"/>
      <c r="K416" s="304"/>
      <c r="L416" s="304"/>
      <c r="M416" s="304"/>
      <c r="N416" s="305"/>
    </row>
    <row r="417" spans="3:14" x14ac:dyDescent="0.25">
      <c r="C417" s="304"/>
      <c r="D417" s="304"/>
      <c r="E417" s="304"/>
      <c r="F417" s="304"/>
      <c r="G417" s="304"/>
      <c r="H417" s="304"/>
      <c r="I417" s="304"/>
      <c r="J417" s="304"/>
      <c r="K417" s="304"/>
      <c r="L417" s="304"/>
      <c r="M417" s="304"/>
      <c r="N417" s="305"/>
    </row>
    <row r="418" spans="3:14" x14ac:dyDescent="0.25">
      <c r="C418" s="304"/>
      <c r="D418" s="304"/>
      <c r="E418" s="304"/>
      <c r="F418" s="304"/>
      <c r="G418" s="304"/>
      <c r="H418" s="304"/>
      <c r="I418" s="304"/>
      <c r="J418" s="304"/>
      <c r="K418" s="304"/>
      <c r="L418" s="304"/>
      <c r="M418" s="304"/>
      <c r="N418" s="305"/>
    </row>
    <row r="419" spans="3:14" x14ac:dyDescent="0.25">
      <c r="C419" s="304"/>
      <c r="D419" s="304"/>
      <c r="E419" s="304"/>
      <c r="F419" s="304"/>
      <c r="G419" s="304"/>
      <c r="H419" s="304"/>
      <c r="I419" s="304"/>
      <c r="J419" s="304"/>
      <c r="K419" s="304"/>
      <c r="L419" s="304"/>
      <c r="M419" s="304"/>
      <c r="N419" s="305"/>
    </row>
    <row r="420" spans="3:14" x14ac:dyDescent="0.25">
      <c r="C420" s="304"/>
      <c r="D420" s="304"/>
      <c r="E420" s="304"/>
      <c r="F420" s="304"/>
      <c r="G420" s="304"/>
      <c r="H420" s="304"/>
      <c r="I420" s="304"/>
      <c r="J420" s="304"/>
      <c r="K420" s="304"/>
      <c r="L420" s="304"/>
      <c r="M420" s="304"/>
      <c r="N420" s="305"/>
    </row>
    <row r="421" spans="3:14" x14ac:dyDescent="0.25">
      <c r="C421" s="304"/>
      <c r="D421" s="304"/>
      <c r="E421" s="304"/>
      <c r="F421" s="304"/>
      <c r="G421" s="304"/>
      <c r="H421" s="304"/>
      <c r="I421" s="304"/>
      <c r="J421" s="304"/>
      <c r="K421" s="304"/>
      <c r="L421" s="304"/>
      <c r="M421" s="304"/>
      <c r="N421" s="305"/>
    </row>
    <row r="422" spans="3:14" x14ac:dyDescent="0.25">
      <c r="C422" s="304"/>
      <c r="D422" s="304"/>
      <c r="E422" s="304"/>
      <c r="F422" s="304"/>
      <c r="G422" s="304"/>
      <c r="H422" s="304"/>
      <c r="I422" s="304"/>
      <c r="J422" s="304"/>
      <c r="K422" s="304"/>
      <c r="L422" s="304"/>
      <c r="M422" s="304"/>
      <c r="N422" s="305"/>
    </row>
    <row r="423" spans="3:14" x14ac:dyDescent="0.25">
      <c r="C423" s="304"/>
      <c r="D423" s="304"/>
      <c r="E423" s="304"/>
      <c r="F423" s="304"/>
      <c r="G423" s="304"/>
      <c r="H423" s="304"/>
      <c r="I423" s="304"/>
      <c r="J423" s="304"/>
      <c r="K423" s="304"/>
      <c r="L423" s="304"/>
      <c r="M423" s="304"/>
      <c r="N423" s="305"/>
    </row>
    <row r="424" spans="3:14" x14ac:dyDescent="0.25">
      <c r="C424" s="304"/>
      <c r="D424" s="304"/>
      <c r="E424" s="304"/>
      <c r="F424" s="304"/>
      <c r="G424" s="304"/>
      <c r="H424" s="304"/>
      <c r="I424" s="304"/>
      <c r="J424" s="304"/>
      <c r="K424" s="304"/>
      <c r="L424" s="304"/>
      <c r="M424" s="304"/>
      <c r="N424" s="305"/>
    </row>
    <row r="425" spans="3:14" x14ac:dyDescent="0.25">
      <c r="C425" s="304"/>
      <c r="D425" s="304"/>
      <c r="E425" s="304"/>
      <c r="F425" s="304"/>
      <c r="G425" s="304"/>
      <c r="H425" s="304"/>
      <c r="I425" s="304"/>
      <c r="J425" s="304"/>
      <c r="K425" s="304"/>
      <c r="L425" s="304"/>
      <c r="M425" s="304"/>
      <c r="N425" s="305"/>
    </row>
    <row r="426" spans="3:14" x14ac:dyDescent="0.25">
      <c r="C426" s="304"/>
      <c r="D426" s="304"/>
      <c r="E426" s="304"/>
      <c r="F426" s="304"/>
      <c r="G426" s="304"/>
      <c r="H426" s="304"/>
      <c r="I426" s="304"/>
      <c r="J426" s="304"/>
      <c r="K426" s="304"/>
      <c r="L426" s="304"/>
      <c r="M426" s="304"/>
      <c r="N426" s="305"/>
    </row>
    <row r="427" spans="3:14" x14ac:dyDescent="0.25">
      <c r="C427" s="304"/>
      <c r="D427" s="304"/>
      <c r="E427" s="304"/>
      <c r="F427" s="304"/>
      <c r="G427" s="304"/>
      <c r="H427" s="304"/>
      <c r="I427" s="304"/>
      <c r="J427" s="304"/>
      <c r="K427" s="304"/>
      <c r="L427" s="304"/>
      <c r="M427" s="304"/>
      <c r="N427" s="305"/>
    </row>
    <row r="428" spans="3:14" x14ac:dyDescent="0.25">
      <c r="C428" s="304"/>
      <c r="D428" s="304"/>
      <c r="E428" s="304"/>
      <c r="F428" s="304"/>
      <c r="G428" s="304"/>
      <c r="H428" s="304"/>
      <c r="I428" s="304"/>
      <c r="J428" s="304"/>
      <c r="K428" s="304"/>
      <c r="L428" s="304"/>
      <c r="M428" s="304"/>
      <c r="N428" s="305"/>
    </row>
    <row r="429" spans="3:14" x14ac:dyDescent="0.25">
      <c r="C429" s="304"/>
      <c r="D429" s="304"/>
      <c r="E429" s="304"/>
      <c r="F429" s="304"/>
      <c r="G429" s="304"/>
      <c r="H429" s="304"/>
      <c r="I429" s="304"/>
      <c r="J429" s="304"/>
      <c r="K429" s="304"/>
      <c r="L429" s="304"/>
      <c r="M429" s="304"/>
      <c r="N429" s="305"/>
    </row>
    <row r="430" spans="3:14" x14ac:dyDescent="0.25">
      <c r="C430" s="304"/>
      <c r="D430" s="304"/>
      <c r="E430" s="304"/>
      <c r="F430" s="304"/>
      <c r="G430" s="304"/>
      <c r="H430" s="304"/>
      <c r="I430" s="304"/>
      <c r="J430" s="304"/>
      <c r="K430" s="304"/>
      <c r="L430" s="304"/>
      <c r="M430" s="304"/>
      <c r="N430" s="305"/>
    </row>
    <row r="431" spans="3:14" x14ac:dyDescent="0.25">
      <c r="C431" s="304"/>
      <c r="D431" s="304"/>
      <c r="E431" s="304"/>
      <c r="F431" s="304"/>
      <c r="G431" s="304"/>
      <c r="H431" s="304"/>
      <c r="I431" s="304"/>
      <c r="J431" s="304"/>
      <c r="K431" s="304"/>
      <c r="L431" s="304"/>
      <c r="M431" s="304"/>
      <c r="N431" s="305"/>
    </row>
    <row r="432" spans="3:14" x14ac:dyDescent="0.25">
      <c r="C432" s="304"/>
      <c r="D432" s="304"/>
      <c r="E432" s="304"/>
      <c r="F432" s="304"/>
      <c r="G432" s="304"/>
      <c r="H432" s="304"/>
      <c r="I432" s="304"/>
      <c r="J432" s="304"/>
      <c r="K432" s="304"/>
      <c r="L432" s="304"/>
      <c r="M432" s="304"/>
      <c r="N432" s="305"/>
    </row>
    <row r="433" spans="3:14" x14ac:dyDescent="0.25">
      <c r="C433" s="305"/>
      <c r="D433" s="305"/>
      <c r="E433" s="305"/>
      <c r="F433" s="305"/>
      <c r="G433" s="305"/>
      <c r="H433" s="305"/>
      <c r="I433" s="305"/>
      <c r="J433" s="305"/>
      <c r="K433" s="305"/>
      <c r="L433" s="305"/>
      <c r="M433" s="305"/>
      <c r="N433" s="305"/>
    </row>
    <row r="434" spans="3:14" x14ac:dyDescent="0.25">
      <c r="C434" s="305"/>
      <c r="D434" s="305"/>
      <c r="E434" s="305"/>
      <c r="F434" s="305"/>
      <c r="G434" s="305"/>
      <c r="H434" s="305"/>
      <c r="I434" s="305"/>
      <c r="J434" s="305"/>
      <c r="K434" s="305"/>
      <c r="L434" s="305"/>
      <c r="M434" s="305"/>
      <c r="N434" s="305"/>
    </row>
    <row r="435" spans="3:14" x14ac:dyDescent="0.25">
      <c r="C435" s="305"/>
      <c r="D435" s="305"/>
      <c r="E435" s="305"/>
      <c r="F435" s="305"/>
      <c r="G435" s="305"/>
      <c r="H435" s="305"/>
      <c r="I435" s="305"/>
      <c r="J435" s="305"/>
      <c r="K435" s="305"/>
      <c r="L435" s="305"/>
      <c r="M435" s="305"/>
      <c r="N435" s="305"/>
    </row>
    <row r="436" spans="3:14" x14ac:dyDescent="0.25">
      <c r="C436" s="305"/>
      <c r="D436" s="305"/>
      <c r="E436" s="305"/>
      <c r="F436" s="305"/>
      <c r="G436" s="305"/>
      <c r="H436" s="305"/>
      <c r="I436" s="305"/>
      <c r="J436" s="305"/>
      <c r="K436" s="305"/>
      <c r="L436" s="305"/>
      <c r="M436" s="305"/>
      <c r="N436" s="305"/>
    </row>
    <row r="437" spans="3:14" x14ac:dyDescent="0.25">
      <c r="C437" s="305"/>
      <c r="D437" s="305"/>
      <c r="E437" s="305"/>
      <c r="F437" s="305"/>
      <c r="G437" s="305"/>
      <c r="H437" s="305"/>
      <c r="I437" s="305"/>
      <c r="J437" s="305"/>
      <c r="K437" s="305"/>
      <c r="L437" s="305"/>
      <c r="M437" s="305"/>
      <c r="N437" s="305"/>
    </row>
    <row r="438" spans="3:14" x14ac:dyDescent="0.25">
      <c r="C438" s="305"/>
      <c r="D438" s="305"/>
      <c r="E438" s="305"/>
      <c r="F438" s="305"/>
      <c r="G438" s="305"/>
      <c r="H438" s="305"/>
      <c r="I438" s="305"/>
      <c r="J438" s="305"/>
      <c r="K438" s="305"/>
      <c r="L438" s="305"/>
      <c r="M438" s="305"/>
      <c r="N438" s="305"/>
    </row>
    <row r="439" spans="3:14" x14ac:dyDescent="0.25">
      <c r="C439" s="305"/>
      <c r="D439" s="305"/>
      <c r="E439" s="305"/>
      <c r="F439" s="305"/>
      <c r="G439" s="305"/>
      <c r="H439" s="305"/>
      <c r="I439" s="305"/>
      <c r="J439" s="305"/>
      <c r="K439" s="305"/>
      <c r="L439" s="305"/>
      <c r="M439" s="305"/>
      <c r="N439" s="305"/>
    </row>
    <row r="440" spans="3:14" x14ac:dyDescent="0.25">
      <c r="C440" s="305"/>
      <c r="D440" s="305"/>
      <c r="E440" s="305"/>
      <c r="F440" s="305"/>
      <c r="G440" s="305"/>
      <c r="H440" s="305"/>
      <c r="I440" s="305"/>
      <c r="J440" s="305"/>
      <c r="K440" s="305"/>
      <c r="L440" s="305"/>
      <c r="M440" s="305"/>
      <c r="N440" s="305"/>
    </row>
    <row r="441" spans="3:14" x14ac:dyDescent="0.25">
      <c r="C441" s="305"/>
      <c r="D441" s="305"/>
      <c r="E441" s="305"/>
      <c r="F441" s="305"/>
      <c r="G441" s="305"/>
      <c r="H441" s="305"/>
      <c r="I441" s="305"/>
      <c r="J441" s="305"/>
      <c r="K441" s="305"/>
      <c r="L441" s="305"/>
      <c r="M441" s="305"/>
      <c r="N441" s="305"/>
    </row>
    <row r="442" spans="3:14" x14ac:dyDescent="0.25">
      <c r="C442" s="305"/>
      <c r="D442" s="305"/>
      <c r="E442" s="305"/>
      <c r="F442" s="305"/>
      <c r="G442" s="305"/>
      <c r="H442" s="305"/>
      <c r="I442" s="305"/>
      <c r="J442" s="305"/>
      <c r="K442" s="305"/>
      <c r="L442" s="305"/>
      <c r="M442" s="305"/>
      <c r="N442" s="305"/>
    </row>
    <row r="443" spans="3:14" x14ac:dyDescent="0.25">
      <c r="C443" s="305"/>
      <c r="D443" s="305"/>
      <c r="E443" s="305"/>
      <c r="F443" s="305"/>
      <c r="G443" s="305"/>
      <c r="H443" s="305"/>
      <c r="I443" s="305"/>
      <c r="J443" s="305"/>
      <c r="K443" s="305"/>
      <c r="L443" s="305"/>
      <c r="M443" s="305"/>
      <c r="N443" s="305"/>
    </row>
    <row r="444" spans="3:14" x14ac:dyDescent="0.25">
      <c r="C444" s="305"/>
      <c r="D444" s="305"/>
      <c r="E444" s="305"/>
      <c r="F444" s="305"/>
      <c r="G444" s="305"/>
      <c r="H444" s="305"/>
      <c r="I444" s="305"/>
      <c r="J444" s="305"/>
      <c r="K444" s="305"/>
      <c r="L444" s="305"/>
      <c r="M444" s="305"/>
      <c r="N444" s="305"/>
    </row>
    <row r="445" spans="3:14" x14ac:dyDescent="0.25">
      <c r="C445" s="305"/>
      <c r="D445" s="305"/>
      <c r="E445" s="305"/>
      <c r="F445" s="305"/>
      <c r="G445" s="305"/>
      <c r="H445" s="305"/>
      <c r="I445" s="305"/>
      <c r="J445" s="305"/>
      <c r="K445" s="305"/>
      <c r="L445" s="305"/>
      <c r="M445" s="305"/>
      <c r="N445" s="305"/>
    </row>
    <row r="446" spans="3:14" x14ac:dyDescent="0.25">
      <c r="C446" s="305"/>
      <c r="D446" s="305"/>
      <c r="E446" s="305"/>
      <c r="F446" s="305"/>
      <c r="G446" s="305"/>
      <c r="H446" s="305"/>
      <c r="I446" s="305"/>
      <c r="J446" s="305"/>
      <c r="K446" s="305"/>
      <c r="L446" s="305"/>
      <c r="M446" s="305"/>
      <c r="N446" s="305"/>
    </row>
    <row r="447" spans="3:14" x14ac:dyDescent="0.25">
      <c r="C447" s="305"/>
      <c r="D447" s="305"/>
      <c r="E447" s="305"/>
      <c r="F447" s="305"/>
      <c r="G447" s="305"/>
      <c r="H447" s="305"/>
      <c r="I447" s="305"/>
      <c r="J447" s="305"/>
      <c r="K447" s="305"/>
      <c r="L447" s="305"/>
      <c r="M447" s="305"/>
      <c r="N447" s="305"/>
    </row>
    <row r="448" spans="3:14" x14ac:dyDescent="0.25">
      <c r="C448" s="305"/>
      <c r="D448" s="305"/>
      <c r="E448" s="305"/>
      <c r="F448" s="305"/>
      <c r="G448" s="305"/>
      <c r="H448" s="305"/>
      <c r="I448" s="305"/>
      <c r="J448" s="305"/>
      <c r="K448" s="305"/>
      <c r="L448" s="305"/>
      <c r="M448" s="305"/>
      <c r="N448" s="305"/>
    </row>
    <row r="449" spans="3:14" x14ac:dyDescent="0.25">
      <c r="C449" s="305"/>
      <c r="D449" s="305"/>
      <c r="E449" s="305"/>
      <c r="F449" s="305"/>
      <c r="G449" s="305"/>
      <c r="H449" s="305"/>
      <c r="I449" s="305"/>
      <c r="J449" s="305"/>
      <c r="K449" s="305"/>
      <c r="L449" s="305"/>
      <c r="M449" s="305"/>
      <c r="N449" s="305"/>
    </row>
    <row r="450" spans="3:14" x14ac:dyDescent="0.25">
      <c r="C450" s="305"/>
      <c r="D450" s="305"/>
      <c r="E450" s="305"/>
      <c r="F450" s="305"/>
      <c r="G450" s="305"/>
      <c r="H450" s="305"/>
      <c r="I450" s="305"/>
      <c r="J450" s="305"/>
      <c r="K450" s="305"/>
      <c r="L450" s="305"/>
      <c r="M450" s="305"/>
      <c r="N450" s="305"/>
    </row>
    <row r="451" spans="3:14" x14ac:dyDescent="0.25">
      <c r="C451" s="305"/>
      <c r="D451" s="305"/>
      <c r="E451" s="305"/>
      <c r="F451" s="305"/>
      <c r="G451" s="305"/>
      <c r="H451" s="305"/>
      <c r="I451" s="305"/>
      <c r="J451" s="305"/>
      <c r="K451" s="305"/>
      <c r="L451" s="305"/>
      <c r="M451" s="305"/>
      <c r="N451" s="305"/>
    </row>
    <row r="452" spans="3:14" x14ac:dyDescent="0.25">
      <c r="C452" s="305"/>
      <c r="D452" s="305"/>
      <c r="E452" s="305"/>
      <c r="F452" s="305"/>
      <c r="G452" s="305"/>
      <c r="H452" s="305"/>
      <c r="I452" s="305"/>
      <c r="J452" s="305"/>
      <c r="K452" s="305"/>
      <c r="L452" s="305"/>
      <c r="M452" s="305"/>
      <c r="N452" s="305"/>
    </row>
    <row r="453" spans="3:14" x14ac:dyDescent="0.25">
      <c r="C453" s="305"/>
      <c r="D453" s="305"/>
      <c r="E453" s="305"/>
      <c r="F453" s="305"/>
      <c r="G453" s="305"/>
      <c r="H453" s="305"/>
      <c r="I453" s="305"/>
      <c r="J453" s="305"/>
      <c r="K453" s="305"/>
      <c r="L453" s="305"/>
      <c r="M453" s="305"/>
      <c r="N453" s="305"/>
    </row>
    <row r="454" spans="3:14" x14ac:dyDescent="0.25">
      <c r="C454" s="305"/>
      <c r="D454" s="305"/>
      <c r="E454" s="305"/>
      <c r="F454" s="305"/>
      <c r="G454" s="305"/>
      <c r="H454" s="305"/>
      <c r="I454" s="305"/>
      <c r="J454" s="305"/>
      <c r="K454" s="305"/>
      <c r="L454" s="305"/>
      <c r="M454" s="305"/>
      <c r="N454" s="305"/>
    </row>
    <row r="455" spans="3:14" x14ac:dyDescent="0.25">
      <c r="C455" s="305"/>
      <c r="D455" s="305"/>
      <c r="E455" s="305"/>
      <c r="F455" s="305"/>
      <c r="G455" s="305"/>
      <c r="H455" s="305"/>
      <c r="I455" s="305"/>
      <c r="J455" s="305"/>
      <c r="K455" s="305"/>
      <c r="L455" s="305"/>
      <c r="M455" s="305"/>
      <c r="N455" s="305"/>
    </row>
    <row r="456" spans="3:14" x14ac:dyDescent="0.25">
      <c r="C456" s="305"/>
      <c r="D456" s="305"/>
      <c r="E456" s="305"/>
      <c r="F456" s="305"/>
      <c r="G456" s="305"/>
      <c r="H456" s="305"/>
      <c r="I456" s="305"/>
      <c r="J456" s="305"/>
      <c r="K456" s="305"/>
      <c r="L456" s="305"/>
      <c r="M456" s="305"/>
      <c r="N456" s="305"/>
    </row>
    <row r="457" spans="3:14" x14ac:dyDescent="0.25">
      <c r="C457" s="305"/>
      <c r="D457" s="305"/>
      <c r="E457" s="305"/>
      <c r="F457" s="305"/>
      <c r="G457" s="305"/>
      <c r="H457" s="305"/>
      <c r="I457" s="305"/>
      <c r="J457" s="305"/>
      <c r="K457" s="305"/>
      <c r="L457" s="305"/>
      <c r="M457" s="305"/>
      <c r="N457" s="305"/>
    </row>
    <row r="458" spans="3:14" x14ac:dyDescent="0.25">
      <c r="C458" s="305"/>
      <c r="D458" s="305"/>
      <c r="E458" s="305"/>
      <c r="F458" s="305"/>
      <c r="G458" s="305"/>
      <c r="H458" s="305"/>
      <c r="I458" s="305"/>
      <c r="J458" s="305"/>
      <c r="K458" s="305"/>
      <c r="L458" s="305"/>
      <c r="M458" s="305"/>
      <c r="N458" s="305"/>
    </row>
    <row r="459" spans="3:14" x14ac:dyDescent="0.25">
      <c r="C459" s="305"/>
      <c r="D459" s="305"/>
      <c r="E459" s="305"/>
      <c r="F459" s="305"/>
      <c r="G459" s="305"/>
      <c r="H459" s="305"/>
      <c r="I459" s="305"/>
      <c r="J459" s="305"/>
      <c r="K459" s="305"/>
      <c r="L459" s="305"/>
      <c r="M459" s="305"/>
      <c r="N459" s="305"/>
    </row>
    <row r="460" spans="3:14" x14ac:dyDescent="0.25">
      <c r="C460" s="305"/>
      <c r="D460" s="305"/>
      <c r="E460" s="305"/>
      <c r="F460" s="305"/>
      <c r="G460" s="305"/>
      <c r="H460" s="305"/>
      <c r="I460" s="305"/>
      <c r="J460" s="305"/>
      <c r="K460" s="305"/>
      <c r="L460" s="305"/>
      <c r="M460" s="305"/>
      <c r="N460" s="305"/>
    </row>
    <row r="461" spans="3:14" x14ac:dyDescent="0.25">
      <c r="C461" s="305"/>
      <c r="D461" s="305"/>
      <c r="E461" s="305"/>
      <c r="F461" s="305"/>
      <c r="G461" s="305"/>
      <c r="H461" s="305"/>
      <c r="I461" s="305"/>
      <c r="J461" s="305"/>
      <c r="K461" s="305"/>
      <c r="L461" s="305"/>
      <c r="M461" s="305"/>
      <c r="N461" s="305"/>
    </row>
    <row r="462" spans="3:14" x14ac:dyDescent="0.25">
      <c r="C462" s="305"/>
      <c r="D462" s="305"/>
      <c r="E462" s="305"/>
      <c r="F462" s="305"/>
      <c r="G462" s="305"/>
      <c r="H462" s="305"/>
      <c r="I462" s="305"/>
      <c r="J462" s="305"/>
      <c r="K462" s="305"/>
      <c r="L462" s="305"/>
      <c r="M462" s="305"/>
      <c r="N462" s="305"/>
    </row>
    <row r="463" spans="3:14" x14ac:dyDescent="0.25">
      <c r="C463" s="305"/>
      <c r="D463" s="305"/>
      <c r="E463" s="305"/>
      <c r="F463" s="305"/>
      <c r="G463" s="305"/>
      <c r="H463" s="305"/>
      <c r="I463" s="305"/>
      <c r="J463" s="305"/>
      <c r="K463" s="305"/>
      <c r="L463" s="305"/>
      <c r="M463" s="305"/>
      <c r="N463" s="305"/>
    </row>
    <row r="464" spans="3:14" x14ac:dyDescent="0.25">
      <c r="C464" s="305"/>
      <c r="D464" s="305"/>
      <c r="E464" s="305"/>
      <c r="F464" s="305"/>
      <c r="G464" s="305"/>
      <c r="H464" s="305"/>
      <c r="I464" s="305"/>
      <c r="J464" s="305"/>
      <c r="K464" s="305"/>
      <c r="L464" s="305"/>
      <c r="M464" s="305"/>
      <c r="N464" s="305"/>
    </row>
    <row r="465" spans="3:14" x14ac:dyDescent="0.25">
      <c r="C465" s="305"/>
      <c r="D465" s="305"/>
      <c r="E465" s="305"/>
      <c r="F465" s="305"/>
      <c r="G465" s="305"/>
      <c r="H465" s="305"/>
      <c r="I465" s="305"/>
      <c r="J465" s="305"/>
      <c r="K465" s="305"/>
      <c r="L465" s="305"/>
      <c r="M465" s="305"/>
      <c r="N465" s="305"/>
    </row>
    <row r="466" spans="3:14" x14ac:dyDescent="0.25">
      <c r="C466" s="305"/>
      <c r="D466" s="305"/>
      <c r="E466" s="305"/>
      <c r="F466" s="305"/>
      <c r="G466" s="305"/>
      <c r="H466" s="305"/>
      <c r="I466" s="305"/>
      <c r="J466" s="305"/>
      <c r="K466" s="305"/>
      <c r="L466" s="305"/>
      <c r="M466" s="305"/>
      <c r="N466" s="305"/>
    </row>
    <row r="467" spans="3:14" x14ac:dyDescent="0.25">
      <c r="C467" s="305"/>
      <c r="D467" s="305"/>
      <c r="E467" s="305"/>
      <c r="F467" s="305"/>
      <c r="G467" s="305"/>
      <c r="H467" s="305"/>
      <c r="I467" s="305"/>
      <c r="J467" s="305"/>
      <c r="K467" s="305"/>
      <c r="L467" s="305"/>
      <c r="M467" s="305"/>
      <c r="N467" s="305"/>
    </row>
    <row r="468" spans="3:14" x14ac:dyDescent="0.25">
      <c r="C468" s="305"/>
      <c r="D468" s="305"/>
      <c r="E468" s="305"/>
      <c r="F468" s="305"/>
      <c r="G468" s="305"/>
      <c r="H468" s="305"/>
      <c r="I468" s="305"/>
      <c r="J468" s="305"/>
      <c r="K468" s="305"/>
      <c r="L468" s="305"/>
      <c r="M468" s="305"/>
      <c r="N468" s="305"/>
    </row>
    <row r="469" spans="3:14" x14ac:dyDescent="0.25">
      <c r="C469" s="305"/>
      <c r="D469" s="305"/>
      <c r="E469" s="305"/>
      <c r="F469" s="305"/>
      <c r="G469" s="305"/>
      <c r="H469" s="305"/>
      <c r="I469" s="305"/>
      <c r="J469" s="305"/>
      <c r="K469" s="305"/>
      <c r="L469" s="305"/>
      <c r="M469" s="305"/>
      <c r="N469" s="305"/>
    </row>
    <row r="470" spans="3:14" x14ac:dyDescent="0.25">
      <c r="C470" s="305"/>
      <c r="D470" s="305"/>
      <c r="E470" s="305"/>
      <c r="F470" s="305"/>
      <c r="G470" s="305"/>
      <c r="H470" s="305"/>
      <c r="I470" s="305"/>
      <c r="J470" s="305"/>
      <c r="K470" s="305"/>
      <c r="L470" s="305"/>
      <c r="M470" s="305"/>
      <c r="N470" s="305"/>
    </row>
    <row r="471" spans="3:14" x14ac:dyDescent="0.25">
      <c r="C471" s="305"/>
      <c r="D471" s="305"/>
      <c r="E471" s="305"/>
      <c r="F471" s="305"/>
      <c r="G471" s="305"/>
      <c r="H471" s="305"/>
      <c r="I471" s="305"/>
      <c r="J471" s="305"/>
      <c r="K471" s="305"/>
      <c r="L471" s="305"/>
      <c r="M471" s="305"/>
      <c r="N471" s="305"/>
    </row>
    <row r="472" spans="3:14" x14ac:dyDescent="0.25">
      <c r="C472" s="305"/>
      <c r="D472" s="305"/>
      <c r="E472" s="305"/>
      <c r="F472" s="305"/>
      <c r="G472" s="305"/>
      <c r="H472" s="305"/>
      <c r="I472" s="305"/>
      <c r="J472" s="305"/>
      <c r="K472" s="305"/>
      <c r="L472" s="305"/>
      <c r="M472" s="305"/>
      <c r="N472" s="305"/>
    </row>
    <row r="473" spans="3:14" x14ac:dyDescent="0.25">
      <c r="C473" s="305"/>
      <c r="D473" s="305"/>
      <c r="E473" s="305"/>
      <c r="F473" s="305"/>
      <c r="G473" s="305"/>
      <c r="H473" s="305"/>
      <c r="I473" s="305"/>
      <c r="J473" s="305"/>
      <c r="K473" s="305"/>
      <c r="L473" s="305"/>
      <c r="M473" s="305"/>
      <c r="N473" s="305"/>
    </row>
    <row r="474" spans="3:14" x14ac:dyDescent="0.25">
      <c r="C474" s="305"/>
      <c r="D474" s="305"/>
      <c r="E474" s="305"/>
      <c r="F474" s="305"/>
      <c r="G474" s="305"/>
      <c r="H474" s="305"/>
      <c r="I474" s="305"/>
      <c r="J474" s="305"/>
      <c r="K474" s="305"/>
      <c r="L474" s="305"/>
      <c r="M474" s="305"/>
      <c r="N474" s="305"/>
    </row>
    <row r="475" spans="3:14" x14ac:dyDescent="0.25">
      <c r="C475" s="305"/>
      <c r="D475" s="305"/>
      <c r="E475" s="305"/>
      <c r="F475" s="305"/>
      <c r="G475" s="305"/>
      <c r="H475" s="305"/>
      <c r="I475" s="305"/>
      <c r="J475" s="305"/>
      <c r="K475" s="305"/>
      <c r="L475" s="305"/>
      <c r="M475" s="305"/>
      <c r="N475" s="305"/>
    </row>
    <row r="476" spans="3:14" x14ac:dyDescent="0.25">
      <c r="C476" s="305"/>
      <c r="D476" s="305"/>
      <c r="E476" s="305"/>
      <c r="F476" s="305"/>
      <c r="G476" s="305"/>
      <c r="H476" s="305"/>
      <c r="I476" s="305"/>
      <c r="J476" s="305"/>
      <c r="K476" s="305"/>
      <c r="L476" s="305"/>
      <c r="M476" s="305"/>
      <c r="N476" s="305"/>
    </row>
    <row r="477" spans="3:14" x14ac:dyDescent="0.25">
      <c r="C477" s="305"/>
      <c r="D477" s="305"/>
      <c r="E477" s="305"/>
      <c r="F477" s="305"/>
      <c r="G477" s="305"/>
      <c r="H477" s="305"/>
      <c r="I477" s="305"/>
      <c r="J477" s="305"/>
      <c r="K477" s="305"/>
      <c r="L477" s="305"/>
      <c r="M477" s="305"/>
      <c r="N477" s="305"/>
    </row>
    <row r="478" spans="3:14" x14ac:dyDescent="0.25">
      <c r="C478" s="305"/>
      <c r="D478" s="305"/>
      <c r="E478" s="305"/>
      <c r="F478" s="305"/>
      <c r="G478" s="305"/>
      <c r="H478" s="305"/>
      <c r="I478" s="305"/>
      <c r="J478" s="305"/>
      <c r="K478" s="305"/>
      <c r="L478" s="305"/>
      <c r="M478" s="305"/>
      <c r="N478" s="305"/>
    </row>
    <row r="479" spans="3:14" x14ac:dyDescent="0.25">
      <c r="C479" s="305"/>
      <c r="D479" s="305"/>
      <c r="E479" s="305"/>
      <c r="F479" s="305"/>
      <c r="G479" s="305"/>
      <c r="H479" s="305"/>
      <c r="I479" s="305"/>
      <c r="J479" s="305"/>
      <c r="K479" s="305"/>
      <c r="L479" s="305"/>
      <c r="M479" s="305"/>
      <c r="N479" s="305"/>
    </row>
    <row r="480" spans="3:14" x14ac:dyDescent="0.25">
      <c r="C480" s="305"/>
      <c r="D480" s="305"/>
      <c r="E480" s="305"/>
      <c r="F480" s="305"/>
      <c r="G480" s="305"/>
      <c r="H480" s="305"/>
      <c r="I480" s="305"/>
      <c r="J480" s="305"/>
      <c r="K480" s="305"/>
      <c r="L480" s="305"/>
      <c r="M480" s="305"/>
      <c r="N480" s="305"/>
    </row>
    <row r="481" spans="3:14" x14ac:dyDescent="0.25">
      <c r="C481" s="305"/>
      <c r="D481" s="305"/>
      <c r="E481" s="305"/>
      <c r="F481" s="305"/>
      <c r="G481" s="305"/>
      <c r="H481" s="305"/>
      <c r="I481" s="305"/>
      <c r="J481" s="305"/>
      <c r="K481" s="305"/>
      <c r="L481" s="305"/>
      <c r="M481" s="305"/>
      <c r="N481" s="305"/>
    </row>
    <row r="482" spans="3:14" x14ac:dyDescent="0.25">
      <c r="C482" s="305"/>
      <c r="D482" s="305"/>
      <c r="E482" s="305"/>
      <c r="F482" s="305"/>
      <c r="G482" s="305"/>
      <c r="H482" s="305"/>
      <c r="I482" s="305"/>
      <c r="J482" s="305"/>
      <c r="K482" s="305"/>
      <c r="L482" s="305"/>
      <c r="M482" s="305"/>
      <c r="N482" s="305"/>
    </row>
    <row r="483" spans="3:14" x14ac:dyDescent="0.25">
      <c r="C483" s="305"/>
      <c r="D483" s="305"/>
      <c r="E483" s="305"/>
      <c r="F483" s="305"/>
      <c r="G483" s="305"/>
      <c r="H483" s="305"/>
      <c r="I483" s="305"/>
      <c r="J483" s="305"/>
      <c r="K483" s="305"/>
      <c r="L483" s="305"/>
      <c r="M483" s="305"/>
      <c r="N483" s="305"/>
    </row>
    <row r="484" spans="3:14" x14ac:dyDescent="0.25">
      <c r="C484" s="305"/>
      <c r="D484" s="305"/>
      <c r="E484" s="305"/>
      <c r="F484" s="305"/>
      <c r="G484" s="305"/>
      <c r="H484" s="305"/>
      <c r="I484" s="305"/>
      <c r="J484" s="305"/>
      <c r="K484" s="305"/>
      <c r="L484" s="305"/>
      <c r="M484" s="305"/>
      <c r="N484" s="305"/>
    </row>
    <row r="485" spans="3:14" x14ac:dyDescent="0.25">
      <c r="C485" s="305"/>
      <c r="D485" s="305"/>
      <c r="E485" s="305"/>
      <c r="F485" s="305"/>
      <c r="G485" s="305"/>
      <c r="H485" s="305"/>
      <c r="I485" s="305"/>
      <c r="J485" s="305"/>
      <c r="K485" s="305"/>
      <c r="L485" s="305"/>
      <c r="M485" s="305"/>
      <c r="N485" s="305"/>
    </row>
    <row r="486" spans="3:14" x14ac:dyDescent="0.25">
      <c r="C486" s="305"/>
      <c r="D486" s="305"/>
      <c r="E486" s="305"/>
      <c r="F486" s="305"/>
      <c r="G486" s="305"/>
      <c r="H486" s="305"/>
      <c r="I486" s="305"/>
      <c r="J486" s="305"/>
      <c r="K486" s="305"/>
      <c r="L486" s="305"/>
      <c r="M486" s="305"/>
      <c r="N486" s="305"/>
    </row>
    <row r="487" spans="3:14" x14ac:dyDescent="0.25">
      <c r="C487" s="305"/>
      <c r="D487" s="305"/>
      <c r="E487" s="305"/>
      <c r="F487" s="305"/>
      <c r="G487" s="305"/>
      <c r="H487" s="305"/>
      <c r="I487" s="305"/>
      <c r="J487" s="305"/>
      <c r="K487" s="305"/>
      <c r="L487" s="305"/>
      <c r="M487" s="305"/>
      <c r="N487" s="305"/>
    </row>
    <row r="488" spans="3:14" x14ac:dyDescent="0.25">
      <c r="C488" s="305"/>
      <c r="D488" s="305"/>
      <c r="E488" s="305"/>
      <c r="F488" s="305"/>
      <c r="G488" s="305"/>
      <c r="H488" s="305"/>
      <c r="I488" s="305"/>
      <c r="J488" s="305"/>
      <c r="K488" s="305"/>
      <c r="L488" s="305"/>
      <c r="M488" s="305"/>
      <c r="N488" s="305"/>
    </row>
    <row r="489" spans="3:14" x14ac:dyDescent="0.25">
      <c r="C489" s="305"/>
      <c r="D489" s="305"/>
      <c r="E489" s="305"/>
      <c r="F489" s="305"/>
      <c r="G489" s="305"/>
      <c r="H489" s="305"/>
      <c r="I489" s="305"/>
      <c r="J489" s="305"/>
      <c r="K489" s="305"/>
      <c r="L489" s="305"/>
      <c r="M489" s="305"/>
      <c r="N489" s="305"/>
    </row>
    <row r="490" spans="3:14" x14ac:dyDescent="0.25">
      <c r="C490" s="305"/>
      <c r="D490" s="305"/>
      <c r="E490" s="305"/>
      <c r="F490" s="305"/>
      <c r="G490" s="305"/>
      <c r="H490" s="305"/>
      <c r="I490" s="305"/>
      <c r="J490" s="305"/>
      <c r="K490" s="305"/>
      <c r="L490" s="305"/>
      <c r="M490" s="305"/>
      <c r="N490" s="305"/>
    </row>
    <row r="491" spans="3:14" x14ac:dyDescent="0.25">
      <c r="C491" s="305"/>
      <c r="D491" s="305"/>
      <c r="E491" s="305"/>
      <c r="F491" s="305"/>
      <c r="G491" s="305"/>
      <c r="H491" s="305"/>
      <c r="I491" s="305"/>
      <c r="J491" s="305"/>
      <c r="K491" s="305"/>
      <c r="L491" s="305"/>
      <c r="M491" s="305"/>
      <c r="N491" s="305"/>
    </row>
    <row r="492" spans="3:14" x14ac:dyDescent="0.25">
      <c r="C492" s="305"/>
      <c r="D492" s="305"/>
      <c r="E492" s="305"/>
      <c r="F492" s="305"/>
      <c r="G492" s="305"/>
      <c r="H492" s="305"/>
      <c r="I492" s="305"/>
      <c r="J492" s="305"/>
      <c r="K492" s="305"/>
      <c r="L492" s="305"/>
      <c r="M492" s="305"/>
      <c r="N492" s="305"/>
    </row>
    <row r="493" spans="3:14" x14ac:dyDescent="0.25">
      <c r="C493" s="305"/>
      <c r="D493" s="305"/>
      <c r="E493" s="305"/>
      <c r="F493" s="305"/>
      <c r="G493" s="305"/>
      <c r="H493" s="305"/>
      <c r="I493" s="305"/>
      <c r="J493" s="305"/>
      <c r="K493" s="305"/>
      <c r="L493" s="305"/>
      <c r="M493" s="305"/>
      <c r="N493" s="305"/>
    </row>
    <row r="494" spans="3:14" x14ac:dyDescent="0.25">
      <c r="C494" s="305"/>
      <c r="D494" s="305"/>
      <c r="E494" s="305"/>
      <c r="F494" s="305"/>
      <c r="G494" s="305"/>
      <c r="H494" s="305"/>
      <c r="I494" s="305"/>
      <c r="J494" s="305"/>
      <c r="K494" s="305"/>
      <c r="L494" s="305"/>
      <c r="M494" s="305"/>
      <c r="N494" s="305"/>
    </row>
    <row r="495" spans="3:14" x14ac:dyDescent="0.25">
      <c r="C495" s="305"/>
      <c r="D495" s="305"/>
      <c r="E495" s="305"/>
      <c r="F495" s="305"/>
      <c r="G495" s="305"/>
      <c r="H495" s="305"/>
      <c r="I495" s="305"/>
      <c r="J495" s="305"/>
      <c r="K495" s="305"/>
      <c r="L495" s="305"/>
      <c r="M495" s="305"/>
      <c r="N495" s="305"/>
    </row>
    <row r="496" spans="3:14" x14ac:dyDescent="0.25">
      <c r="C496" s="305"/>
      <c r="D496" s="305"/>
      <c r="E496" s="305"/>
      <c r="F496" s="305"/>
      <c r="G496" s="305"/>
      <c r="H496" s="305"/>
      <c r="I496" s="305"/>
      <c r="J496" s="305"/>
      <c r="K496" s="305"/>
      <c r="L496" s="305"/>
      <c r="M496" s="305"/>
      <c r="N496" s="305"/>
    </row>
    <row r="497" spans="3:14" x14ac:dyDescent="0.25">
      <c r="C497" s="305"/>
      <c r="D497" s="305"/>
      <c r="E497" s="305"/>
      <c r="F497" s="305"/>
      <c r="G497" s="305"/>
      <c r="H497" s="305"/>
      <c r="I497" s="305"/>
      <c r="J497" s="305"/>
      <c r="K497" s="305"/>
      <c r="L497" s="305"/>
      <c r="M497" s="305"/>
      <c r="N497" s="305"/>
    </row>
    <row r="498" spans="3:14" x14ac:dyDescent="0.25">
      <c r="C498" s="305"/>
      <c r="D498" s="305"/>
      <c r="E498" s="305"/>
      <c r="F498" s="305"/>
      <c r="G498" s="305"/>
      <c r="H498" s="305"/>
      <c r="I498" s="305"/>
      <c r="J498" s="305"/>
      <c r="K498" s="305"/>
      <c r="L498" s="305"/>
      <c r="M498" s="305"/>
      <c r="N498" s="305"/>
    </row>
    <row r="499" spans="3:14" x14ac:dyDescent="0.25">
      <c r="C499" s="305"/>
      <c r="D499" s="305"/>
      <c r="E499" s="305"/>
      <c r="F499" s="305"/>
      <c r="G499" s="305"/>
      <c r="H499" s="305"/>
      <c r="I499" s="305"/>
      <c r="J499" s="305"/>
      <c r="K499" s="305"/>
      <c r="L499" s="305"/>
      <c r="M499" s="305"/>
      <c r="N499" s="305"/>
    </row>
    <row r="500" spans="3:14" x14ac:dyDescent="0.25">
      <c r="C500" s="305"/>
      <c r="D500" s="305"/>
      <c r="E500" s="305"/>
      <c r="F500" s="305"/>
      <c r="G500" s="305"/>
      <c r="H500" s="305"/>
      <c r="I500" s="305"/>
      <c r="J500" s="305"/>
      <c r="K500" s="305"/>
      <c r="L500" s="305"/>
      <c r="M500" s="305"/>
      <c r="N500" s="305"/>
    </row>
    <row r="501" spans="3:14" x14ac:dyDescent="0.25">
      <c r="C501" s="305"/>
      <c r="D501" s="305"/>
      <c r="E501" s="305"/>
      <c r="F501" s="305"/>
      <c r="G501" s="305"/>
      <c r="H501" s="305"/>
      <c r="I501" s="305"/>
      <c r="J501" s="305"/>
      <c r="K501" s="305"/>
      <c r="L501" s="305"/>
      <c r="M501" s="305"/>
      <c r="N501" s="305"/>
    </row>
    <row r="502" spans="3:14" x14ac:dyDescent="0.25">
      <c r="C502" s="305"/>
      <c r="D502" s="305"/>
      <c r="E502" s="305"/>
      <c r="F502" s="305"/>
      <c r="G502" s="305"/>
      <c r="H502" s="305"/>
      <c r="I502" s="305"/>
      <c r="J502" s="305"/>
      <c r="K502" s="305"/>
      <c r="L502" s="305"/>
      <c r="M502" s="305"/>
      <c r="N502" s="305"/>
    </row>
    <row r="503" spans="3:14" x14ac:dyDescent="0.25">
      <c r="C503" s="305"/>
      <c r="D503" s="305"/>
      <c r="E503" s="305"/>
      <c r="F503" s="305"/>
      <c r="G503" s="305"/>
      <c r="H503" s="305"/>
      <c r="I503" s="305"/>
      <c r="J503" s="305"/>
      <c r="K503" s="305"/>
      <c r="L503" s="305"/>
      <c r="M503" s="305"/>
      <c r="N503" s="305"/>
    </row>
    <row r="504" spans="3:14" x14ac:dyDescent="0.25">
      <c r="C504" s="305"/>
      <c r="D504" s="305"/>
      <c r="E504" s="305"/>
      <c r="F504" s="305"/>
      <c r="G504" s="305"/>
      <c r="H504" s="305"/>
      <c r="I504" s="305"/>
      <c r="J504" s="305"/>
      <c r="K504" s="305"/>
      <c r="L504" s="305"/>
      <c r="M504" s="305"/>
      <c r="N504" s="305"/>
    </row>
    <row r="505" spans="3:14" x14ac:dyDescent="0.25">
      <c r="C505" s="305"/>
      <c r="D505" s="305"/>
      <c r="E505" s="305"/>
      <c r="F505" s="305"/>
      <c r="G505" s="305"/>
      <c r="H505" s="305"/>
      <c r="I505" s="305"/>
      <c r="J505" s="305"/>
      <c r="K505" s="305"/>
      <c r="L505" s="305"/>
      <c r="M505" s="305"/>
      <c r="N505" s="305"/>
    </row>
    <row r="506" spans="3:14" x14ac:dyDescent="0.25">
      <c r="C506" s="305"/>
      <c r="D506" s="305"/>
      <c r="E506" s="305"/>
      <c r="F506" s="305"/>
      <c r="G506" s="305"/>
      <c r="H506" s="305"/>
      <c r="I506" s="305"/>
      <c r="J506" s="305"/>
      <c r="K506" s="305"/>
      <c r="L506" s="305"/>
      <c r="M506" s="305"/>
      <c r="N506" s="305"/>
    </row>
    <row r="507" spans="3:14" x14ac:dyDescent="0.25">
      <c r="C507" s="305"/>
      <c r="D507" s="305"/>
      <c r="E507" s="305"/>
      <c r="F507" s="305"/>
      <c r="G507" s="305"/>
      <c r="H507" s="305"/>
      <c r="I507" s="305"/>
      <c r="J507" s="305"/>
      <c r="K507" s="305"/>
      <c r="L507" s="305"/>
      <c r="M507" s="305"/>
      <c r="N507" s="305"/>
    </row>
    <row r="508" spans="3:14" x14ac:dyDescent="0.25">
      <c r="C508" s="305"/>
      <c r="D508" s="305"/>
      <c r="E508" s="305"/>
      <c r="F508" s="305"/>
      <c r="G508" s="305"/>
      <c r="H508" s="305"/>
      <c r="I508" s="305"/>
      <c r="J508" s="305"/>
      <c r="K508" s="305"/>
      <c r="L508" s="305"/>
      <c r="M508" s="305"/>
      <c r="N508" s="305"/>
    </row>
    <row r="509" spans="3:14" x14ac:dyDescent="0.25">
      <c r="C509" s="305"/>
      <c r="D509" s="305"/>
      <c r="E509" s="305"/>
      <c r="F509" s="305"/>
      <c r="G509" s="305"/>
      <c r="H509" s="305"/>
      <c r="I509" s="305"/>
      <c r="J509" s="305"/>
      <c r="K509" s="305"/>
      <c r="L509" s="305"/>
      <c r="M509" s="305"/>
      <c r="N509" s="305"/>
    </row>
    <row r="510" spans="3:14" x14ac:dyDescent="0.25">
      <c r="C510" s="305"/>
      <c r="D510" s="305"/>
      <c r="E510" s="305"/>
      <c r="F510" s="305"/>
      <c r="G510" s="305"/>
      <c r="H510" s="305"/>
      <c r="I510" s="305"/>
      <c r="J510" s="305"/>
      <c r="K510" s="305"/>
      <c r="L510" s="305"/>
      <c r="M510" s="305"/>
      <c r="N510" s="305"/>
    </row>
    <row r="511" spans="3:14" x14ac:dyDescent="0.25">
      <c r="C511" s="305"/>
      <c r="D511" s="305"/>
      <c r="E511" s="305"/>
      <c r="F511" s="305"/>
      <c r="G511" s="305"/>
      <c r="H511" s="305"/>
      <c r="I511" s="305"/>
      <c r="J511" s="305"/>
      <c r="K511" s="305"/>
      <c r="L511" s="305"/>
      <c r="M511" s="305"/>
      <c r="N511" s="305"/>
    </row>
    <row r="512" spans="3:14" x14ac:dyDescent="0.25">
      <c r="C512" s="305"/>
      <c r="D512" s="305"/>
      <c r="E512" s="305"/>
      <c r="F512" s="305"/>
      <c r="G512" s="305"/>
      <c r="H512" s="305"/>
      <c r="I512" s="305"/>
      <c r="J512" s="305"/>
      <c r="K512" s="305"/>
      <c r="L512" s="305"/>
      <c r="M512" s="305"/>
      <c r="N512" s="305"/>
    </row>
    <row r="513" spans="3:14" x14ac:dyDescent="0.25">
      <c r="C513" s="305"/>
      <c r="D513" s="305"/>
      <c r="E513" s="305"/>
      <c r="F513" s="305"/>
      <c r="G513" s="305"/>
      <c r="H513" s="305"/>
      <c r="I513" s="305"/>
      <c r="J513" s="305"/>
      <c r="K513" s="305"/>
      <c r="L513" s="305"/>
      <c r="M513" s="305"/>
      <c r="N513" s="305"/>
    </row>
    <row r="514" spans="3:14" x14ac:dyDescent="0.25">
      <c r="C514" s="305"/>
      <c r="D514" s="305"/>
      <c r="E514" s="305"/>
      <c r="F514" s="305"/>
      <c r="G514" s="305"/>
      <c r="H514" s="305"/>
      <c r="I514" s="305"/>
      <c r="J514" s="305"/>
      <c r="K514" s="305"/>
      <c r="L514" s="305"/>
      <c r="M514" s="305"/>
      <c r="N514" s="305"/>
    </row>
    <row r="515" spans="3:14" x14ac:dyDescent="0.25">
      <c r="C515" s="305"/>
      <c r="D515" s="305"/>
      <c r="E515" s="305"/>
      <c r="F515" s="305"/>
      <c r="G515" s="305"/>
      <c r="H515" s="305"/>
      <c r="I515" s="305"/>
      <c r="J515" s="305"/>
      <c r="K515" s="305"/>
      <c r="L515" s="305"/>
      <c r="M515" s="305"/>
      <c r="N515" s="305"/>
    </row>
    <row r="516" spans="3:14" x14ac:dyDescent="0.25">
      <c r="C516" s="305"/>
      <c r="D516" s="305"/>
      <c r="E516" s="305"/>
      <c r="F516" s="305"/>
      <c r="G516" s="305"/>
      <c r="H516" s="305"/>
      <c r="I516" s="305"/>
      <c r="J516" s="305"/>
      <c r="K516" s="305"/>
      <c r="L516" s="305"/>
      <c r="M516" s="305"/>
      <c r="N516" s="305"/>
    </row>
    <row r="517" spans="3:14" x14ac:dyDescent="0.25">
      <c r="C517" s="305"/>
      <c r="D517" s="305"/>
      <c r="E517" s="305"/>
      <c r="F517" s="305"/>
      <c r="G517" s="305"/>
      <c r="H517" s="305"/>
      <c r="I517" s="305"/>
      <c r="J517" s="305"/>
      <c r="K517" s="305"/>
      <c r="L517" s="305"/>
      <c r="M517" s="305"/>
      <c r="N517" s="305"/>
    </row>
    <row r="518" spans="3:14" x14ac:dyDescent="0.25">
      <c r="C518" s="305"/>
      <c r="D518" s="305"/>
      <c r="E518" s="305"/>
      <c r="F518" s="305"/>
      <c r="G518" s="305"/>
      <c r="H518" s="305"/>
      <c r="I518" s="305"/>
      <c r="J518" s="305"/>
      <c r="K518" s="305"/>
      <c r="L518" s="305"/>
      <c r="M518" s="305"/>
      <c r="N518" s="305"/>
    </row>
    <row r="519" spans="3:14" x14ac:dyDescent="0.25">
      <c r="C519" s="305"/>
      <c r="D519" s="305"/>
      <c r="E519" s="305"/>
      <c r="F519" s="305"/>
      <c r="G519" s="305"/>
      <c r="H519" s="305"/>
      <c r="I519" s="305"/>
      <c r="J519" s="305"/>
      <c r="K519" s="305"/>
      <c r="L519" s="305"/>
      <c r="M519" s="305"/>
      <c r="N519" s="305"/>
    </row>
    <row r="520" spans="3:14" x14ac:dyDescent="0.25">
      <c r="C520" s="305"/>
      <c r="D520" s="305"/>
      <c r="E520" s="305"/>
      <c r="F520" s="305"/>
      <c r="G520" s="305"/>
      <c r="H520" s="305"/>
      <c r="I520" s="305"/>
      <c r="J520" s="305"/>
      <c r="K520" s="305"/>
      <c r="L520" s="305"/>
      <c r="M520" s="305"/>
      <c r="N520" s="305"/>
    </row>
    <row r="521" spans="3:14" x14ac:dyDescent="0.25">
      <c r="C521" s="305"/>
      <c r="D521" s="305"/>
      <c r="E521" s="305"/>
      <c r="F521" s="305"/>
      <c r="G521" s="305"/>
      <c r="H521" s="305"/>
      <c r="I521" s="305"/>
      <c r="J521" s="305"/>
      <c r="K521" s="305"/>
      <c r="L521" s="305"/>
      <c r="M521" s="305"/>
      <c r="N521" s="305"/>
    </row>
    <row r="522" spans="3:14" x14ac:dyDescent="0.25">
      <c r="C522" s="305"/>
      <c r="D522" s="305"/>
      <c r="E522" s="305"/>
      <c r="F522" s="305"/>
      <c r="G522" s="305"/>
      <c r="H522" s="305"/>
      <c r="I522" s="305"/>
      <c r="J522" s="305"/>
      <c r="K522" s="305"/>
      <c r="L522" s="305"/>
      <c r="M522" s="305"/>
      <c r="N522" s="305"/>
    </row>
    <row r="523" spans="3:14" x14ac:dyDescent="0.25">
      <c r="C523" s="305"/>
      <c r="D523" s="305"/>
      <c r="E523" s="305"/>
      <c r="F523" s="305"/>
      <c r="G523" s="305"/>
      <c r="H523" s="305"/>
      <c r="I523" s="305"/>
      <c r="J523" s="305"/>
      <c r="K523" s="305"/>
      <c r="L523" s="305"/>
      <c r="M523" s="305"/>
      <c r="N523" s="305"/>
    </row>
    <row r="524" spans="3:14" x14ac:dyDescent="0.25">
      <c r="C524" s="305"/>
      <c r="D524" s="305"/>
      <c r="E524" s="305"/>
      <c r="F524" s="305"/>
      <c r="G524" s="305"/>
      <c r="H524" s="305"/>
      <c r="I524" s="305"/>
      <c r="J524" s="305"/>
      <c r="K524" s="305"/>
      <c r="L524" s="305"/>
      <c r="M524" s="305"/>
      <c r="N524" s="305"/>
    </row>
    <row r="525" spans="3:14" x14ac:dyDescent="0.25">
      <c r="C525" s="305"/>
      <c r="D525" s="305"/>
      <c r="E525" s="305"/>
      <c r="F525" s="305"/>
      <c r="G525" s="305"/>
      <c r="H525" s="305"/>
      <c r="I525" s="305"/>
      <c r="J525" s="305"/>
      <c r="K525" s="305"/>
      <c r="L525" s="305"/>
      <c r="M525" s="305"/>
      <c r="N525" s="305"/>
    </row>
    <row r="526" spans="3:14" x14ac:dyDescent="0.25">
      <c r="C526" s="305"/>
      <c r="D526" s="305"/>
      <c r="E526" s="305"/>
      <c r="F526" s="305"/>
      <c r="G526" s="305"/>
      <c r="H526" s="305"/>
      <c r="I526" s="305"/>
      <c r="J526" s="305"/>
      <c r="K526" s="305"/>
      <c r="L526" s="305"/>
      <c r="M526" s="305"/>
      <c r="N526" s="305"/>
    </row>
    <row r="527" spans="3:14" x14ac:dyDescent="0.25">
      <c r="C527" s="305"/>
      <c r="D527" s="305"/>
      <c r="E527" s="305"/>
      <c r="F527" s="305"/>
      <c r="G527" s="305"/>
      <c r="H527" s="305"/>
      <c r="I527" s="305"/>
      <c r="J527" s="305"/>
      <c r="K527" s="305"/>
      <c r="L527" s="305"/>
      <c r="M527" s="305"/>
      <c r="N527" s="305"/>
    </row>
    <row r="528" spans="3:14" x14ac:dyDescent="0.25">
      <c r="C528" s="305"/>
      <c r="D528" s="305"/>
      <c r="E528" s="305"/>
      <c r="F528" s="305"/>
      <c r="G528" s="305"/>
      <c r="H528" s="305"/>
      <c r="I528" s="305"/>
      <c r="J528" s="305"/>
      <c r="K528" s="305"/>
      <c r="L528" s="305"/>
      <c r="M528" s="305"/>
      <c r="N528" s="305"/>
    </row>
    <row r="529" spans="3:14" x14ac:dyDescent="0.25">
      <c r="C529" s="305"/>
      <c r="D529" s="305"/>
      <c r="E529" s="305"/>
      <c r="F529" s="305"/>
      <c r="G529" s="305"/>
      <c r="H529" s="305"/>
      <c r="I529" s="305"/>
      <c r="J529" s="305"/>
      <c r="K529" s="305"/>
      <c r="L529" s="305"/>
      <c r="M529" s="305"/>
      <c r="N529" s="305"/>
    </row>
    <row r="530" spans="3:14" x14ac:dyDescent="0.25">
      <c r="C530" s="305"/>
      <c r="D530" s="305"/>
      <c r="E530" s="305"/>
      <c r="F530" s="305"/>
      <c r="G530" s="305"/>
      <c r="H530" s="305"/>
      <c r="I530" s="305"/>
      <c r="J530" s="305"/>
      <c r="K530" s="305"/>
      <c r="L530" s="305"/>
      <c r="M530" s="305"/>
      <c r="N530" s="305"/>
    </row>
    <row r="531" spans="3:14" x14ac:dyDescent="0.25">
      <c r="C531" s="305"/>
      <c r="D531" s="305"/>
      <c r="E531" s="305"/>
      <c r="F531" s="305"/>
      <c r="G531" s="305"/>
      <c r="H531" s="305"/>
      <c r="I531" s="305"/>
      <c r="J531" s="305"/>
      <c r="K531" s="305"/>
      <c r="L531" s="305"/>
      <c r="M531" s="305"/>
      <c r="N531" s="305"/>
    </row>
    <row r="532" spans="3:14" x14ac:dyDescent="0.25">
      <c r="C532" s="305"/>
      <c r="D532" s="305"/>
      <c r="E532" s="305"/>
      <c r="F532" s="305"/>
      <c r="G532" s="305"/>
      <c r="H532" s="305"/>
      <c r="I532" s="305"/>
      <c r="J532" s="305"/>
      <c r="K532" s="305"/>
      <c r="L532" s="305"/>
      <c r="M532" s="305"/>
      <c r="N532" s="305"/>
    </row>
    <row r="533" spans="3:14" x14ac:dyDescent="0.25">
      <c r="C533" s="305"/>
      <c r="D533" s="305"/>
      <c r="E533" s="305"/>
      <c r="F533" s="305"/>
      <c r="G533" s="305"/>
      <c r="H533" s="305"/>
      <c r="I533" s="305"/>
      <c r="J533" s="305"/>
      <c r="K533" s="305"/>
      <c r="L533" s="305"/>
      <c r="M533" s="305"/>
      <c r="N533" s="305"/>
    </row>
    <row r="534" spans="3:14" x14ac:dyDescent="0.25">
      <c r="C534" s="305"/>
      <c r="D534" s="305"/>
      <c r="E534" s="305"/>
      <c r="F534" s="305"/>
      <c r="G534" s="305"/>
      <c r="H534" s="305"/>
      <c r="I534" s="305"/>
      <c r="J534" s="305"/>
      <c r="K534" s="305"/>
      <c r="L534" s="305"/>
      <c r="M534" s="305"/>
      <c r="N534" s="305"/>
    </row>
    <row r="535" spans="3:14" x14ac:dyDescent="0.25">
      <c r="C535" s="305"/>
      <c r="D535" s="305"/>
      <c r="E535" s="305"/>
      <c r="F535" s="305"/>
      <c r="G535" s="305"/>
      <c r="H535" s="305"/>
      <c r="I535" s="305"/>
      <c r="J535" s="305"/>
      <c r="K535" s="305"/>
      <c r="L535" s="305"/>
      <c r="M535" s="305"/>
      <c r="N535" s="305"/>
    </row>
    <row r="536" spans="3:14" x14ac:dyDescent="0.25">
      <c r="C536" s="305"/>
      <c r="D536" s="305"/>
      <c r="E536" s="305"/>
      <c r="F536" s="305"/>
      <c r="G536" s="305"/>
      <c r="H536" s="305"/>
      <c r="I536" s="305"/>
      <c r="J536" s="305"/>
      <c r="K536" s="305"/>
      <c r="L536" s="305"/>
      <c r="M536" s="305"/>
      <c r="N536" s="305"/>
    </row>
    <row r="537" spans="3:14" x14ac:dyDescent="0.25">
      <c r="C537" s="305"/>
      <c r="D537" s="305"/>
      <c r="E537" s="305"/>
      <c r="F537" s="305"/>
      <c r="G537" s="305"/>
      <c r="H537" s="305"/>
      <c r="I537" s="305"/>
      <c r="J537" s="305"/>
      <c r="K537" s="305"/>
      <c r="L537" s="305"/>
      <c r="M537" s="305"/>
      <c r="N537" s="305"/>
    </row>
    <row r="538" spans="3:14" x14ac:dyDescent="0.25">
      <c r="C538" s="305"/>
      <c r="D538" s="305"/>
      <c r="E538" s="305"/>
      <c r="F538" s="305"/>
      <c r="G538" s="305"/>
      <c r="H538" s="305"/>
      <c r="I538" s="305"/>
      <c r="J538" s="305"/>
      <c r="K538" s="305"/>
      <c r="L538" s="305"/>
      <c r="M538" s="305"/>
      <c r="N538" s="305"/>
    </row>
    <row r="539" spans="3:14" x14ac:dyDescent="0.25">
      <c r="C539" s="305"/>
      <c r="D539" s="305"/>
      <c r="E539" s="305"/>
      <c r="F539" s="305"/>
      <c r="G539" s="305"/>
      <c r="H539" s="305"/>
      <c r="I539" s="305"/>
      <c r="J539" s="305"/>
      <c r="K539" s="305"/>
      <c r="L539" s="305"/>
      <c r="M539" s="305"/>
      <c r="N539" s="305"/>
    </row>
    <row r="540" spans="3:14" x14ac:dyDescent="0.25">
      <c r="C540" s="305"/>
      <c r="D540" s="305"/>
      <c r="E540" s="305"/>
      <c r="F540" s="305"/>
      <c r="G540" s="305"/>
      <c r="H540" s="305"/>
      <c r="I540" s="305"/>
      <c r="J540" s="305"/>
      <c r="K540" s="305"/>
      <c r="L540" s="305"/>
      <c r="M540" s="305"/>
      <c r="N540" s="305"/>
    </row>
    <row r="541" spans="3:14" x14ac:dyDescent="0.25">
      <c r="C541" s="305"/>
      <c r="D541" s="305"/>
      <c r="E541" s="305"/>
      <c r="F541" s="305"/>
      <c r="G541" s="305"/>
      <c r="H541" s="305"/>
      <c r="I541" s="305"/>
      <c r="J541" s="305"/>
      <c r="K541" s="305"/>
      <c r="L541" s="305"/>
      <c r="M541" s="305"/>
      <c r="N541" s="305"/>
    </row>
    <row r="542" spans="3:14" x14ac:dyDescent="0.25">
      <c r="C542" s="305"/>
      <c r="D542" s="305"/>
      <c r="E542" s="305"/>
      <c r="F542" s="305"/>
      <c r="G542" s="305"/>
      <c r="H542" s="305"/>
      <c r="I542" s="305"/>
      <c r="J542" s="305"/>
      <c r="K542" s="305"/>
      <c r="L542" s="305"/>
      <c r="M542" s="305"/>
      <c r="N542" s="305"/>
    </row>
    <row r="543" spans="3:14" x14ac:dyDescent="0.25">
      <c r="C543" s="305"/>
      <c r="D543" s="305"/>
      <c r="E543" s="305"/>
      <c r="F543" s="305"/>
      <c r="G543" s="305"/>
      <c r="H543" s="305"/>
      <c r="I543" s="305"/>
      <c r="J543" s="305"/>
      <c r="K543" s="305"/>
      <c r="L543" s="305"/>
      <c r="M543" s="305"/>
      <c r="N543" s="305"/>
    </row>
    <row r="544" spans="3:14" x14ac:dyDescent="0.25">
      <c r="C544" s="305"/>
      <c r="D544" s="305"/>
      <c r="E544" s="305"/>
      <c r="F544" s="305"/>
      <c r="G544" s="305"/>
      <c r="H544" s="305"/>
      <c r="I544" s="305"/>
      <c r="J544" s="305"/>
      <c r="K544" s="305"/>
      <c r="L544" s="305"/>
      <c r="M544" s="305"/>
      <c r="N544" s="305"/>
    </row>
    <row r="545" spans="3:14" x14ac:dyDescent="0.25">
      <c r="C545" s="305"/>
      <c r="D545" s="305"/>
      <c r="E545" s="305"/>
      <c r="F545" s="305"/>
      <c r="G545" s="305"/>
      <c r="H545" s="305"/>
      <c r="I545" s="305"/>
      <c r="J545" s="305"/>
      <c r="K545" s="305"/>
      <c r="L545" s="305"/>
      <c r="M545" s="305"/>
      <c r="N545" s="305"/>
    </row>
    <row r="546" spans="3:14" x14ac:dyDescent="0.25">
      <c r="C546" s="305"/>
      <c r="D546" s="305"/>
      <c r="E546" s="305"/>
      <c r="F546" s="305"/>
      <c r="G546" s="305"/>
      <c r="H546" s="305"/>
      <c r="I546" s="305"/>
      <c r="J546" s="305"/>
      <c r="K546" s="305"/>
      <c r="L546" s="305"/>
      <c r="M546" s="305"/>
      <c r="N546" s="305"/>
    </row>
    <row r="547" spans="3:14" x14ac:dyDescent="0.25">
      <c r="C547" s="305"/>
      <c r="D547" s="305"/>
      <c r="E547" s="305"/>
      <c r="F547" s="305"/>
      <c r="G547" s="305"/>
      <c r="H547" s="305"/>
      <c r="I547" s="305"/>
      <c r="J547" s="305"/>
      <c r="K547" s="305"/>
      <c r="L547" s="305"/>
      <c r="M547" s="305"/>
      <c r="N547" s="305"/>
    </row>
    <row r="548" spans="3:14" x14ac:dyDescent="0.25">
      <c r="C548" s="305"/>
      <c r="D548" s="305"/>
      <c r="E548" s="305"/>
      <c r="F548" s="305"/>
      <c r="G548" s="305"/>
      <c r="H548" s="305"/>
      <c r="I548" s="305"/>
      <c r="J548" s="305"/>
      <c r="K548" s="305"/>
      <c r="L548" s="305"/>
      <c r="M548" s="305"/>
      <c r="N548" s="305"/>
    </row>
    <row r="549" spans="3:14" x14ac:dyDescent="0.25">
      <c r="C549" s="305"/>
      <c r="D549" s="305"/>
      <c r="E549" s="305"/>
      <c r="F549" s="305"/>
      <c r="G549" s="305"/>
      <c r="H549" s="305"/>
      <c r="I549" s="305"/>
      <c r="J549" s="305"/>
      <c r="K549" s="305"/>
      <c r="L549" s="305"/>
      <c r="M549" s="305"/>
      <c r="N549" s="305"/>
    </row>
    <row r="550" spans="3:14" x14ac:dyDescent="0.25">
      <c r="C550" s="305"/>
      <c r="D550" s="305"/>
      <c r="E550" s="305"/>
      <c r="F550" s="305"/>
      <c r="G550" s="305"/>
      <c r="H550" s="305"/>
      <c r="I550" s="305"/>
      <c r="J550" s="305"/>
      <c r="K550" s="305"/>
      <c r="L550" s="305"/>
      <c r="M550" s="305"/>
      <c r="N550" s="305"/>
    </row>
    <row r="551" spans="3:14" x14ac:dyDescent="0.25">
      <c r="C551" s="305"/>
      <c r="D551" s="305"/>
      <c r="E551" s="305"/>
      <c r="F551" s="305"/>
      <c r="G551" s="305"/>
      <c r="H551" s="305"/>
      <c r="I551" s="305"/>
      <c r="J551" s="305"/>
      <c r="K551" s="305"/>
      <c r="L551" s="305"/>
      <c r="M551" s="305"/>
      <c r="N551" s="305"/>
    </row>
    <row r="552" spans="3:14" x14ac:dyDescent="0.25">
      <c r="C552" s="305"/>
      <c r="D552" s="305"/>
      <c r="E552" s="305"/>
      <c r="F552" s="305"/>
      <c r="G552" s="305"/>
      <c r="H552" s="305"/>
      <c r="I552" s="305"/>
      <c r="J552" s="305"/>
      <c r="K552" s="305"/>
      <c r="L552" s="305"/>
      <c r="M552" s="305"/>
      <c r="N552" s="305"/>
    </row>
    <row r="553" spans="3:14" x14ac:dyDescent="0.25">
      <c r="C553" s="305"/>
      <c r="D553" s="305"/>
      <c r="E553" s="305"/>
      <c r="F553" s="305"/>
      <c r="G553" s="305"/>
      <c r="H553" s="305"/>
      <c r="I553" s="305"/>
      <c r="J553" s="305"/>
      <c r="K553" s="305"/>
      <c r="L553" s="305"/>
      <c r="M553" s="305"/>
      <c r="N553" s="305"/>
    </row>
    <row r="554" spans="3:14" x14ac:dyDescent="0.25">
      <c r="C554" s="305"/>
      <c r="D554" s="305"/>
      <c r="E554" s="305"/>
      <c r="F554" s="305"/>
      <c r="G554" s="305"/>
      <c r="H554" s="305"/>
      <c r="I554" s="305"/>
      <c r="J554" s="305"/>
      <c r="K554" s="305"/>
      <c r="L554" s="305"/>
      <c r="M554" s="305"/>
      <c r="N554" s="305"/>
    </row>
    <row r="555" spans="3:14" x14ac:dyDescent="0.25">
      <c r="C555" s="305"/>
      <c r="D555" s="305"/>
      <c r="E555" s="305"/>
      <c r="F555" s="305"/>
      <c r="G555" s="305"/>
      <c r="H555" s="305"/>
      <c r="I555" s="305"/>
      <c r="J555" s="305"/>
      <c r="K555" s="305"/>
      <c r="L555" s="305"/>
      <c r="M555" s="305"/>
      <c r="N555" s="305"/>
    </row>
    <row r="556" spans="3:14" x14ac:dyDescent="0.25">
      <c r="C556" s="305"/>
      <c r="D556" s="305"/>
      <c r="E556" s="305"/>
      <c r="F556" s="305"/>
      <c r="G556" s="305"/>
      <c r="H556" s="305"/>
      <c r="I556" s="305"/>
      <c r="J556" s="305"/>
      <c r="K556" s="305"/>
      <c r="L556" s="305"/>
      <c r="M556" s="305"/>
      <c r="N556" s="305"/>
    </row>
    <row r="557" spans="3:14" x14ac:dyDescent="0.25">
      <c r="C557" s="305"/>
      <c r="D557" s="305"/>
      <c r="E557" s="305"/>
      <c r="F557" s="305"/>
      <c r="G557" s="305"/>
      <c r="H557" s="305"/>
      <c r="I557" s="305"/>
      <c r="J557" s="305"/>
      <c r="K557" s="305"/>
      <c r="L557" s="305"/>
      <c r="M557" s="305"/>
      <c r="N557" s="305"/>
    </row>
    <row r="558" spans="3:14" x14ac:dyDescent="0.25">
      <c r="C558" s="305"/>
      <c r="D558" s="305"/>
      <c r="E558" s="305"/>
      <c r="F558" s="305"/>
      <c r="G558" s="305"/>
      <c r="H558" s="305"/>
      <c r="I558" s="305"/>
      <c r="J558" s="305"/>
      <c r="K558" s="305"/>
      <c r="L558" s="305"/>
      <c r="M558" s="305"/>
      <c r="N558" s="305"/>
    </row>
    <row r="559" spans="3:14" x14ac:dyDescent="0.25">
      <c r="C559" s="305"/>
      <c r="D559" s="305"/>
      <c r="E559" s="305"/>
      <c r="F559" s="305"/>
      <c r="G559" s="305"/>
      <c r="H559" s="305"/>
      <c r="I559" s="305"/>
      <c r="J559" s="305"/>
      <c r="K559" s="305"/>
      <c r="L559" s="305"/>
      <c r="M559" s="305"/>
      <c r="N559" s="305"/>
    </row>
    <row r="560" spans="3:14" x14ac:dyDescent="0.25">
      <c r="C560" s="305"/>
      <c r="D560" s="305"/>
      <c r="E560" s="305"/>
      <c r="F560" s="305"/>
      <c r="G560" s="305"/>
      <c r="H560" s="305"/>
      <c r="I560" s="305"/>
      <c r="J560" s="305"/>
      <c r="K560" s="305"/>
      <c r="L560" s="305"/>
      <c r="M560" s="305"/>
      <c r="N560" s="305"/>
    </row>
    <row r="561" spans="3:14" x14ac:dyDescent="0.25">
      <c r="C561" s="305"/>
      <c r="D561" s="305"/>
      <c r="E561" s="305"/>
      <c r="F561" s="305"/>
      <c r="G561" s="305"/>
      <c r="H561" s="305"/>
      <c r="I561" s="305"/>
      <c r="J561" s="305"/>
      <c r="K561" s="305"/>
      <c r="L561" s="305"/>
      <c r="M561" s="305"/>
      <c r="N561" s="305"/>
    </row>
    <row r="562" spans="3:14" x14ac:dyDescent="0.25">
      <c r="C562" s="305"/>
      <c r="D562" s="305"/>
      <c r="E562" s="305"/>
      <c r="F562" s="305"/>
      <c r="G562" s="305"/>
      <c r="H562" s="305"/>
      <c r="I562" s="305"/>
      <c r="J562" s="305"/>
      <c r="K562" s="305"/>
      <c r="L562" s="305"/>
      <c r="M562" s="305"/>
      <c r="N562" s="305"/>
    </row>
    <row r="563" spans="3:14" x14ac:dyDescent="0.25">
      <c r="C563" s="305"/>
      <c r="D563" s="305"/>
      <c r="E563" s="305"/>
      <c r="F563" s="305"/>
      <c r="G563" s="305"/>
      <c r="H563" s="305"/>
      <c r="I563" s="305"/>
      <c r="J563" s="305"/>
      <c r="K563" s="305"/>
      <c r="L563" s="305"/>
      <c r="M563" s="305"/>
      <c r="N563" s="305"/>
    </row>
    <row r="564" spans="3:14" x14ac:dyDescent="0.25">
      <c r="C564" s="305"/>
      <c r="D564" s="305"/>
      <c r="E564" s="305"/>
      <c r="F564" s="305"/>
      <c r="G564" s="305"/>
      <c r="H564" s="305"/>
      <c r="I564" s="305"/>
      <c r="J564" s="305"/>
      <c r="K564" s="305"/>
      <c r="L564" s="305"/>
      <c r="M564" s="305"/>
      <c r="N564" s="305"/>
    </row>
    <row r="565" spans="3:14" x14ac:dyDescent="0.25">
      <c r="C565" s="305"/>
      <c r="D565" s="305"/>
      <c r="E565" s="305"/>
      <c r="F565" s="305"/>
      <c r="G565" s="305"/>
      <c r="H565" s="305"/>
      <c r="I565" s="305"/>
      <c r="J565" s="305"/>
      <c r="K565" s="305"/>
      <c r="L565" s="305"/>
      <c r="M565" s="305"/>
      <c r="N565" s="305"/>
    </row>
    <row r="566" spans="3:14" x14ac:dyDescent="0.25">
      <c r="C566" s="305"/>
      <c r="D566" s="305"/>
      <c r="E566" s="305"/>
      <c r="F566" s="305"/>
      <c r="G566" s="305"/>
      <c r="H566" s="305"/>
      <c r="I566" s="305"/>
      <c r="J566" s="305"/>
      <c r="K566" s="305"/>
      <c r="L566" s="305"/>
      <c r="M566" s="305"/>
      <c r="N566" s="305"/>
    </row>
    <row r="567" spans="3:14" x14ac:dyDescent="0.25">
      <c r="C567" s="305"/>
      <c r="D567" s="305"/>
      <c r="E567" s="305"/>
      <c r="F567" s="305"/>
      <c r="G567" s="305"/>
      <c r="H567" s="305"/>
      <c r="I567" s="305"/>
      <c r="J567" s="305"/>
      <c r="K567" s="305"/>
      <c r="L567" s="305"/>
      <c r="M567" s="305"/>
      <c r="N567" s="305"/>
    </row>
    <row r="568" spans="3:14" x14ac:dyDescent="0.25">
      <c r="C568" s="305"/>
      <c r="D568" s="305"/>
      <c r="E568" s="305"/>
      <c r="F568" s="305"/>
      <c r="G568" s="305"/>
      <c r="H568" s="305"/>
      <c r="I568" s="305"/>
      <c r="J568" s="305"/>
      <c r="K568" s="305"/>
      <c r="L568" s="305"/>
      <c r="M568" s="305"/>
      <c r="N568" s="305"/>
    </row>
    <row r="569" spans="3:14" x14ac:dyDescent="0.25">
      <c r="C569" s="305"/>
      <c r="D569" s="305"/>
      <c r="E569" s="305"/>
      <c r="F569" s="305"/>
      <c r="G569" s="305"/>
      <c r="H569" s="305"/>
      <c r="I569" s="305"/>
      <c r="J569" s="305"/>
      <c r="K569" s="305"/>
      <c r="L569" s="305"/>
      <c r="M569" s="305"/>
      <c r="N569" s="305"/>
    </row>
    <row r="570" spans="3:14" x14ac:dyDescent="0.25">
      <c r="C570" s="305"/>
      <c r="D570" s="305"/>
      <c r="E570" s="305"/>
      <c r="F570" s="305"/>
      <c r="G570" s="305"/>
      <c r="H570" s="305"/>
      <c r="I570" s="305"/>
      <c r="J570" s="305"/>
      <c r="K570" s="305"/>
      <c r="L570" s="305"/>
      <c r="M570" s="305"/>
      <c r="N570" s="305"/>
    </row>
    <row r="571" spans="3:14" x14ac:dyDescent="0.25">
      <c r="C571" s="305"/>
      <c r="D571" s="305"/>
      <c r="E571" s="305"/>
      <c r="F571" s="305"/>
      <c r="G571" s="305"/>
      <c r="H571" s="305"/>
      <c r="I571" s="305"/>
      <c r="J571" s="305"/>
      <c r="K571" s="305"/>
      <c r="L571" s="305"/>
      <c r="M571" s="305"/>
      <c r="N571" s="305"/>
    </row>
    <row r="572" spans="3:14" x14ac:dyDescent="0.25">
      <c r="C572" s="305"/>
      <c r="D572" s="305"/>
      <c r="E572" s="305"/>
      <c r="F572" s="305"/>
      <c r="G572" s="305"/>
      <c r="H572" s="305"/>
      <c r="I572" s="305"/>
      <c r="J572" s="305"/>
      <c r="K572" s="305"/>
      <c r="L572" s="305"/>
      <c r="M572" s="305"/>
      <c r="N572" s="305"/>
    </row>
    <row r="573" spans="3:14" x14ac:dyDescent="0.25">
      <c r="C573" s="305"/>
      <c r="D573" s="305"/>
      <c r="E573" s="305"/>
      <c r="F573" s="305"/>
      <c r="G573" s="305"/>
      <c r="H573" s="305"/>
      <c r="I573" s="305"/>
      <c r="J573" s="305"/>
      <c r="K573" s="305"/>
      <c r="L573" s="305"/>
      <c r="M573" s="305"/>
      <c r="N573" s="305"/>
    </row>
    <row r="574" spans="3:14" x14ac:dyDescent="0.25">
      <c r="C574" s="305"/>
      <c r="D574" s="305"/>
      <c r="E574" s="305"/>
      <c r="F574" s="305"/>
      <c r="G574" s="305"/>
      <c r="H574" s="305"/>
      <c r="I574" s="305"/>
      <c r="J574" s="305"/>
      <c r="K574" s="305"/>
      <c r="L574" s="305"/>
      <c r="M574" s="305"/>
      <c r="N574" s="305"/>
    </row>
    <row r="575" spans="3:14" x14ac:dyDescent="0.25">
      <c r="C575" s="305"/>
      <c r="D575" s="305"/>
      <c r="E575" s="305"/>
      <c r="F575" s="305"/>
      <c r="G575" s="305"/>
      <c r="H575" s="305"/>
      <c r="I575" s="305"/>
      <c r="J575" s="305"/>
      <c r="K575" s="305"/>
      <c r="L575" s="305"/>
      <c r="M575" s="305"/>
      <c r="N575" s="305"/>
    </row>
    <row r="576" spans="3:14" x14ac:dyDescent="0.25">
      <c r="C576" s="305"/>
      <c r="D576" s="305"/>
      <c r="E576" s="305"/>
      <c r="F576" s="305"/>
      <c r="G576" s="305"/>
      <c r="H576" s="305"/>
      <c r="I576" s="305"/>
      <c r="J576" s="305"/>
      <c r="K576" s="305"/>
      <c r="L576" s="305"/>
      <c r="M576" s="305"/>
      <c r="N576" s="305"/>
    </row>
    <row r="577" spans="3:14" x14ac:dyDescent="0.25">
      <c r="C577" s="305"/>
      <c r="D577" s="305"/>
      <c r="E577" s="305"/>
      <c r="F577" s="305"/>
      <c r="G577" s="305"/>
      <c r="H577" s="305"/>
      <c r="I577" s="305"/>
      <c r="J577" s="305"/>
      <c r="K577" s="305"/>
      <c r="L577" s="305"/>
      <c r="M577" s="305"/>
      <c r="N577" s="305"/>
    </row>
    <row r="578" spans="3:14" x14ac:dyDescent="0.25">
      <c r="C578" s="305"/>
      <c r="D578" s="305"/>
      <c r="E578" s="305"/>
      <c r="F578" s="305"/>
      <c r="G578" s="305"/>
      <c r="H578" s="305"/>
      <c r="I578" s="305"/>
      <c r="J578" s="305"/>
      <c r="K578" s="305"/>
      <c r="L578" s="305"/>
      <c r="M578" s="305"/>
      <c r="N578" s="305"/>
    </row>
    <row r="579" spans="3:14" x14ac:dyDescent="0.25">
      <c r="C579" s="305"/>
      <c r="D579" s="305"/>
      <c r="E579" s="305"/>
      <c r="F579" s="305"/>
      <c r="G579" s="305"/>
      <c r="H579" s="305"/>
      <c r="I579" s="305"/>
      <c r="J579" s="305"/>
      <c r="K579" s="305"/>
      <c r="L579" s="305"/>
      <c r="M579" s="305"/>
      <c r="N579" s="305"/>
    </row>
    <row r="580" spans="3:14" x14ac:dyDescent="0.25">
      <c r="C580" s="305"/>
      <c r="D580" s="305"/>
      <c r="E580" s="305"/>
      <c r="F580" s="305"/>
      <c r="G580" s="305"/>
      <c r="H580" s="305"/>
      <c r="I580" s="305"/>
      <c r="J580" s="305"/>
      <c r="K580" s="305"/>
      <c r="L580" s="305"/>
      <c r="M580" s="305"/>
      <c r="N580" s="305"/>
    </row>
    <row r="581" spans="3:14" x14ac:dyDescent="0.25">
      <c r="C581" s="305"/>
      <c r="D581" s="305"/>
      <c r="E581" s="305"/>
      <c r="F581" s="305"/>
      <c r="G581" s="305"/>
      <c r="H581" s="305"/>
      <c r="I581" s="305"/>
      <c r="J581" s="305"/>
      <c r="K581" s="305"/>
      <c r="L581" s="305"/>
      <c r="M581" s="305"/>
      <c r="N581" s="305"/>
    </row>
    <row r="582" spans="3:14" x14ac:dyDescent="0.25">
      <c r="C582" s="305"/>
      <c r="D582" s="305"/>
      <c r="E582" s="305"/>
      <c r="F582" s="305"/>
      <c r="G582" s="305"/>
      <c r="H582" s="305"/>
      <c r="I582" s="305"/>
      <c r="J582" s="305"/>
      <c r="K582" s="305"/>
      <c r="L582" s="305"/>
      <c r="M582" s="305"/>
      <c r="N582" s="305"/>
    </row>
    <row r="583" spans="3:14" x14ac:dyDescent="0.25">
      <c r="C583" s="305"/>
      <c r="D583" s="305"/>
      <c r="E583" s="305"/>
      <c r="F583" s="305"/>
      <c r="G583" s="305"/>
      <c r="H583" s="305"/>
      <c r="I583" s="305"/>
      <c r="J583" s="305"/>
      <c r="K583" s="305"/>
      <c r="L583" s="305"/>
      <c r="M583" s="305"/>
      <c r="N583" s="305"/>
    </row>
    <row r="584" spans="3:14" x14ac:dyDescent="0.25">
      <c r="C584" s="305"/>
      <c r="D584" s="305"/>
      <c r="E584" s="305"/>
      <c r="F584" s="305"/>
      <c r="G584" s="305"/>
      <c r="H584" s="305"/>
      <c r="I584" s="305"/>
      <c r="J584" s="305"/>
      <c r="K584" s="305"/>
      <c r="L584" s="305"/>
      <c r="M584" s="305"/>
      <c r="N584" s="305"/>
    </row>
    <row r="585" spans="3:14" x14ac:dyDescent="0.25">
      <c r="C585" s="305"/>
      <c r="D585" s="305"/>
      <c r="E585" s="305"/>
      <c r="F585" s="305"/>
      <c r="G585" s="305"/>
      <c r="H585" s="305"/>
      <c r="I585" s="305"/>
      <c r="J585" s="305"/>
      <c r="K585" s="305"/>
      <c r="L585" s="305"/>
      <c r="M585" s="305"/>
      <c r="N585" s="305"/>
    </row>
    <row r="586" spans="3:14" x14ac:dyDescent="0.25">
      <c r="C586" s="305"/>
      <c r="D586" s="305"/>
      <c r="E586" s="305"/>
      <c r="F586" s="305"/>
      <c r="G586" s="305"/>
      <c r="H586" s="305"/>
      <c r="I586" s="305"/>
      <c r="J586" s="305"/>
      <c r="K586" s="305"/>
      <c r="L586" s="305"/>
      <c r="M586" s="305"/>
      <c r="N586" s="305"/>
    </row>
    <row r="587" spans="3:14" x14ac:dyDescent="0.25">
      <c r="C587" s="305"/>
      <c r="D587" s="305"/>
      <c r="E587" s="305"/>
      <c r="F587" s="305"/>
      <c r="G587" s="305"/>
      <c r="H587" s="305"/>
      <c r="I587" s="305"/>
      <c r="J587" s="305"/>
      <c r="K587" s="305"/>
      <c r="L587" s="305"/>
      <c r="M587" s="305"/>
      <c r="N587" s="305"/>
    </row>
    <row r="588" spans="3:14" x14ac:dyDescent="0.25">
      <c r="C588" s="305"/>
      <c r="D588" s="305"/>
      <c r="E588" s="305"/>
      <c r="F588" s="305"/>
      <c r="G588" s="305"/>
      <c r="H588" s="305"/>
      <c r="I588" s="305"/>
      <c r="J588" s="305"/>
      <c r="K588" s="305"/>
      <c r="L588" s="305"/>
      <c r="M588" s="305"/>
      <c r="N588" s="305"/>
    </row>
    <row r="589" spans="3:14" x14ac:dyDescent="0.25">
      <c r="C589" s="305"/>
      <c r="D589" s="305"/>
      <c r="E589" s="305"/>
      <c r="F589" s="305"/>
      <c r="G589" s="305"/>
      <c r="H589" s="305"/>
      <c r="I589" s="305"/>
      <c r="J589" s="305"/>
      <c r="K589" s="305"/>
      <c r="L589" s="305"/>
      <c r="M589" s="305"/>
      <c r="N589" s="305"/>
    </row>
    <row r="590" spans="3:14" x14ac:dyDescent="0.25">
      <c r="C590" s="305"/>
      <c r="D590" s="305"/>
      <c r="E590" s="305"/>
      <c r="F590" s="305"/>
      <c r="G590" s="305"/>
      <c r="H590" s="305"/>
      <c r="I590" s="305"/>
      <c r="J590" s="305"/>
      <c r="K590" s="305"/>
      <c r="L590" s="305"/>
      <c r="M590" s="305"/>
      <c r="N590" s="305"/>
    </row>
    <row r="591" spans="3:14" x14ac:dyDescent="0.25">
      <c r="C591" s="305"/>
      <c r="D591" s="305"/>
      <c r="E591" s="305"/>
      <c r="F591" s="305"/>
      <c r="G591" s="305"/>
      <c r="H591" s="305"/>
      <c r="I591" s="305"/>
      <c r="J591" s="305"/>
      <c r="K591" s="305"/>
      <c r="L591" s="305"/>
      <c r="M591" s="305"/>
      <c r="N591" s="305"/>
    </row>
    <row r="592" spans="3:14" x14ac:dyDescent="0.25">
      <c r="C592" s="305"/>
      <c r="D592" s="305"/>
      <c r="E592" s="305"/>
      <c r="F592" s="305"/>
      <c r="G592" s="305"/>
      <c r="H592" s="305"/>
      <c r="I592" s="305"/>
      <c r="J592" s="305"/>
      <c r="K592" s="305"/>
      <c r="L592" s="305"/>
      <c r="M592" s="305"/>
      <c r="N592" s="305"/>
    </row>
    <row r="593" spans="3:14" x14ac:dyDescent="0.25">
      <c r="C593" s="305"/>
      <c r="D593" s="305"/>
      <c r="E593" s="305"/>
      <c r="F593" s="305"/>
      <c r="G593" s="305"/>
      <c r="H593" s="305"/>
      <c r="I593" s="305"/>
      <c r="J593" s="305"/>
      <c r="K593" s="305"/>
      <c r="L593" s="305"/>
      <c r="M593" s="305"/>
      <c r="N593" s="305"/>
    </row>
    <row r="594" spans="3:14" x14ac:dyDescent="0.25">
      <c r="C594" s="305"/>
      <c r="D594" s="305"/>
      <c r="E594" s="305"/>
      <c r="F594" s="305"/>
      <c r="G594" s="305"/>
      <c r="H594" s="305"/>
      <c r="I594" s="305"/>
      <c r="J594" s="305"/>
      <c r="K594" s="305"/>
      <c r="L594" s="305"/>
      <c r="M594" s="305"/>
      <c r="N594" s="305"/>
    </row>
    <row r="595" spans="3:14" x14ac:dyDescent="0.25">
      <c r="C595" s="305"/>
      <c r="D595" s="305"/>
      <c r="E595" s="305"/>
      <c r="F595" s="305"/>
      <c r="G595" s="305"/>
      <c r="H595" s="305"/>
      <c r="I595" s="305"/>
      <c r="J595" s="305"/>
      <c r="K595" s="305"/>
      <c r="L595" s="305"/>
      <c r="M595" s="305"/>
      <c r="N595" s="305"/>
    </row>
    <row r="596" spans="3:14" x14ac:dyDescent="0.25">
      <c r="C596" s="305"/>
      <c r="D596" s="305"/>
      <c r="E596" s="305"/>
      <c r="F596" s="305"/>
      <c r="G596" s="305"/>
      <c r="H596" s="305"/>
      <c r="I596" s="305"/>
      <c r="J596" s="305"/>
      <c r="K596" s="305"/>
      <c r="L596" s="305"/>
      <c r="M596" s="305"/>
      <c r="N596" s="305"/>
    </row>
    <row r="597" spans="3:14" x14ac:dyDescent="0.25">
      <c r="C597" s="305"/>
      <c r="D597" s="305"/>
      <c r="E597" s="305"/>
      <c r="F597" s="305"/>
      <c r="G597" s="305"/>
      <c r="H597" s="305"/>
      <c r="I597" s="305"/>
      <c r="J597" s="305"/>
      <c r="K597" s="305"/>
      <c r="L597" s="305"/>
      <c r="M597" s="305"/>
      <c r="N597" s="305"/>
    </row>
    <row r="598" spans="3:14" x14ac:dyDescent="0.25">
      <c r="C598" s="305"/>
      <c r="D598" s="305"/>
      <c r="E598" s="305"/>
      <c r="F598" s="305"/>
      <c r="G598" s="305"/>
      <c r="H598" s="305"/>
      <c r="I598" s="305"/>
      <c r="J598" s="305"/>
      <c r="K598" s="305"/>
      <c r="L598" s="305"/>
      <c r="M598" s="305"/>
      <c r="N598" s="305"/>
    </row>
    <row r="599" spans="3:14" x14ac:dyDescent="0.25">
      <c r="C599" s="305"/>
      <c r="D599" s="305"/>
      <c r="E599" s="305"/>
      <c r="F599" s="305"/>
      <c r="G599" s="305"/>
      <c r="H599" s="305"/>
      <c r="I599" s="305"/>
      <c r="J599" s="305"/>
      <c r="K599" s="305"/>
      <c r="L599" s="305"/>
      <c r="M599" s="305"/>
      <c r="N599" s="305"/>
    </row>
    <row r="600" spans="3:14" x14ac:dyDescent="0.25">
      <c r="C600" s="305"/>
      <c r="D600" s="305"/>
      <c r="E600" s="305"/>
      <c r="F600" s="305"/>
      <c r="G600" s="305"/>
      <c r="H600" s="305"/>
      <c r="I600" s="305"/>
      <c r="J600" s="305"/>
      <c r="K600" s="305"/>
      <c r="L600" s="305"/>
      <c r="M600" s="305"/>
      <c r="N600" s="305"/>
    </row>
    <row r="601" spans="3:14" x14ac:dyDescent="0.25">
      <c r="C601" s="305"/>
      <c r="D601" s="305"/>
      <c r="E601" s="305"/>
      <c r="F601" s="305"/>
      <c r="G601" s="305"/>
      <c r="H601" s="305"/>
      <c r="I601" s="305"/>
      <c r="J601" s="305"/>
      <c r="K601" s="305"/>
      <c r="L601" s="305"/>
      <c r="M601" s="305"/>
      <c r="N601" s="305"/>
    </row>
    <row r="602" spans="3:14" x14ac:dyDescent="0.25">
      <c r="C602" s="305"/>
      <c r="D602" s="305"/>
      <c r="E602" s="305"/>
      <c r="F602" s="305"/>
      <c r="G602" s="305"/>
      <c r="H602" s="305"/>
      <c r="I602" s="305"/>
      <c r="J602" s="305"/>
      <c r="K602" s="305"/>
      <c r="L602" s="305"/>
      <c r="M602" s="305"/>
      <c r="N602" s="305"/>
    </row>
    <row r="603" spans="3:14" x14ac:dyDescent="0.25">
      <c r="C603" s="305"/>
      <c r="D603" s="305"/>
      <c r="E603" s="305"/>
      <c r="F603" s="305"/>
      <c r="G603" s="305"/>
      <c r="H603" s="305"/>
      <c r="I603" s="305"/>
      <c r="J603" s="305"/>
      <c r="K603" s="305"/>
      <c r="L603" s="305"/>
      <c r="M603" s="305"/>
      <c r="N603" s="305"/>
    </row>
    <row r="604" spans="3:14" x14ac:dyDescent="0.25">
      <c r="C604" s="305"/>
      <c r="D604" s="305"/>
      <c r="E604" s="305"/>
      <c r="F604" s="305"/>
      <c r="G604" s="305"/>
      <c r="H604" s="305"/>
      <c r="I604" s="305"/>
      <c r="J604" s="305"/>
      <c r="K604" s="305"/>
      <c r="L604" s="305"/>
      <c r="M604" s="305"/>
      <c r="N604" s="305"/>
    </row>
    <row r="605" spans="3:14" x14ac:dyDescent="0.25">
      <c r="C605" s="305"/>
      <c r="D605" s="305"/>
      <c r="E605" s="305"/>
      <c r="F605" s="305"/>
      <c r="G605" s="305"/>
      <c r="H605" s="305"/>
      <c r="I605" s="305"/>
      <c r="J605" s="305"/>
      <c r="K605" s="305"/>
      <c r="L605" s="305"/>
      <c r="M605" s="305"/>
      <c r="N605" s="305"/>
    </row>
    <row r="606" spans="3:14" x14ac:dyDescent="0.25">
      <c r="C606" s="305"/>
      <c r="D606" s="305"/>
      <c r="E606" s="305"/>
      <c r="F606" s="305"/>
      <c r="G606" s="305"/>
      <c r="H606" s="305"/>
      <c r="I606" s="305"/>
      <c r="J606" s="305"/>
      <c r="K606" s="305"/>
      <c r="L606" s="305"/>
      <c r="M606" s="305"/>
      <c r="N606" s="305"/>
    </row>
    <row r="607" spans="3:14" x14ac:dyDescent="0.25">
      <c r="C607" s="305"/>
      <c r="D607" s="305"/>
      <c r="E607" s="305"/>
      <c r="F607" s="305"/>
      <c r="G607" s="305"/>
      <c r="H607" s="305"/>
      <c r="I607" s="305"/>
      <c r="J607" s="305"/>
      <c r="K607" s="305"/>
      <c r="L607" s="305"/>
      <c r="M607" s="305"/>
      <c r="N607" s="305"/>
    </row>
    <row r="608" spans="3:14" x14ac:dyDescent="0.25">
      <c r="C608" s="305"/>
      <c r="D608" s="305"/>
      <c r="E608" s="305"/>
      <c r="F608" s="305"/>
      <c r="G608" s="305"/>
      <c r="H608" s="305"/>
      <c r="I608" s="305"/>
      <c r="J608" s="305"/>
      <c r="K608" s="305"/>
      <c r="L608" s="305"/>
      <c r="M608" s="305"/>
      <c r="N608" s="305"/>
    </row>
    <row r="609" spans="3:14" x14ac:dyDescent="0.25">
      <c r="C609" s="305"/>
      <c r="D609" s="305"/>
      <c r="E609" s="305"/>
      <c r="F609" s="305"/>
      <c r="G609" s="305"/>
      <c r="H609" s="305"/>
      <c r="I609" s="305"/>
      <c r="J609" s="305"/>
      <c r="K609" s="305"/>
      <c r="L609" s="305"/>
      <c r="M609" s="305"/>
      <c r="N609" s="305"/>
    </row>
    <row r="610" spans="3:14" x14ac:dyDescent="0.25">
      <c r="C610" s="305"/>
      <c r="D610" s="305"/>
      <c r="E610" s="305"/>
      <c r="F610" s="305"/>
      <c r="G610" s="305"/>
      <c r="H610" s="305"/>
      <c r="I610" s="305"/>
      <c r="J610" s="305"/>
      <c r="K610" s="305"/>
      <c r="L610" s="305"/>
      <c r="M610" s="305"/>
      <c r="N610" s="305"/>
    </row>
    <row r="611" spans="3:14" x14ac:dyDescent="0.25">
      <c r="C611" s="305"/>
      <c r="D611" s="305"/>
      <c r="E611" s="305"/>
      <c r="F611" s="305"/>
      <c r="G611" s="305"/>
      <c r="H611" s="305"/>
      <c r="I611" s="305"/>
      <c r="J611" s="305"/>
      <c r="K611" s="305"/>
      <c r="L611" s="305"/>
      <c r="M611" s="305"/>
      <c r="N611" s="305"/>
    </row>
    <row r="612" spans="3:14" x14ac:dyDescent="0.25">
      <c r="C612" s="305"/>
      <c r="D612" s="305"/>
      <c r="E612" s="305"/>
      <c r="F612" s="305"/>
      <c r="G612" s="305"/>
      <c r="H612" s="305"/>
      <c r="I612" s="305"/>
      <c r="J612" s="305"/>
      <c r="K612" s="305"/>
      <c r="L612" s="305"/>
      <c r="M612" s="305"/>
      <c r="N612" s="305"/>
    </row>
    <row r="613" spans="3:14" x14ac:dyDescent="0.25">
      <c r="C613" s="305"/>
      <c r="D613" s="305"/>
      <c r="E613" s="305"/>
      <c r="F613" s="305"/>
      <c r="G613" s="305"/>
      <c r="H613" s="305"/>
      <c r="I613" s="305"/>
      <c r="J613" s="305"/>
      <c r="K613" s="305"/>
      <c r="L613" s="305"/>
      <c r="M613" s="305"/>
      <c r="N613" s="305"/>
    </row>
    <row r="614" spans="3:14" x14ac:dyDescent="0.25">
      <c r="C614" s="305"/>
      <c r="D614" s="305"/>
      <c r="E614" s="305"/>
      <c r="F614" s="305"/>
      <c r="G614" s="305"/>
      <c r="H614" s="305"/>
      <c r="I614" s="305"/>
      <c r="J614" s="305"/>
      <c r="K614" s="305"/>
      <c r="L614" s="305"/>
      <c r="M614" s="305"/>
      <c r="N614" s="305"/>
    </row>
    <row r="615" spans="3:14" x14ac:dyDescent="0.25">
      <c r="C615" s="305"/>
      <c r="D615" s="305"/>
      <c r="E615" s="305"/>
      <c r="F615" s="305"/>
      <c r="G615" s="305"/>
      <c r="H615" s="305"/>
      <c r="I615" s="305"/>
      <c r="J615" s="305"/>
      <c r="K615" s="305"/>
      <c r="L615" s="305"/>
      <c r="M615" s="305"/>
      <c r="N615" s="305"/>
    </row>
    <row r="616" spans="3:14" x14ac:dyDescent="0.25">
      <c r="C616" s="305"/>
      <c r="D616" s="305"/>
      <c r="E616" s="305"/>
      <c r="F616" s="305"/>
      <c r="G616" s="305"/>
      <c r="H616" s="305"/>
      <c r="I616" s="305"/>
      <c r="J616" s="305"/>
      <c r="K616" s="305"/>
      <c r="L616" s="305"/>
      <c r="M616" s="305"/>
      <c r="N616" s="305"/>
    </row>
    <row r="617" spans="3:14" x14ac:dyDescent="0.25">
      <c r="C617" s="305"/>
      <c r="D617" s="305"/>
      <c r="E617" s="305"/>
      <c r="F617" s="305"/>
      <c r="G617" s="305"/>
      <c r="H617" s="305"/>
      <c r="I617" s="305"/>
      <c r="J617" s="305"/>
      <c r="K617" s="305"/>
      <c r="L617" s="305"/>
      <c r="M617" s="305"/>
      <c r="N617" s="305"/>
    </row>
    <row r="618" spans="3:14" x14ac:dyDescent="0.25">
      <c r="C618" s="305"/>
      <c r="D618" s="305"/>
      <c r="E618" s="305"/>
      <c r="F618" s="305"/>
      <c r="G618" s="305"/>
      <c r="H618" s="305"/>
      <c r="I618" s="305"/>
      <c r="J618" s="305"/>
      <c r="K618" s="305"/>
      <c r="L618" s="305"/>
      <c r="M618" s="305"/>
      <c r="N618" s="305"/>
    </row>
    <row r="619" spans="3:14" x14ac:dyDescent="0.25">
      <c r="C619" s="305"/>
      <c r="D619" s="305"/>
      <c r="E619" s="305"/>
      <c r="F619" s="305"/>
      <c r="G619" s="305"/>
      <c r="H619" s="305"/>
      <c r="I619" s="305"/>
      <c r="J619" s="305"/>
      <c r="K619" s="305"/>
      <c r="L619" s="305"/>
      <c r="M619" s="305"/>
      <c r="N619" s="305"/>
    </row>
    <row r="620" spans="3:14" x14ac:dyDescent="0.25">
      <c r="C620" s="305"/>
      <c r="D620" s="305"/>
      <c r="E620" s="305"/>
      <c r="F620" s="305"/>
      <c r="G620" s="305"/>
      <c r="H620" s="305"/>
      <c r="I620" s="305"/>
      <c r="J620" s="305"/>
      <c r="K620" s="305"/>
      <c r="L620" s="305"/>
      <c r="M620" s="305"/>
      <c r="N620" s="305"/>
    </row>
    <row r="621" spans="3:14" x14ac:dyDescent="0.25">
      <c r="C621" s="305"/>
      <c r="D621" s="305"/>
      <c r="E621" s="305"/>
      <c r="F621" s="305"/>
      <c r="G621" s="305"/>
      <c r="H621" s="305"/>
      <c r="I621" s="305"/>
      <c r="J621" s="305"/>
      <c r="K621" s="305"/>
      <c r="L621" s="305"/>
      <c r="M621" s="305"/>
      <c r="N621" s="305"/>
    </row>
    <row r="622" spans="3:14" x14ac:dyDescent="0.25">
      <c r="C622" s="305"/>
      <c r="D622" s="305"/>
      <c r="E622" s="305"/>
      <c r="F622" s="305"/>
      <c r="G622" s="305"/>
      <c r="H622" s="305"/>
      <c r="I622" s="305"/>
      <c r="J622" s="305"/>
      <c r="K622" s="305"/>
      <c r="L622" s="305"/>
      <c r="M622" s="305"/>
      <c r="N622" s="305"/>
    </row>
    <row r="623" spans="3:14" x14ac:dyDescent="0.25">
      <c r="C623" s="305"/>
      <c r="D623" s="305"/>
      <c r="E623" s="305"/>
      <c r="F623" s="305"/>
      <c r="G623" s="305"/>
      <c r="H623" s="305"/>
      <c r="I623" s="305"/>
      <c r="J623" s="305"/>
      <c r="K623" s="305"/>
      <c r="L623" s="305"/>
      <c r="M623" s="305"/>
      <c r="N623" s="305"/>
    </row>
    <row r="624" spans="3:14" x14ac:dyDescent="0.25">
      <c r="C624" s="305"/>
      <c r="D624" s="305"/>
      <c r="E624" s="305"/>
      <c r="F624" s="305"/>
      <c r="G624" s="305"/>
      <c r="H624" s="305"/>
      <c r="I624" s="305"/>
      <c r="J624" s="305"/>
      <c r="K624" s="305"/>
      <c r="L624" s="305"/>
      <c r="M624" s="305"/>
      <c r="N624" s="305"/>
    </row>
    <row r="625" spans="3:14" x14ac:dyDescent="0.25">
      <c r="C625" s="305"/>
      <c r="D625" s="305"/>
      <c r="E625" s="305"/>
      <c r="F625" s="305"/>
      <c r="G625" s="305"/>
      <c r="H625" s="305"/>
      <c r="I625" s="305"/>
      <c r="J625" s="305"/>
      <c r="K625" s="305"/>
      <c r="L625" s="305"/>
      <c r="M625" s="305"/>
      <c r="N625" s="305"/>
    </row>
    <row r="626" spans="3:14" x14ac:dyDescent="0.25">
      <c r="C626" s="305"/>
      <c r="D626" s="305"/>
      <c r="E626" s="305"/>
      <c r="F626" s="305"/>
      <c r="G626" s="305"/>
      <c r="H626" s="305"/>
      <c r="I626" s="305"/>
      <c r="J626" s="305"/>
      <c r="K626" s="305"/>
      <c r="L626" s="305"/>
      <c r="M626" s="305"/>
      <c r="N626" s="305"/>
    </row>
    <row r="627" spans="3:14" x14ac:dyDescent="0.25">
      <c r="C627" s="305"/>
      <c r="D627" s="305"/>
      <c r="E627" s="305"/>
      <c r="F627" s="305"/>
      <c r="G627" s="305"/>
      <c r="H627" s="305"/>
      <c r="I627" s="305"/>
      <c r="J627" s="305"/>
      <c r="K627" s="305"/>
      <c r="L627" s="305"/>
      <c r="M627" s="305"/>
      <c r="N627" s="305"/>
    </row>
    <row r="628" spans="3:14" x14ac:dyDescent="0.25">
      <c r="C628" s="305"/>
      <c r="D628" s="305"/>
      <c r="E628" s="305"/>
      <c r="F628" s="305"/>
      <c r="G628" s="305"/>
      <c r="H628" s="305"/>
      <c r="I628" s="305"/>
      <c r="J628" s="305"/>
      <c r="K628" s="305"/>
      <c r="L628" s="305"/>
      <c r="M628" s="305"/>
      <c r="N628" s="305"/>
    </row>
    <row r="629" spans="3:14" x14ac:dyDescent="0.25">
      <c r="C629" s="305"/>
      <c r="D629" s="305"/>
      <c r="E629" s="305"/>
      <c r="F629" s="305"/>
      <c r="G629" s="305"/>
      <c r="H629" s="305"/>
      <c r="I629" s="305"/>
      <c r="J629" s="305"/>
      <c r="K629" s="305"/>
      <c r="L629" s="305"/>
      <c r="M629" s="305"/>
      <c r="N629" s="305"/>
    </row>
    <row r="630" spans="3:14" x14ac:dyDescent="0.25">
      <c r="C630" s="305"/>
      <c r="D630" s="305"/>
      <c r="E630" s="305"/>
      <c r="F630" s="305"/>
      <c r="G630" s="305"/>
      <c r="H630" s="305"/>
      <c r="I630" s="305"/>
      <c r="J630" s="305"/>
      <c r="K630" s="305"/>
      <c r="L630" s="305"/>
      <c r="M630" s="305"/>
      <c r="N630" s="305"/>
    </row>
    <row r="631" spans="3:14" x14ac:dyDescent="0.25">
      <c r="C631" s="305"/>
      <c r="D631" s="305"/>
      <c r="E631" s="305"/>
      <c r="F631" s="305"/>
      <c r="G631" s="305"/>
      <c r="H631" s="305"/>
      <c r="I631" s="305"/>
      <c r="J631" s="305"/>
      <c r="K631" s="305"/>
      <c r="L631" s="305"/>
      <c r="M631" s="305"/>
      <c r="N631" s="305"/>
    </row>
    <row r="632" spans="3:14" x14ac:dyDescent="0.25">
      <c r="C632" s="305"/>
      <c r="D632" s="305"/>
      <c r="E632" s="305"/>
      <c r="F632" s="305"/>
      <c r="G632" s="305"/>
      <c r="H632" s="305"/>
      <c r="I632" s="305"/>
      <c r="J632" s="305"/>
      <c r="K632" s="305"/>
      <c r="L632" s="305"/>
      <c r="M632" s="305"/>
      <c r="N632" s="305"/>
    </row>
    <row r="633" spans="3:14" x14ac:dyDescent="0.25">
      <c r="C633" s="305"/>
      <c r="D633" s="305"/>
      <c r="E633" s="305"/>
      <c r="F633" s="305"/>
      <c r="G633" s="305"/>
      <c r="H633" s="305"/>
      <c r="I633" s="305"/>
      <c r="J633" s="305"/>
      <c r="K633" s="305"/>
      <c r="L633" s="305"/>
      <c r="M633" s="305"/>
      <c r="N633" s="305"/>
    </row>
    <row r="634" spans="3:14" x14ac:dyDescent="0.25">
      <c r="C634" s="305"/>
      <c r="D634" s="305"/>
      <c r="E634" s="305"/>
      <c r="F634" s="305"/>
      <c r="G634" s="305"/>
      <c r="H634" s="305"/>
      <c r="I634" s="305"/>
      <c r="J634" s="305"/>
      <c r="K634" s="305"/>
      <c r="L634" s="305"/>
      <c r="M634" s="305"/>
      <c r="N634" s="305"/>
    </row>
    <row r="635" spans="3:14" x14ac:dyDescent="0.25">
      <c r="C635" s="305"/>
      <c r="D635" s="305"/>
      <c r="E635" s="305"/>
      <c r="F635" s="305"/>
      <c r="G635" s="305"/>
      <c r="H635" s="305"/>
      <c r="I635" s="305"/>
      <c r="J635" s="305"/>
      <c r="K635" s="305"/>
      <c r="L635" s="305"/>
      <c r="M635" s="305"/>
      <c r="N635" s="305"/>
    </row>
    <row r="636" spans="3:14" x14ac:dyDescent="0.25">
      <c r="C636" s="305"/>
      <c r="D636" s="305"/>
      <c r="E636" s="305"/>
      <c r="F636" s="305"/>
      <c r="G636" s="305"/>
      <c r="H636" s="305"/>
      <c r="I636" s="305"/>
      <c r="J636" s="305"/>
      <c r="K636" s="305"/>
      <c r="L636" s="305"/>
      <c r="M636" s="305"/>
      <c r="N636" s="305"/>
    </row>
    <row r="637" spans="3:14" x14ac:dyDescent="0.25">
      <c r="C637" s="305"/>
      <c r="D637" s="305"/>
      <c r="E637" s="305"/>
      <c r="F637" s="305"/>
      <c r="G637" s="305"/>
      <c r="H637" s="305"/>
      <c r="I637" s="305"/>
      <c r="J637" s="305"/>
      <c r="K637" s="305"/>
      <c r="L637" s="305"/>
      <c r="M637" s="305"/>
      <c r="N637" s="305"/>
    </row>
    <row r="638" spans="3:14" x14ac:dyDescent="0.25">
      <c r="C638" s="305"/>
      <c r="D638" s="305"/>
      <c r="E638" s="305"/>
      <c r="F638" s="305"/>
      <c r="G638" s="305"/>
      <c r="H638" s="305"/>
      <c r="I638" s="305"/>
      <c r="J638" s="305"/>
      <c r="K638" s="305"/>
      <c r="L638" s="305"/>
      <c r="M638" s="305"/>
      <c r="N638" s="305"/>
    </row>
    <row r="639" spans="3:14" x14ac:dyDescent="0.25">
      <c r="C639" s="305"/>
      <c r="D639" s="305"/>
      <c r="E639" s="305"/>
      <c r="F639" s="305"/>
      <c r="G639" s="305"/>
      <c r="H639" s="305"/>
      <c r="I639" s="305"/>
      <c r="J639" s="305"/>
      <c r="K639" s="305"/>
      <c r="L639" s="305"/>
      <c r="M639" s="305"/>
      <c r="N639" s="305"/>
    </row>
    <row r="640" spans="3:14" x14ac:dyDescent="0.25">
      <c r="C640" s="305"/>
      <c r="D640" s="305"/>
      <c r="E640" s="305"/>
      <c r="F640" s="305"/>
      <c r="G640" s="305"/>
      <c r="H640" s="305"/>
      <c r="I640" s="305"/>
      <c r="J640" s="305"/>
      <c r="K640" s="305"/>
      <c r="L640" s="305"/>
      <c r="M640" s="305"/>
      <c r="N640" s="305"/>
    </row>
    <row r="641" spans="3:14" x14ac:dyDescent="0.25">
      <c r="C641" s="305"/>
      <c r="D641" s="305"/>
      <c r="E641" s="305"/>
      <c r="F641" s="305"/>
      <c r="G641" s="305"/>
      <c r="H641" s="305"/>
      <c r="I641" s="305"/>
      <c r="J641" s="305"/>
      <c r="K641" s="305"/>
      <c r="L641" s="305"/>
      <c r="M641" s="305"/>
      <c r="N641" s="305"/>
    </row>
    <row r="642" spans="3:14" x14ac:dyDescent="0.25">
      <c r="C642" s="305"/>
      <c r="D642" s="305"/>
      <c r="E642" s="305"/>
      <c r="F642" s="305"/>
      <c r="G642" s="305"/>
      <c r="H642" s="305"/>
      <c r="I642" s="305"/>
      <c r="J642" s="305"/>
      <c r="K642" s="305"/>
      <c r="L642" s="305"/>
      <c r="M642" s="305"/>
      <c r="N642" s="305"/>
    </row>
    <row r="643" spans="3:14" x14ac:dyDescent="0.25">
      <c r="C643" s="305"/>
      <c r="D643" s="305"/>
      <c r="E643" s="305"/>
      <c r="F643" s="305"/>
      <c r="G643" s="305"/>
      <c r="H643" s="305"/>
      <c r="I643" s="305"/>
      <c r="J643" s="305"/>
      <c r="K643" s="305"/>
      <c r="L643" s="305"/>
      <c r="M643" s="305"/>
      <c r="N643" s="305"/>
    </row>
    <row r="644" spans="3:14" x14ac:dyDescent="0.25">
      <c r="C644" s="305"/>
      <c r="D644" s="305"/>
      <c r="E644" s="305"/>
      <c r="F644" s="305"/>
      <c r="G644" s="305"/>
      <c r="H644" s="305"/>
      <c r="I644" s="305"/>
      <c r="J644" s="305"/>
      <c r="K644" s="305"/>
      <c r="L644" s="305"/>
      <c r="M644" s="305"/>
      <c r="N644" s="305"/>
    </row>
    <row r="645" spans="3:14" x14ac:dyDescent="0.25">
      <c r="C645" s="305"/>
      <c r="D645" s="305"/>
      <c r="E645" s="305"/>
      <c r="F645" s="305"/>
      <c r="G645" s="305"/>
      <c r="H645" s="305"/>
      <c r="I645" s="305"/>
      <c r="J645" s="305"/>
      <c r="K645" s="305"/>
      <c r="L645" s="305"/>
      <c r="M645" s="305"/>
      <c r="N645" s="305"/>
    </row>
    <row r="646" spans="3:14" x14ac:dyDescent="0.25">
      <c r="C646" s="305"/>
      <c r="D646" s="305"/>
      <c r="E646" s="305"/>
      <c r="F646" s="305"/>
      <c r="G646" s="305"/>
      <c r="H646" s="305"/>
      <c r="I646" s="305"/>
      <c r="J646" s="305"/>
      <c r="K646" s="305"/>
      <c r="L646" s="305"/>
      <c r="M646" s="305"/>
      <c r="N646" s="305"/>
    </row>
    <row r="647" spans="3:14" x14ac:dyDescent="0.25">
      <c r="C647" s="305"/>
      <c r="D647" s="305"/>
      <c r="E647" s="305"/>
      <c r="F647" s="305"/>
      <c r="G647" s="305"/>
      <c r="H647" s="305"/>
      <c r="I647" s="305"/>
      <c r="J647" s="305"/>
      <c r="K647" s="305"/>
      <c r="L647" s="305"/>
      <c r="M647" s="305"/>
      <c r="N647" s="305"/>
    </row>
    <row r="648" spans="3:14" x14ac:dyDescent="0.25">
      <c r="C648" s="305"/>
      <c r="D648" s="305"/>
      <c r="E648" s="305"/>
      <c r="F648" s="305"/>
      <c r="G648" s="305"/>
      <c r="H648" s="305"/>
      <c r="I648" s="305"/>
      <c r="J648" s="305"/>
      <c r="K648" s="305"/>
      <c r="L648" s="305"/>
      <c r="M648" s="305"/>
      <c r="N648" s="305"/>
    </row>
    <row r="649" spans="3:14" x14ac:dyDescent="0.25">
      <c r="C649" s="305"/>
      <c r="D649" s="305"/>
      <c r="E649" s="305"/>
      <c r="F649" s="305"/>
      <c r="G649" s="305"/>
      <c r="H649" s="305"/>
      <c r="I649" s="305"/>
      <c r="J649" s="305"/>
      <c r="K649" s="305"/>
      <c r="L649" s="305"/>
      <c r="M649" s="305"/>
      <c r="N649" s="305"/>
    </row>
    <row r="650" spans="3:14" x14ac:dyDescent="0.25">
      <c r="C650" s="305"/>
      <c r="D650" s="305"/>
      <c r="E650" s="305"/>
      <c r="F650" s="305"/>
      <c r="G650" s="305"/>
      <c r="H650" s="305"/>
      <c r="I650" s="305"/>
      <c r="J650" s="305"/>
      <c r="K650" s="305"/>
      <c r="L650" s="305"/>
      <c r="M650" s="305"/>
      <c r="N650" s="305"/>
    </row>
    <row r="651" spans="3:14" x14ac:dyDescent="0.25">
      <c r="C651" s="305"/>
      <c r="D651" s="305"/>
      <c r="E651" s="305"/>
      <c r="F651" s="305"/>
      <c r="G651" s="305"/>
      <c r="H651" s="305"/>
      <c r="I651" s="305"/>
      <c r="J651" s="305"/>
      <c r="K651" s="305"/>
      <c r="L651" s="305"/>
      <c r="M651" s="305"/>
      <c r="N651" s="305"/>
    </row>
    <row r="652" spans="3:14" x14ac:dyDescent="0.25">
      <c r="C652" s="305"/>
      <c r="D652" s="305"/>
      <c r="E652" s="305"/>
      <c r="F652" s="305"/>
      <c r="G652" s="305"/>
      <c r="H652" s="305"/>
      <c r="I652" s="305"/>
      <c r="J652" s="305"/>
      <c r="K652" s="305"/>
      <c r="L652" s="305"/>
      <c r="M652" s="305"/>
      <c r="N652" s="305"/>
    </row>
    <row r="653" spans="3:14" x14ac:dyDescent="0.25">
      <c r="C653" s="305"/>
      <c r="D653" s="305"/>
      <c r="E653" s="305"/>
      <c r="F653" s="305"/>
      <c r="G653" s="305"/>
      <c r="H653" s="305"/>
      <c r="I653" s="305"/>
      <c r="J653" s="305"/>
      <c r="K653" s="305"/>
      <c r="L653" s="305"/>
      <c r="M653" s="305"/>
      <c r="N653" s="305"/>
    </row>
    <row r="654" spans="3:14" x14ac:dyDescent="0.25">
      <c r="C654" s="305"/>
      <c r="D654" s="305"/>
      <c r="E654" s="305"/>
      <c r="F654" s="305"/>
      <c r="G654" s="305"/>
      <c r="H654" s="305"/>
      <c r="I654" s="305"/>
      <c r="J654" s="305"/>
      <c r="K654" s="305"/>
      <c r="L654" s="305"/>
      <c r="M654" s="305"/>
      <c r="N654" s="305"/>
    </row>
    <row r="655" spans="3:14" x14ac:dyDescent="0.25">
      <c r="C655" s="305"/>
      <c r="D655" s="305"/>
      <c r="E655" s="305"/>
      <c r="F655" s="305"/>
      <c r="G655" s="305"/>
      <c r="H655" s="305"/>
      <c r="I655" s="305"/>
      <c r="J655" s="305"/>
      <c r="K655" s="305"/>
      <c r="L655" s="305"/>
      <c r="M655" s="305"/>
      <c r="N655" s="305"/>
    </row>
    <row r="656" spans="3:14" x14ac:dyDescent="0.25">
      <c r="C656" s="305"/>
      <c r="D656" s="305"/>
      <c r="E656" s="305"/>
      <c r="F656" s="305"/>
      <c r="G656" s="305"/>
      <c r="H656" s="305"/>
      <c r="I656" s="305"/>
      <c r="J656" s="305"/>
      <c r="K656" s="305"/>
      <c r="L656" s="305"/>
      <c r="M656" s="305"/>
      <c r="N656" s="305"/>
    </row>
    <row r="657" spans="3:14" x14ac:dyDescent="0.25">
      <c r="C657" s="305"/>
      <c r="D657" s="305"/>
      <c r="E657" s="305"/>
      <c r="F657" s="305"/>
      <c r="G657" s="305"/>
      <c r="H657" s="305"/>
      <c r="I657" s="305"/>
      <c r="J657" s="305"/>
      <c r="K657" s="305"/>
      <c r="L657" s="305"/>
      <c r="M657" s="305"/>
      <c r="N657" s="305"/>
    </row>
    <row r="658" spans="3:14" x14ac:dyDescent="0.25">
      <c r="C658" s="305"/>
      <c r="D658" s="305"/>
      <c r="E658" s="305"/>
      <c r="F658" s="305"/>
      <c r="G658" s="305"/>
      <c r="H658" s="305"/>
      <c r="I658" s="305"/>
      <c r="J658" s="305"/>
      <c r="K658" s="305"/>
      <c r="L658" s="305"/>
      <c r="M658" s="305"/>
      <c r="N658" s="305"/>
    </row>
    <row r="659" spans="3:14" x14ac:dyDescent="0.25">
      <c r="C659" s="305"/>
      <c r="D659" s="305"/>
      <c r="E659" s="305"/>
      <c r="F659" s="305"/>
      <c r="G659" s="305"/>
      <c r="H659" s="305"/>
      <c r="I659" s="305"/>
      <c r="J659" s="305"/>
      <c r="K659" s="305"/>
      <c r="L659" s="305"/>
      <c r="M659" s="305"/>
      <c r="N659" s="305"/>
    </row>
    <row r="660" spans="3:14" x14ac:dyDescent="0.25">
      <c r="C660" s="305"/>
      <c r="D660" s="305"/>
      <c r="E660" s="305"/>
      <c r="F660" s="305"/>
      <c r="G660" s="305"/>
      <c r="H660" s="305"/>
      <c r="I660" s="305"/>
      <c r="J660" s="305"/>
      <c r="K660" s="305"/>
      <c r="L660" s="305"/>
      <c r="M660" s="305"/>
      <c r="N660" s="305"/>
    </row>
    <row r="661" spans="3:14" x14ac:dyDescent="0.25">
      <c r="C661" s="305"/>
      <c r="D661" s="305"/>
      <c r="E661" s="305"/>
      <c r="F661" s="305"/>
      <c r="G661" s="305"/>
      <c r="H661" s="305"/>
      <c r="I661" s="305"/>
      <c r="J661" s="305"/>
      <c r="K661" s="305"/>
      <c r="L661" s="305"/>
      <c r="M661" s="305"/>
      <c r="N661" s="305"/>
    </row>
    <row r="662" spans="3:14" x14ac:dyDescent="0.25">
      <c r="C662" s="305"/>
      <c r="D662" s="305"/>
      <c r="E662" s="305"/>
      <c r="F662" s="305"/>
      <c r="G662" s="305"/>
      <c r="H662" s="305"/>
      <c r="I662" s="305"/>
      <c r="J662" s="305"/>
      <c r="K662" s="305"/>
      <c r="L662" s="305"/>
      <c r="M662" s="305"/>
      <c r="N662" s="305"/>
    </row>
    <row r="663" spans="3:14" x14ac:dyDescent="0.25">
      <c r="C663" s="305"/>
      <c r="D663" s="305"/>
      <c r="E663" s="305"/>
      <c r="F663" s="305"/>
      <c r="G663" s="305"/>
      <c r="H663" s="305"/>
      <c r="I663" s="305"/>
      <c r="J663" s="305"/>
      <c r="K663" s="305"/>
      <c r="L663" s="305"/>
      <c r="M663" s="305"/>
      <c r="N663" s="305"/>
    </row>
    <row r="664" spans="3:14" x14ac:dyDescent="0.25">
      <c r="C664" s="305"/>
      <c r="D664" s="305"/>
      <c r="E664" s="305"/>
      <c r="F664" s="305"/>
      <c r="G664" s="305"/>
      <c r="H664" s="305"/>
      <c r="I664" s="305"/>
      <c r="J664" s="305"/>
      <c r="K664" s="305"/>
      <c r="L664" s="305"/>
      <c r="M664" s="305"/>
      <c r="N664" s="305"/>
    </row>
    <row r="665" spans="3:14" x14ac:dyDescent="0.25">
      <c r="C665" s="305"/>
      <c r="D665" s="305"/>
      <c r="E665" s="305"/>
      <c r="F665" s="305"/>
      <c r="G665" s="305"/>
      <c r="H665" s="305"/>
      <c r="I665" s="305"/>
      <c r="J665" s="305"/>
      <c r="K665" s="305"/>
      <c r="L665" s="305"/>
      <c r="M665" s="305"/>
      <c r="N665" s="305"/>
    </row>
    <row r="666" spans="3:14" x14ac:dyDescent="0.25">
      <c r="C666" s="305"/>
      <c r="D666" s="305"/>
      <c r="E666" s="305"/>
      <c r="F666" s="305"/>
      <c r="G666" s="305"/>
      <c r="H666" s="305"/>
      <c r="I666" s="305"/>
      <c r="J666" s="305"/>
      <c r="K666" s="305"/>
      <c r="L666" s="305"/>
      <c r="M666" s="305"/>
      <c r="N666" s="305"/>
    </row>
    <row r="667" spans="3:14" x14ac:dyDescent="0.25">
      <c r="C667" s="305"/>
      <c r="D667" s="305"/>
      <c r="E667" s="305"/>
      <c r="F667" s="305"/>
      <c r="G667" s="305"/>
      <c r="H667" s="305"/>
      <c r="I667" s="305"/>
      <c r="J667" s="305"/>
      <c r="K667" s="305"/>
      <c r="L667" s="305"/>
      <c r="M667" s="305"/>
      <c r="N667" s="305"/>
    </row>
    <row r="668" spans="3:14" x14ac:dyDescent="0.25">
      <c r="C668" s="305"/>
      <c r="D668" s="305"/>
      <c r="E668" s="305"/>
      <c r="F668" s="305"/>
      <c r="G668" s="305"/>
      <c r="H668" s="305"/>
      <c r="I668" s="305"/>
      <c r="J668" s="305"/>
      <c r="K668" s="305"/>
      <c r="L668" s="305"/>
      <c r="M668" s="305"/>
      <c r="N668" s="305"/>
    </row>
    <row r="669" spans="3:14" x14ac:dyDescent="0.25">
      <c r="C669" s="305"/>
      <c r="D669" s="305"/>
      <c r="E669" s="305"/>
      <c r="F669" s="305"/>
      <c r="G669" s="305"/>
      <c r="H669" s="305"/>
      <c r="I669" s="305"/>
      <c r="J669" s="305"/>
      <c r="K669" s="305"/>
      <c r="L669" s="305"/>
      <c r="M669" s="305"/>
      <c r="N669" s="305"/>
    </row>
    <row r="670" spans="3:14" x14ac:dyDescent="0.25">
      <c r="C670" s="305"/>
      <c r="D670" s="305"/>
      <c r="E670" s="305"/>
      <c r="F670" s="305"/>
      <c r="G670" s="305"/>
      <c r="H670" s="305"/>
      <c r="I670" s="305"/>
      <c r="J670" s="305"/>
      <c r="K670" s="305"/>
      <c r="L670" s="305"/>
      <c r="M670" s="305"/>
      <c r="N670" s="305"/>
    </row>
    <row r="671" spans="3:14" x14ac:dyDescent="0.25">
      <c r="C671" s="305"/>
      <c r="D671" s="305"/>
      <c r="E671" s="305"/>
      <c r="F671" s="305"/>
      <c r="G671" s="305"/>
      <c r="H671" s="305"/>
      <c r="I671" s="305"/>
      <c r="J671" s="305"/>
      <c r="K671" s="305"/>
      <c r="L671" s="305"/>
      <c r="M671" s="305"/>
      <c r="N671" s="305"/>
    </row>
    <row r="672" spans="3:14" x14ac:dyDescent="0.25">
      <c r="C672" s="305"/>
      <c r="D672" s="305"/>
      <c r="E672" s="305"/>
      <c r="F672" s="305"/>
      <c r="G672" s="305"/>
      <c r="H672" s="305"/>
      <c r="I672" s="305"/>
      <c r="J672" s="305"/>
      <c r="K672" s="305"/>
      <c r="L672" s="305"/>
      <c r="M672" s="305"/>
      <c r="N672" s="305"/>
    </row>
    <row r="673" spans="3:14" x14ac:dyDescent="0.25">
      <c r="C673" s="305"/>
      <c r="D673" s="305"/>
      <c r="E673" s="305"/>
      <c r="F673" s="305"/>
      <c r="G673" s="305"/>
      <c r="H673" s="305"/>
      <c r="I673" s="305"/>
      <c r="J673" s="305"/>
      <c r="K673" s="305"/>
      <c r="L673" s="305"/>
      <c r="M673" s="305"/>
      <c r="N673" s="305"/>
    </row>
    <row r="674" spans="3:14" x14ac:dyDescent="0.25">
      <c r="C674" s="305"/>
      <c r="D674" s="305"/>
      <c r="E674" s="305"/>
      <c r="F674" s="305"/>
      <c r="G674" s="305"/>
      <c r="H674" s="305"/>
      <c r="I674" s="305"/>
      <c r="J674" s="305"/>
      <c r="K674" s="305"/>
      <c r="L674" s="305"/>
      <c r="M674" s="305"/>
      <c r="N674" s="305"/>
    </row>
    <row r="675" spans="3:14" x14ac:dyDescent="0.25">
      <c r="C675" s="305"/>
      <c r="D675" s="305"/>
      <c r="E675" s="305"/>
      <c r="F675" s="305"/>
      <c r="G675" s="305"/>
      <c r="H675" s="305"/>
      <c r="I675" s="305"/>
      <c r="J675" s="305"/>
      <c r="K675" s="305"/>
      <c r="L675" s="305"/>
      <c r="M675" s="305"/>
      <c r="N675" s="305"/>
    </row>
    <row r="676" spans="3:14" x14ac:dyDescent="0.25">
      <c r="C676" s="305"/>
      <c r="D676" s="305"/>
      <c r="E676" s="305"/>
      <c r="F676" s="305"/>
      <c r="G676" s="305"/>
      <c r="H676" s="305"/>
      <c r="I676" s="305"/>
      <c r="J676" s="305"/>
      <c r="K676" s="305"/>
      <c r="L676" s="305"/>
      <c r="M676" s="305"/>
      <c r="N676" s="305"/>
    </row>
    <row r="677" spans="3:14" x14ac:dyDescent="0.25">
      <c r="C677" s="305"/>
      <c r="D677" s="305"/>
      <c r="E677" s="305"/>
      <c r="F677" s="305"/>
      <c r="G677" s="305"/>
      <c r="H677" s="305"/>
      <c r="I677" s="305"/>
      <c r="J677" s="305"/>
      <c r="K677" s="305"/>
      <c r="L677" s="305"/>
      <c r="M677" s="305"/>
      <c r="N677" s="305"/>
    </row>
    <row r="678" spans="3:14" x14ac:dyDescent="0.25">
      <c r="C678" s="305"/>
      <c r="D678" s="305"/>
      <c r="E678" s="305"/>
      <c r="F678" s="305"/>
      <c r="G678" s="305"/>
      <c r="H678" s="305"/>
      <c r="I678" s="305"/>
      <c r="J678" s="305"/>
      <c r="K678" s="305"/>
      <c r="L678" s="305"/>
      <c r="M678" s="305"/>
      <c r="N678" s="305"/>
    </row>
    <row r="679" spans="3:14" x14ac:dyDescent="0.25">
      <c r="C679" s="305"/>
      <c r="D679" s="305"/>
      <c r="E679" s="305"/>
      <c r="F679" s="305"/>
      <c r="G679" s="305"/>
      <c r="H679" s="305"/>
      <c r="I679" s="305"/>
      <c r="J679" s="305"/>
      <c r="K679" s="305"/>
      <c r="L679" s="305"/>
      <c r="M679" s="305"/>
      <c r="N679" s="305"/>
    </row>
    <row r="680" spans="3:14" x14ac:dyDescent="0.25">
      <c r="C680" s="305"/>
      <c r="D680" s="305"/>
      <c r="E680" s="305"/>
      <c r="F680" s="305"/>
      <c r="G680" s="305"/>
      <c r="H680" s="305"/>
      <c r="I680" s="305"/>
      <c r="J680" s="305"/>
      <c r="K680" s="305"/>
      <c r="L680" s="305"/>
      <c r="M680" s="305"/>
      <c r="N680" s="305"/>
    </row>
    <row r="681" spans="3:14" x14ac:dyDescent="0.25">
      <c r="C681" s="305"/>
      <c r="D681" s="305"/>
      <c r="E681" s="305"/>
      <c r="F681" s="305"/>
      <c r="G681" s="305"/>
      <c r="H681" s="305"/>
      <c r="I681" s="305"/>
      <c r="J681" s="305"/>
      <c r="K681" s="305"/>
      <c r="L681" s="305"/>
      <c r="M681" s="305"/>
      <c r="N681" s="305"/>
    </row>
    <row r="682" spans="3:14" x14ac:dyDescent="0.25">
      <c r="C682" s="305"/>
      <c r="D682" s="305"/>
      <c r="E682" s="305"/>
      <c r="F682" s="305"/>
      <c r="G682" s="305"/>
      <c r="H682" s="305"/>
      <c r="I682" s="305"/>
      <c r="J682" s="305"/>
      <c r="K682" s="305"/>
      <c r="L682" s="305"/>
      <c r="M682" s="305"/>
      <c r="N682" s="305"/>
    </row>
    <row r="683" spans="3:14" x14ac:dyDescent="0.25">
      <c r="C683" s="305"/>
      <c r="D683" s="305"/>
      <c r="E683" s="305"/>
      <c r="F683" s="305"/>
      <c r="G683" s="305"/>
      <c r="H683" s="305"/>
      <c r="I683" s="305"/>
      <c r="J683" s="305"/>
      <c r="K683" s="305"/>
      <c r="L683" s="305"/>
      <c r="M683" s="305"/>
      <c r="N683" s="305"/>
    </row>
    <row r="684" spans="3:14" x14ac:dyDescent="0.25">
      <c r="C684" s="305"/>
      <c r="D684" s="305"/>
      <c r="E684" s="305"/>
      <c r="F684" s="305"/>
      <c r="G684" s="305"/>
      <c r="H684" s="305"/>
      <c r="I684" s="305"/>
      <c r="J684" s="305"/>
      <c r="K684" s="305"/>
      <c r="L684" s="305"/>
      <c r="M684" s="305"/>
      <c r="N684" s="305"/>
    </row>
    <row r="685" spans="3:14" x14ac:dyDescent="0.25">
      <c r="C685" s="305"/>
      <c r="D685" s="305"/>
      <c r="E685" s="305"/>
      <c r="F685" s="305"/>
      <c r="G685" s="305"/>
      <c r="H685" s="305"/>
      <c r="I685" s="305"/>
      <c r="J685" s="305"/>
      <c r="K685" s="305"/>
      <c r="L685" s="305"/>
      <c r="M685" s="305"/>
      <c r="N685" s="305"/>
    </row>
    <row r="686" spans="3:14" x14ac:dyDescent="0.25">
      <c r="C686" s="305"/>
      <c r="D686" s="305"/>
      <c r="E686" s="305"/>
      <c r="F686" s="305"/>
      <c r="G686" s="305"/>
      <c r="H686" s="305"/>
      <c r="I686" s="305"/>
      <c r="J686" s="305"/>
      <c r="K686" s="305"/>
      <c r="L686" s="305"/>
      <c r="M686" s="305"/>
      <c r="N686" s="305"/>
    </row>
    <row r="687" spans="3:14" x14ac:dyDescent="0.25">
      <c r="C687" s="305"/>
      <c r="D687" s="305"/>
      <c r="E687" s="305"/>
      <c r="F687" s="305"/>
      <c r="G687" s="305"/>
      <c r="H687" s="305"/>
      <c r="I687" s="305"/>
      <c r="J687" s="305"/>
      <c r="K687" s="305"/>
      <c r="L687" s="305"/>
      <c r="M687" s="305"/>
      <c r="N687" s="305"/>
    </row>
    <row r="688" spans="3:14" x14ac:dyDescent="0.25">
      <c r="C688" s="305"/>
      <c r="D688" s="305"/>
      <c r="E688" s="305"/>
      <c r="F688" s="305"/>
      <c r="G688" s="305"/>
      <c r="H688" s="305"/>
      <c r="I688" s="305"/>
      <c r="J688" s="305"/>
      <c r="K688" s="305"/>
      <c r="L688" s="305"/>
      <c r="M688" s="305"/>
      <c r="N688" s="305"/>
    </row>
    <row r="689" spans="3:14" x14ac:dyDescent="0.25">
      <c r="C689" s="305"/>
      <c r="D689" s="305"/>
      <c r="E689" s="305"/>
      <c r="F689" s="305"/>
      <c r="G689" s="305"/>
      <c r="H689" s="305"/>
      <c r="I689" s="305"/>
      <c r="J689" s="305"/>
      <c r="K689" s="305"/>
      <c r="L689" s="305"/>
      <c r="M689" s="305"/>
      <c r="N689" s="305"/>
    </row>
    <row r="690" spans="3:14" x14ac:dyDescent="0.25">
      <c r="C690" s="305"/>
      <c r="D690" s="305"/>
      <c r="E690" s="305"/>
      <c r="F690" s="305"/>
      <c r="G690" s="305"/>
      <c r="H690" s="305"/>
      <c r="I690" s="305"/>
      <c r="J690" s="305"/>
      <c r="K690" s="305"/>
      <c r="L690" s="305"/>
      <c r="M690" s="305"/>
      <c r="N690" s="305"/>
    </row>
    <row r="691" spans="3:14" x14ac:dyDescent="0.25">
      <c r="C691" s="305"/>
      <c r="D691" s="305"/>
      <c r="E691" s="305"/>
      <c r="F691" s="305"/>
      <c r="G691" s="305"/>
      <c r="H691" s="305"/>
      <c r="I691" s="305"/>
      <c r="J691" s="305"/>
      <c r="K691" s="305"/>
      <c r="L691" s="305"/>
      <c r="M691" s="305"/>
      <c r="N691" s="305"/>
    </row>
    <row r="692" spans="3:14" x14ac:dyDescent="0.25">
      <c r="C692" s="305"/>
      <c r="D692" s="305"/>
      <c r="E692" s="305"/>
      <c r="F692" s="305"/>
      <c r="G692" s="305"/>
      <c r="H692" s="305"/>
      <c r="I692" s="305"/>
      <c r="J692" s="305"/>
      <c r="K692" s="305"/>
      <c r="L692" s="305"/>
      <c r="M692" s="305"/>
      <c r="N692" s="305"/>
    </row>
    <row r="693" spans="3:14" x14ac:dyDescent="0.25">
      <c r="C693" s="305"/>
      <c r="D693" s="305"/>
      <c r="E693" s="305"/>
      <c r="F693" s="305"/>
      <c r="G693" s="305"/>
      <c r="H693" s="305"/>
      <c r="I693" s="305"/>
      <c r="J693" s="305"/>
      <c r="K693" s="305"/>
      <c r="L693" s="305"/>
      <c r="M693" s="305"/>
      <c r="N693" s="305"/>
    </row>
    <row r="694" spans="3:14" x14ac:dyDescent="0.25">
      <c r="C694" s="305"/>
      <c r="D694" s="305"/>
      <c r="E694" s="305"/>
      <c r="F694" s="305"/>
      <c r="G694" s="305"/>
      <c r="H694" s="305"/>
      <c r="I694" s="305"/>
      <c r="J694" s="305"/>
      <c r="K694" s="305"/>
      <c r="L694" s="305"/>
      <c r="M694" s="305"/>
      <c r="N694" s="305"/>
    </row>
    <row r="695" spans="3:14" x14ac:dyDescent="0.25">
      <c r="C695" s="305"/>
      <c r="D695" s="305"/>
      <c r="E695" s="305"/>
      <c r="F695" s="305"/>
      <c r="G695" s="305"/>
      <c r="H695" s="305"/>
      <c r="I695" s="305"/>
      <c r="J695" s="305"/>
      <c r="K695" s="305"/>
      <c r="L695" s="305"/>
      <c r="M695" s="305"/>
      <c r="N695" s="305"/>
    </row>
    <row r="696" spans="3:14" x14ac:dyDescent="0.25">
      <c r="C696" s="305"/>
      <c r="D696" s="305"/>
      <c r="E696" s="305"/>
      <c r="F696" s="305"/>
      <c r="G696" s="305"/>
      <c r="H696" s="305"/>
      <c r="I696" s="305"/>
      <c r="J696" s="305"/>
      <c r="K696" s="305"/>
      <c r="L696" s="305"/>
      <c r="M696" s="305"/>
      <c r="N696" s="305"/>
    </row>
    <row r="697" spans="3:14" x14ac:dyDescent="0.25">
      <c r="C697" s="305"/>
      <c r="D697" s="305"/>
      <c r="E697" s="305"/>
      <c r="F697" s="305"/>
      <c r="G697" s="305"/>
      <c r="H697" s="305"/>
      <c r="I697" s="305"/>
      <c r="J697" s="305"/>
      <c r="K697" s="305"/>
      <c r="L697" s="305"/>
      <c r="M697" s="305"/>
      <c r="N697" s="305"/>
    </row>
    <row r="698" spans="3:14" x14ac:dyDescent="0.25">
      <c r="C698" s="305"/>
      <c r="D698" s="305"/>
      <c r="E698" s="305"/>
      <c r="F698" s="305"/>
      <c r="G698" s="305"/>
      <c r="H698" s="305"/>
      <c r="I698" s="305"/>
      <c r="J698" s="305"/>
      <c r="K698" s="305"/>
      <c r="L698" s="305"/>
      <c r="M698" s="305"/>
      <c r="N698" s="305"/>
    </row>
    <row r="699" spans="3:14" x14ac:dyDescent="0.25">
      <c r="C699" s="305"/>
      <c r="D699" s="305"/>
      <c r="E699" s="305"/>
      <c r="F699" s="305"/>
      <c r="G699" s="305"/>
      <c r="H699" s="305"/>
      <c r="I699" s="305"/>
      <c r="J699" s="305"/>
      <c r="K699" s="305"/>
      <c r="L699" s="305"/>
      <c r="M699" s="305"/>
      <c r="N699" s="305"/>
    </row>
    <row r="700" spans="3:14" x14ac:dyDescent="0.25">
      <c r="C700" s="305"/>
      <c r="D700" s="305"/>
      <c r="E700" s="305"/>
      <c r="F700" s="305"/>
      <c r="G700" s="305"/>
      <c r="H700" s="305"/>
      <c r="I700" s="305"/>
      <c r="J700" s="305"/>
      <c r="K700" s="305"/>
      <c r="L700" s="305"/>
      <c r="M700" s="305"/>
      <c r="N700" s="305"/>
    </row>
    <row r="701" spans="3:14" x14ac:dyDescent="0.25">
      <c r="C701" s="305"/>
      <c r="D701" s="305"/>
      <c r="E701" s="305"/>
      <c r="F701" s="305"/>
      <c r="G701" s="305"/>
      <c r="H701" s="305"/>
      <c r="I701" s="305"/>
      <c r="J701" s="305"/>
      <c r="K701" s="305"/>
      <c r="L701" s="305"/>
      <c r="M701" s="305"/>
      <c r="N701" s="305"/>
    </row>
    <row r="702" spans="3:14" x14ac:dyDescent="0.25">
      <c r="C702" s="305"/>
      <c r="D702" s="305"/>
      <c r="E702" s="305"/>
      <c r="F702" s="305"/>
      <c r="G702" s="305"/>
      <c r="H702" s="305"/>
      <c r="I702" s="305"/>
      <c r="J702" s="305"/>
      <c r="K702" s="305"/>
      <c r="L702" s="305"/>
      <c r="M702" s="305"/>
      <c r="N702" s="305"/>
    </row>
    <row r="703" spans="3:14" x14ac:dyDescent="0.25">
      <c r="C703" s="305"/>
      <c r="D703" s="305"/>
      <c r="E703" s="305"/>
      <c r="F703" s="305"/>
      <c r="G703" s="305"/>
      <c r="H703" s="305"/>
      <c r="I703" s="305"/>
      <c r="J703" s="305"/>
      <c r="K703" s="305"/>
      <c r="L703" s="305"/>
      <c r="M703" s="305"/>
      <c r="N703" s="305"/>
    </row>
    <row r="704" spans="3:14" x14ac:dyDescent="0.25">
      <c r="C704" s="305"/>
      <c r="D704" s="305"/>
      <c r="E704" s="305"/>
      <c r="F704" s="305"/>
      <c r="G704" s="305"/>
      <c r="H704" s="305"/>
      <c r="I704" s="305"/>
      <c r="J704" s="305"/>
      <c r="K704" s="305"/>
      <c r="L704" s="305"/>
      <c r="M704" s="305"/>
      <c r="N704" s="305"/>
    </row>
    <row r="705" spans="3:14" x14ac:dyDescent="0.25">
      <c r="C705" s="305"/>
      <c r="D705" s="305"/>
      <c r="E705" s="305"/>
      <c r="F705" s="305"/>
      <c r="G705" s="305"/>
      <c r="H705" s="305"/>
      <c r="I705" s="305"/>
      <c r="J705" s="305"/>
      <c r="K705" s="305"/>
      <c r="L705" s="305"/>
      <c r="M705" s="305"/>
      <c r="N705" s="305"/>
    </row>
    <row r="706" spans="3:14" x14ac:dyDescent="0.25">
      <c r="C706" s="305"/>
      <c r="D706" s="305"/>
      <c r="E706" s="305"/>
      <c r="F706" s="305"/>
      <c r="G706" s="305"/>
      <c r="H706" s="305"/>
      <c r="I706" s="305"/>
      <c r="J706" s="305"/>
      <c r="K706" s="305"/>
      <c r="L706" s="305"/>
      <c r="M706" s="305"/>
      <c r="N706" s="305"/>
    </row>
    <row r="707" spans="3:14" x14ac:dyDescent="0.25">
      <c r="C707" s="305"/>
      <c r="D707" s="305"/>
      <c r="E707" s="305"/>
      <c r="F707" s="305"/>
      <c r="G707" s="305"/>
      <c r="H707" s="305"/>
      <c r="I707" s="305"/>
      <c r="J707" s="305"/>
      <c r="K707" s="305"/>
      <c r="L707" s="305"/>
      <c r="M707" s="305"/>
      <c r="N707" s="305"/>
    </row>
    <row r="708" spans="3:14" x14ac:dyDescent="0.25">
      <c r="C708" s="305"/>
      <c r="D708" s="305"/>
      <c r="E708" s="305"/>
      <c r="F708" s="305"/>
      <c r="G708" s="305"/>
      <c r="H708" s="305"/>
      <c r="I708" s="305"/>
      <c r="J708" s="305"/>
      <c r="K708" s="305"/>
      <c r="L708" s="305"/>
      <c r="M708" s="305"/>
      <c r="N708" s="305"/>
    </row>
    <row r="709" spans="3:14" x14ac:dyDescent="0.25">
      <c r="C709" s="305"/>
      <c r="D709" s="305"/>
      <c r="E709" s="305"/>
      <c r="F709" s="305"/>
      <c r="G709" s="305"/>
      <c r="H709" s="305"/>
      <c r="I709" s="305"/>
      <c r="J709" s="305"/>
      <c r="K709" s="305"/>
      <c r="L709" s="305"/>
      <c r="M709" s="305"/>
      <c r="N709" s="305"/>
    </row>
    <row r="710" spans="3:14" x14ac:dyDescent="0.25">
      <c r="C710" s="305"/>
      <c r="D710" s="305"/>
      <c r="E710" s="305"/>
      <c r="F710" s="305"/>
      <c r="G710" s="305"/>
      <c r="H710" s="305"/>
      <c r="I710" s="305"/>
      <c r="J710" s="305"/>
      <c r="K710" s="305"/>
      <c r="L710" s="305"/>
      <c r="M710" s="305"/>
      <c r="N710" s="305"/>
    </row>
    <row r="711" spans="3:14" x14ac:dyDescent="0.25">
      <c r="C711" s="305"/>
      <c r="D711" s="305"/>
      <c r="E711" s="305"/>
      <c r="F711" s="305"/>
      <c r="G711" s="305"/>
      <c r="H711" s="305"/>
      <c r="I711" s="305"/>
      <c r="J711" s="305"/>
      <c r="K711" s="305"/>
      <c r="L711" s="305"/>
      <c r="M711" s="305"/>
      <c r="N711" s="305"/>
    </row>
    <row r="712" spans="3:14" x14ac:dyDescent="0.25">
      <c r="C712" s="305"/>
      <c r="D712" s="305"/>
      <c r="E712" s="305"/>
      <c r="F712" s="305"/>
      <c r="G712" s="305"/>
      <c r="H712" s="305"/>
      <c r="I712" s="305"/>
      <c r="J712" s="305"/>
      <c r="K712" s="305"/>
      <c r="L712" s="305"/>
      <c r="M712" s="305"/>
      <c r="N712" s="305"/>
    </row>
    <row r="713" spans="3:14" x14ac:dyDescent="0.25">
      <c r="C713" s="305"/>
      <c r="D713" s="305"/>
      <c r="E713" s="305"/>
      <c r="F713" s="305"/>
      <c r="G713" s="305"/>
      <c r="H713" s="305"/>
      <c r="I713" s="305"/>
      <c r="J713" s="305"/>
      <c r="K713" s="305"/>
      <c r="L713" s="305"/>
      <c r="M713" s="305"/>
      <c r="N713" s="305"/>
    </row>
    <row r="714" spans="3:14" x14ac:dyDescent="0.25">
      <c r="C714" s="305"/>
      <c r="D714" s="305"/>
      <c r="E714" s="305"/>
      <c r="F714" s="305"/>
      <c r="G714" s="305"/>
      <c r="H714" s="305"/>
      <c r="I714" s="305"/>
      <c r="J714" s="305"/>
      <c r="K714" s="305"/>
      <c r="L714" s="305"/>
      <c r="M714" s="305"/>
      <c r="N714" s="305"/>
    </row>
    <row r="715" spans="3:14" x14ac:dyDescent="0.25">
      <c r="C715" s="305"/>
      <c r="D715" s="305"/>
      <c r="E715" s="305"/>
      <c r="F715" s="305"/>
      <c r="G715" s="305"/>
      <c r="H715" s="305"/>
      <c r="I715" s="305"/>
      <c r="J715" s="305"/>
      <c r="K715" s="305"/>
      <c r="L715" s="305"/>
      <c r="M715" s="305"/>
      <c r="N715" s="305"/>
    </row>
    <row r="716" spans="3:14" x14ac:dyDescent="0.25">
      <c r="C716" s="305"/>
      <c r="D716" s="305"/>
      <c r="E716" s="305"/>
      <c r="F716" s="305"/>
      <c r="G716" s="305"/>
      <c r="H716" s="305"/>
      <c r="I716" s="305"/>
      <c r="J716" s="305"/>
      <c r="K716" s="305"/>
      <c r="L716" s="305"/>
      <c r="M716" s="305"/>
      <c r="N716" s="305"/>
    </row>
    <row r="717" spans="3:14" x14ac:dyDescent="0.25">
      <c r="C717" s="305"/>
      <c r="D717" s="305"/>
      <c r="E717" s="305"/>
      <c r="F717" s="305"/>
      <c r="G717" s="305"/>
      <c r="H717" s="305"/>
      <c r="I717" s="305"/>
      <c r="J717" s="305"/>
      <c r="K717" s="305"/>
      <c r="L717" s="305"/>
      <c r="M717" s="305"/>
      <c r="N717" s="305"/>
    </row>
    <row r="718" spans="3:14" x14ac:dyDescent="0.25">
      <c r="C718" s="305"/>
      <c r="D718" s="305"/>
      <c r="E718" s="305"/>
      <c r="F718" s="305"/>
      <c r="G718" s="305"/>
      <c r="H718" s="305"/>
      <c r="I718" s="305"/>
      <c r="J718" s="305"/>
      <c r="K718" s="305"/>
      <c r="L718" s="305"/>
      <c r="M718" s="305"/>
      <c r="N718" s="305"/>
    </row>
    <row r="719" spans="3:14" x14ac:dyDescent="0.25">
      <c r="C719" s="305"/>
      <c r="D719" s="305"/>
      <c r="E719" s="305"/>
      <c r="F719" s="305"/>
      <c r="G719" s="305"/>
      <c r="H719" s="305"/>
      <c r="I719" s="305"/>
      <c r="J719" s="305"/>
      <c r="K719" s="305"/>
      <c r="L719" s="305"/>
      <c r="M719" s="305"/>
      <c r="N719" s="305"/>
    </row>
    <row r="720" spans="3:14" x14ac:dyDescent="0.25">
      <c r="C720" s="305"/>
      <c r="D720" s="305"/>
      <c r="E720" s="305"/>
      <c r="F720" s="305"/>
      <c r="G720" s="305"/>
      <c r="H720" s="305"/>
      <c r="I720" s="305"/>
      <c r="J720" s="305"/>
      <c r="K720" s="305"/>
      <c r="L720" s="305"/>
      <c r="M720" s="305"/>
      <c r="N720" s="305"/>
    </row>
    <row r="721" spans="3:14" x14ac:dyDescent="0.25">
      <c r="C721" s="305"/>
      <c r="D721" s="305"/>
      <c r="E721" s="305"/>
      <c r="F721" s="305"/>
      <c r="G721" s="305"/>
      <c r="H721" s="305"/>
      <c r="I721" s="305"/>
      <c r="J721" s="305"/>
      <c r="K721" s="305"/>
      <c r="L721" s="305"/>
      <c r="M721" s="305"/>
      <c r="N721" s="305"/>
    </row>
    <row r="722" spans="3:14" x14ac:dyDescent="0.25">
      <c r="C722" s="305"/>
      <c r="D722" s="305"/>
      <c r="E722" s="305"/>
      <c r="F722" s="305"/>
      <c r="G722" s="305"/>
      <c r="H722" s="305"/>
      <c r="I722" s="305"/>
      <c r="J722" s="305"/>
      <c r="K722" s="305"/>
      <c r="L722" s="305"/>
      <c r="M722" s="305"/>
      <c r="N722" s="305"/>
    </row>
    <row r="723" spans="3:14" x14ac:dyDescent="0.25">
      <c r="C723" s="305"/>
      <c r="D723" s="305"/>
      <c r="E723" s="305"/>
      <c r="F723" s="305"/>
      <c r="G723" s="305"/>
      <c r="H723" s="305"/>
      <c r="I723" s="305"/>
      <c r="J723" s="305"/>
      <c r="K723" s="305"/>
      <c r="L723" s="305"/>
      <c r="M723" s="305"/>
      <c r="N723" s="305"/>
    </row>
    <row r="724" spans="3:14" x14ac:dyDescent="0.25">
      <c r="C724" s="305"/>
      <c r="D724" s="305"/>
      <c r="E724" s="305"/>
      <c r="F724" s="305"/>
      <c r="G724" s="305"/>
      <c r="H724" s="305"/>
      <c r="I724" s="305"/>
      <c r="J724" s="305"/>
      <c r="K724" s="305"/>
      <c r="L724" s="305"/>
      <c r="M724" s="305"/>
      <c r="N724" s="305"/>
    </row>
    <row r="725" spans="3:14" x14ac:dyDescent="0.25">
      <c r="C725" s="305"/>
      <c r="D725" s="305"/>
      <c r="E725" s="305"/>
      <c r="F725" s="305"/>
      <c r="G725" s="305"/>
      <c r="H725" s="305"/>
      <c r="I725" s="305"/>
      <c r="J725" s="305"/>
      <c r="K725" s="305"/>
      <c r="L725" s="305"/>
      <c r="M725" s="305"/>
      <c r="N725" s="305"/>
    </row>
    <row r="726" spans="3:14" x14ac:dyDescent="0.25">
      <c r="C726" s="305"/>
      <c r="D726" s="305"/>
      <c r="E726" s="305"/>
      <c r="F726" s="305"/>
      <c r="G726" s="305"/>
      <c r="H726" s="305"/>
      <c r="I726" s="305"/>
      <c r="J726" s="305"/>
      <c r="K726" s="305"/>
      <c r="L726" s="305"/>
      <c r="M726" s="305"/>
      <c r="N726" s="305"/>
    </row>
    <row r="727" spans="3:14" x14ac:dyDescent="0.25">
      <c r="C727" s="305"/>
      <c r="D727" s="305"/>
      <c r="E727" s="305"/>
      <c r="F727" s="305"/>
      <c r="G727" s="305"/>
      <c r="H727" s="305"/>
      <c r="I727" s="305"/>
      <c r="J727" s="305"/>
      <c r="K727" s="305"/>
      <c r="L727" s="305"/>
      <c r="M727" s="305"/>
      <c r="N727" s="305"/>
    </row>
    <row r="728" spans="3:14" x14ac:dyDescent="0.25">
      <c r="C728" s="305"/>
      <c r="D728" s="305"/>
      <c r="E728" s="305"/>
      <c r="F728" s="305"/>
      <c r="G728" s="305"/>
      <c r="H728" s="305"/>
      <c r="I728" s="305"/>
      <c r="J728" s="305"/>
      <c r="K728" s="305"/>
      <c r="L728" s="305"/>
      <c r="M728" s="305"/>
      <c r="N728" s="305"/>
    </row>
    <row r="729" spans="3:14" x14ac:dyDescent="0.25">
      <c r="C729" s="305"/>
      <c r="D729" s="305"/>
      <c r="E729" s="305"/>
      <c r="F729" s="305"/>
      <c r="G729" s="305"/>
      <c r="H729" s="305"/>
      <c r="I729" s="305"/>
      <c r="J729" s="305"/>
      <c r="K729" s="305"/>
      <c r="L729" s="305"/>
      <c r="M729" s="305"/>
      <c r="N729" s="305"/>
    </row>
    <row r="730" spans="3:14" x14ac:dyDescent="0.25">
      <c r="C730" s="305"/>
      <c r="D730" s="305"/>
      <c r="E730" s="305"/>
      <c r="F730" s="305"/>
      <c r="G730" s="305"/>
      <c r="H730" s="305"/>
      <c r="I730" s="305"/>
      <c r="J730" s="305"/>
      <c r="K730" s="305"/>
      <c r="L730" s="305"/>
      <c r="M730" s="305"/>
      <c r="N730" s="305"/>
    </row>
    <row r="731" spans="3:14" x14ac:dyDescent="0.25">
      <c r="C731" s="305"/>
      <c r="D731" s="305"/>
      <c r="E731" s="305"/>
      <c r="F731" s="305"/>
      <c r="G731" s="305"/>
      <c r="H731" s="305"/>
      <c r="I731" s="305"/>
      <c r="J731" s="305"/>
      <c r="K731" s="305"/>
      <c r="L731" s="305"/>
      <c r="M731" s="305"/>
      <c r="N731" s="305"/>
    </row>
    <row r="732" spans="3:14" x14ac:dyDescent="0.25">
      <c r="C732" s="305"/>
      <c r="D732" s="305"/>
      <c r="E732" s="305"/>
      <c r="F732" s="305"/>
      <c r="G732" s="305"/>
      <c r="H732" s="305"/>
      <c r="I732" s="305"/>
      <c r="J732" s="305"/>
      <c r="K732" s="305"/>
      <c r="L732" s="305"/>
      <c r="M732" s="305"/>
      <c r="N732" s="305"/>
    </row>
    <row r="733" spans="3:14" x14ac:dyDescent="0.25">
      <c r="C733" s="305"/>
      <c r="D733" s="305"/>
      <c r="E733" s="305"/>
      <c r="F733" s="305"/>
      <c r="G733" s="305"/>
      <c r="H733" s="305"/>
      <c r="I733" s="305"/>
      <c r="J733" s="305"/>
      <c r="K733" s="305"/>
      <c r="L733" s="305"/>
      <c r="M733" s="305"/>
      <c r="N733" s="305"/>
    </row>
    <row r="734" spans="3:14" x14ac:dyDescent="0.25">
      <c r="C734" s="305"/>
      <c r="D734" s="305"/>
      <c r="E734" s="305"/>
      <c r="F734" s="305"/>
      <c r="G734" s="305"/>
      <c r="H734" s="305"/>
      <c r="I734" s="305"/>
      <c r="J734" s="305"/>
      <c r="K734" s="305"/>
      <c r="L734" s="305"/>
      <c r="M734" s="305"/>
      <c r="N734" s="305"/>
    </row>
    <row r="735" spans="3:14" x14ac:dyDescent="0.25">
      <c r="C735" s="305"/>
      <c r="D735" s="305"/>
      <c r="E735" s="305"/>
      <c r="F735" s="305"/>
      <c r="G735" s="305"/>
      <c r="H735" s="305"/>
      <c r="I735" s="305"/>
      <c r="J735" s="305"/>
      <c r="K735" s="305"/>
      <c r="L735" s="305"/>
      <c r="M735" s="305"/>
      <c r="N735" s="305"/>
    </row>
    <row r="736" spans="3:14" x14ac:dyDescent="0.25">
      <c r="C736" s="305"/>
      <c r="D736" s="305"/>
      <c r="E736" s="305"/>
      <c r="F736" s="305"/>
      <c r="G736" s="305"/>
      <c r="H736" s="305"/>
      <c r="I736" s="305"/>
      <c r="J736" s="305"/>
      <c r="K736" s="305"/>
      <c r="L736" s="305"/>
      <c r="M736" s="305"/>
      <c r="N736" s="305"/>
    </row>
    <row r="737" spans="3:14" x14ac:dyDescent="0.25">
      <c r="C737" s="305"/>
      <c r="D737" s="305"/>
      <c r="E737" s="305"/>
      <c r="F737" s="305"/>
      <c r="G737" s="305"/>
      <c r="H737" s="305"/>
      <c r="I737" s="305"/>
      <c r="J737" s="305"/>
      <c r="K737" s="305"/>
      <c r="L737" s="305"/>
      <c r="M737" s="305"/>
      <c r="N737" s="305"/>
    </row>
    <row r="738" spans="3:14" x14ac:dyDescent="0.25">
      <c r="C738" s="305"/>
      <c r="D738" s="305"/>
      <c r="E738" s="305"/>
      <c r="F738" s="305"/>
      <c r="G738" s="305"/>
      <c r="H738" s="305"/>
      <c r="I738" s="305"/>
      <c r="J738" s="305"/>
      <c r="K738" s="305"/>
      <c r="L738" s="305"/>
      <c r="M738" s="305"/>
      <c r="N738" s="305"/>
    </row>
    <row r="739" spans="3:14" x14ac:dyDescent="0.25">
      <c r="C739" s="305"/>
      <c r="D739" s="305"/>
      <c r="E739" s="305"/>
      <c r="F739" s="305"/>
      <c r="G739" s="305"/>
      <c r="H739" s="305"/>
      <c r="I739" s="305"/>
      <c r="J739" s="305"/>
      <c r="K739" s="305"/>
      <c r="L739" s="305"/>
      <c r="M739" s="305"/>
      <c r="N739" s="305"/>
    </row>
    <row r="740" spans="3:14" x14ac:dyDescent="0.25">
      <c r="C740" s="305"/>
      <c r="D740" s="305"/>
      <c r="E740" s="305"/>
      <c r="F740" s="305"/>
      <c r="G740" s="305"/>
      <c r="H740" s="305"/>
      <c r="I740" s="305"/>
      <c r="J740" s="305"/>
      <c r="K740" s="305"/>
      <c r="L740" s="305"/>
      <c r="M740" s="305"/>
      <c r="N740" s="305"/>
    </row>
    <row r="741" spans="3:14" x14ac:dyDescent="0.25">
      <c r="C741" s="305"/>
      <c r="D741" s="305"/>
      <c r="E741" s="305"/>
      <c r="F741" s="305"/>
      <c r="G741" s="305"/>
      <c r="H741" s="305"/>
      <c r="I741" s="305"/>
      <c r="J741" s="305"/>
      <c r="K741" s="305"/>
      <c r="L741" s="305"/>
      <c r="M741" s="305"/>
      <c r="N741" s="305"/>
    </row>
    <row r="742" spans="3:14" x14ac:dyDescent="0.25">
      <c r="C742" s="305"/>
      <c r="D742" s="305"/>
      <c r="E742" s="305"/>
      <c r="F742" s="305"/>
      <c r="G742" s="305"/>
      <c r="H742" s="305"/>
      <c r="I742" s="305"/>
      <c r="J742" s="305"/>
      <c r="K742" s="305"/>
      <c r="L742" s="305"/>
      <c r="M742" s="305"/>
      <c r="N742" s="305"/>
    </row>
    <row r="743" spans="3:14" x14ac:dyDescent="0.25">
      <c r="C743" s="305"/>
      <c r="D743" s="305"/>
      <c r="E743" s="305"/>
      <c r="F743" s="305"/>
      <c r="G743" s="305"/>
      <c r="H743" s="305"/>
      <c r="I743" s="305"/>
      <c r="J743" s="305"/>
      <c r="K743" s="305"/>
      <c r="L743" s="305"/>
      <c r="M743" s="305"/>
      <c r="N743" s="305"/>
    </row>
    <row r="744" spans="3:14" x14ac:dyDescent="0.25">
      <c r="C744" s="305"/>
      <c r="D744" s="305"/>
      <c r="E744" s="305"/>
      <c r="F744" s="305"/>
      <c r="G744" s="305"/>
      <c r="H744" s="305"/>
      <c r="I744" s="305"/>
      <c r="J744" s="305"/>
      <c r="K744" s="305"/>
      <c r="L744" s="305"/>
      <c r="M744" s="305"/>
      <c r="N744" s="305"/>
    </row>
    <row r="745" spans="3:14" x14ac:dyDescent="0.25">
      <c r="C745" s="305"/>
      <c r="D745" s="305"/>
      <c r="E745" s="305"/>
      <c r="F745" s="305"/>
      <c r="G745" s="305"/>
      <c r="H745" s="305"/>
      <c r="I745" s="305"/>
      <c r="J745" s="305"/>
      <c r="K745" s="305"/>
      <c r="L745" s="305"/>
      <c r="M745" s="305"/>
      <c r="N745" s="305"/>
    </row>
    <row r="746" spans="3:14" x14ac:dyDescent="0.25">
      <c r="C746" s="305"/>
      <c r="D746" s="305"/>
      <c r="E746" s="305"/>
      <c r="F746" s="305"/>
      <c r="G746" s="305"/>
      <c r="H746" s="305"/>
      <c r="I746" s="305"/>
      <c r="J746" s="305"/>
      <c r="K746" s="305"/>
      <c r="L746" s="305"/>
      <c r="M746" s="305"/>
      <c r="N746" s="305"/>
    </row>
    <row r="747" spans="3:14" x14ac:dyDescent="0.25">
      <c r="C747" s="305"/>
      <c r="D747" s="305"/>
      <c r="E747" s="305"/>
      <c r="F747" s="305"/>
      <c r="G747" s="305"/>
      <c r="H747" s="305"/>
      <c r="I747" s="305"/>
      <c r="J747" s="305"/>
      <c r="K747" s="305"/>
      <c r="L747" s="305"/>
      <c r="M747" s="305"/>
      <c r="N747" s="305"/>
    </row>
    <row r="748" spans="3:14" x14ac:dyDescent="0.25">
      <c r="C748" s="305"/>
      <c r="D748" s="305"/>
      <c r="E748" s="305"/>
      <c r="F748" s="305"/>
      <c r="G748" s="305"/>
      <c r="H748" s="305"/>
      <c r="I748" s="305"/>
      <c r="J748" s="305"/>
      <c r="K748" s="305"/>
      <c r="L748" s="305"/>
      <c r="M748" s="305"/>
      <c r="N748" s="305"/>
    </row>
    <row r="749" spans="3:14" x14ac:dyDescent="0.25">
      <c r="C749" s="305"/>
      <c r="D749" s="305"/>
      <c r="E749" s="305"/>
      <c r="F749" s="305"/>
      <c r="G749" s="305"/>
      <c r="H749" s="305"/>
      <c r="I749" s="305"/>
      <c r="J749" s="305"/>
      <c r="K749" s="305"/>
      <c r="L749" s="305"/>
      <c r="M749" s="305"/>
      <c r="N749" s="305"/>
    </row>
    <row r="750" spans="3:14" x14ac:dyDescent="0.25">
      <c r="C750" s="305"/>
      <c r="D750" s="305"/>
      <c r="E750" s="305"/>
      <c r="F750" s="305"/>
      <c r="G750" s="305"/>
      <c r="H750" s="305"/>
      <c r="I750" s="305"/>
      <c r="J750" s="305"/>
      <c r="K750" s="305"/>
      <c r="L750" s="305"/>
      <c r="M750" s="305"/>
      <c r="N750" s="305"/>
    </row>
    <row r="751" spans="3:14" x14ac:dyDescent="0.25">
      <c r="C751" s="305"/>
      <c r="D751" s="305"/>
      <c r="E751" s="305"/>
      <c r="F751" s="305"/>
      <c r="G751" s="305"/>
      <c r="H751" s="305"/>
      <c r="I751" s="305"/>
      <c r="J751" s="305"/>
      <c r="K751" s="305"/>
      <c r="L751" s="305"/>
      <c r="M751" s="305"/>
      <c r="N751" s="305"/>
    </row>
    <row r="752" spans="3:14" x14ac:dyDescent="0.25">
      <c r="C752" s="305"/>
      <c r="D752" s="305"/>
      <c r="E752" s="305"/>
      <c r="F752" s="305"/>
      <c r="G752" s="305"/>
      <c r="H752" s="305"/>
      <c r="I752" s="305"/>
      <c r="J752" s="305"/>
      <c r="K752" s="305"/>
      <c r="L752" s="305"/>
      <c r="M752" s="305"/>
      <c r="N752" s="305"/>
    </row>
    <row r="753" spans="3:14" x14ac:dyDescent="0.25">
      <c r="C753" s="305"/>
      <c r="D753" s="305"/>
      <c r="E753" s="305"/>
      <c r="F753" s="305"/>
      <c r="G753" s="305"/>
      <c r="H753" s="305"/>
      <c r="I753" s="305"/>
      <c r="J753" s="305"/>
      <c r="K753" s="305"/>
      <c r="L753" s="305"/>
      <c r="M753" s="305"/>
      <c r="N753" s="305"/>
    </row>
    <row r="754" spans="3:14" x14ac:dyDescent="0.25">
      <c r="C754" s="305"/>
      <c r="D754" s="305"/>
      <c r="E754" s="305"/>
      <c r="F754" s="305"/>
      <c r="G754" s="305"/>
      <c r="H754" s="305"/>
      <c r="I754" s="305"/>
      <c r="J754" s="305"/>
      <c r="K754" s="305"/>
      <c r="L754" s="305"/>
      <c r="M754" s="305"/>
      <c r="N754" s="305"/>
    </row>
    <row r="755" spans="3:14" x14ac:dyDescent="0.25">
      <c r="C755" s="305"/>
      <c r="D755" s="305"/>
      <c r="E755" s="305"/>
      <c r="F755" s="305"/>
      <c r="G755" s="305"/>
      <c r="H755" s="305"/>
      <c r="I755" s="305"/>
      <c r="J755" s="305"/>
      <c r="K755" s="305"/>
      <c r="L755" s="305"/>
      <c r="M755" s="305"/>
      <c r="N755" s="305"/>
    </row>
    <row r="756" spans="3:14" x14ac:dyDescent="0.25">
      <c r="C756" s="305"/>
      <c r="D756" s="305"/>
      <c r="E756" s="305"/>
      <c r="F756" s="305"/>
      <c r="G756" s="305"/>
      <c r="H756" s="305"/>
      <c r="I756" s="305"/>
      <c r="J756" s="305"/>
      <c r="K756" s="305"/>
      <c r="L756" s="305"/>
      <c r="M756" s="305"/>
      <c r="N756" s="305"/>
    </row>
    <row r="757" spans="3:14" x14ac:dyDescent="0.25">
      <c r="C757" s="305"/>
      <c r="D757" s="305"/>
      <c r="E757" s="305"/>
      <c r="F757" s="305"/>
      <c r="G757" s="305"/>
      <c r="H757" s="305"/>
      <c r="I757" s="305"/>
      <c r="J757" s="305"/>
      <c r="K757" s="305"/>
      <c r="L757" s="305"/>
      <c r="M757" s="305"/>
      <c r="N757" s="305"/>
    </row>
    <row r="758" spans="3:14" x14ac:dyDescent="0.25">
      <c r="C758" s="305"/>
      <c r="D758" s="305"/>
      <c r="E758" s="305"/>
      <c r="F758" s="305"/>
      <c r="G758" s="305"/>
      <c r="H758" s="305"/>
      <c r="I758" s="305"/>
      <c r="J758" s="305"/>
      <c r="K758" s="305"/>
      <c r="L758" s="305"/>
      <c r="M758" s="305"/>
      <c r="N758" s="305"/>
    </row>
    <row r="759" spans="3:14" x14ac:dyDescent="0.25">
      <c r="C759" s="305"/>
      <c r="D759" s="305"/>
      <c r="E759" s="305"/>
      <c r="F759" s="305"/>
      <c r="G759" s="305"/>
      <c r="H759" s="305"/>
      <c r="I759" s="305"/>
      <c r="J759" s="305"/>
      <c r="K759" s="305"/>
      <c r="L759" s="305"/>
      <c r="M759" s="305"/>
      <c r="N759" s="305"/>
    </row>
    <row r="760" spans="3:14" x14ac:dyDescent="0.25">
      <c r="C760" s="305"/>
      <c r="D760" s="305"/>
      <c r="E760" s="305"/>
      <c r="F760" s="305"/>
      <c r="G760" s="305"/>
      <c r="H760" s="305"/>
      <c r="I760" s="305"/>
      <c r="J760" s="305"/>
      <c r="K760" s="305"/>
      <c r="L760" s="305"/>
      <c r="M760" s="305"/>
      <c r="N760" s="305"/>
    </row>
    <row r="761" spans="3:14" x14ac:dyDescent="0.25">
      <c r="C761" s="305"/>
      <c r="D761" s="305"/>
      <c r="E761" s="305"/>
      <c r="F761" s="305"/>
      <c r="G761" s="305"/>
      <c r="H761" s="305"/>
      <c r="I761" s="305"/>
      <c r="J761" s="305"/>
      <c r="K761" s="305"/>
      <c r="L761" s="305"/>
      <c r="M761" s="305"/>
      <c r="N761" s="305"/>
    </row>
    <row r="762" spans="3:14" x14ac:dyDescent="0.25">
      <c r="C762" s="305"/>
      <c r="D762" s="305"/>
      <c r="E762" s="305"/>
      <c r="F762" s="305"/>
      <c r="G762" s="305"/>
      <c r="H762" s="305"/>
      <c r="I762" s="305"/>
      <c r="J762" s="305"/>
      <c r="K762" s="305"/>
      <c r="L762" s="305"/>
      <c r="M762" s="305"/>
      <c r="N762" s="305"/>
    </row>
    <row r="763" spans="3:14" x14ac:dyDescent="0.25">
      <c r="C763" s="305"/>
      <c r="D763" s="305"/>
      <c r="E763" s="305"/>
      <c r="F763" s="305"/>
      <c r="G763" s="305"/>
      <c r="H763" s="305"/>
      <c r="I763" s="305"/>
      <c r="J763" s="305"/>
      <c r="K763" s="305"/>
      <c r="L763" s="305"/>
      <c r="M763" s="305"/>
      <c r="N763" s="305"/>
    </row>
    <row r="764" spans="3:14" x14ac:dyDescent="0.25">
      <c r="C764" s="305"/>
      <c r="D764" s="305"/>
      <c r="E764" s="305"/>
      <c r="F764" s="305"/>
      <c r="G764" s="305"/>
      <c r="H764" s="305"/>
      <c r="I764" s="305"/>
      <c r="J764" s="305"/>
      <c r="K764" s="305"/>
      <c r="L764" s="305"/>
      <c r="M764" s="305"/>
      <c r="N764" s="305"/>
    </row>
    <row r="765" spans="3:14" x14ac:dyDescent="0.25">
      <c r="C765" s="305"/>
      <c r="D765" s="305"/>
      <c r="E765" s="305"/>
      <c r="F765" s="305"/>
      <c r="G765" s="305"/>
      <c r="H765" s="305"/>
      <c r="I765" s="305"/>
      <c r="J765" s="305"/>
      <c r="K765" s="305"/>
      <c r="L765" s="305"/>
      <c r="M765" s="305"/>
      <c r="N765" s="305"/>
    </row>
    <row r="766" spans="3:14" x14ac:dyDescent="0.25">
      <c r="C766" s="305"/>
      <c r="D766" s="305"/>
      <c r="E766" s="305"/>
      <c r="F766" s="305"/>
      <c r="G766" s="305"/>
      <c r="H766" s="305"/>
      <c r="I766" s="305"/>
      <c r="J766" s="305"/>
      <c r="K766" s="305"/>
      <c r="L766" s="305"/>
      <c r="M766" s="305"/>
      <c r="N766" s="305"/>
    </row>
    <row r="767" spans="3:14" x14ac:dyDescent="0.25">
      <c r="C767" s="305"/>
      <c r="D767" s="305"/>
      <c r="E767" s="305"/>
      <c r="F767" s="305"/>
      <c r="G767" s="305"/>
      <c r="H767" s="305"/>
      <c r="I767" s="305"/>
      <c r="J767" s="305"/>
      <c r="K767" s="305"/>
      <c r="L767" s="305"/>
      <c r="M767" s="305"/>
      <c r="N767" s="305"/>
    </row>
    <row r="768" spans="3:14" x14ac:dyDescent="0.25">
      <c r="C768" s="305"/>
      <c r="D768" s="305"/>
      <c r="E768" s="305"/>
      <c r="F768" s="305"/>
      <c r="G768" s="305"/>
      <c r="H768" s="305"/>
      <c r="I768" s="305"/>
      <c r="J768" s="305"/>
      <c r="K768" s="305"/>
      <c r="L768" s="305"/>
      <c r="M768" s="305"/>
      <c r="N768" s="305"/>
    </row>
    <row r="769" spans="3:14" x14ac:dyDescent="0.25">
      <c r="C769" s="305"/>
      <c r="D769" s="305"/>
      <c r="E769" s="305"/>
      <c r="F769" s="305"/>
      <c r="G769" s="305"/>
      <c r="H769" s="305"/>
      <c r="I769" s="305"/>
      <c r="J769" s="305"/>
      <c r="K769" s="305"/>
      <c r="L769" s="305"/>
      <c r="M769" s="305"/>
      <c r="N769" s="305"/>
    </row>
    <row r="770" spans="3:14" x14ac:dyDescent="0.25">
      <c r="C770" s="305"/>
      <c r="D770" s="305"/>
      <c r="E770" s="305"/>
      <c r="F770" s="305"/>
      <c r="G770" s="305"/>
      <c r="H770" s="305"/>
      <c r="I770" s="305"/>
      <c r="J770" s="305"/>
      <c r="K770" s="305"/>
      <c r="L770" s="305"/>
      <c r="M770" s="305"/>
      <c r="N770" s="305"/>
    </row>
    <row r="771" spans="3:14" x14ac:dyDescent="0.25">
      <c r="C771" s="305"/>
      <c r="D771" s="305"/>
      <c r="E771" s="305"/>
      <c r="F771" s="305"/>
      <c r="G771" s="305"/>
      <c r="H771" s="305"/>
      <c r="I771" s="305"/>
      <c r="J771" s="305"/>
      <c r="K771" s="305"/>
      <c r="L771" s="305"/>
      <c r="M771" s="305"/>
      <c r="N771" s="305"/>
    </row>
    <row r="772" spans="3:14" x14ac:dyDescent="0.25">
      <c r="C772" s="305"/>
      <c r="D772" s="305"/>
      <c r="E772" s="305"/>
      <c r="F772" s="305"/>
      <c r="G772" s="305"/>
      <c r="H772" s="305"/>
      <c r="I772" s="305"/>
      <c r="J772" s="305"/>
      <c r="K772" s="305"/>
      <c r="L772" s="305"/>
      <c r="M772" s="305"/>
      <c r="N772" s="305"/>
    </row>
    <row r="773" spans="3:14" x14ac:dyDescent="0.25">
      <c r="C773" s="305"/>
      <c r="D773" s="305"/>
      <c r="E773" s="305"/>
      <c r="F773" s="305"/>
      <c r="G773" s="305"/>
      <c r="H773" s="305"/>
      <c r="I773" s="305"/>
      <c r="J773" s="305"/>
      <c r="K773" s="305"/>
      <c r="L773" s="305"/>
      <c r="M773" s="305"/>
      <c r="N773" s="305"/>
    </row>
    <row r="774" spans="3:14" x14ac:dyDescent="0.25">
      <c r="C774" s="305"/>
      <c r="D774" s="305"/>
      <c r="E774" s="305"/>
      <c r="F774" s="305"/>
      <c r="G774" s="305"/>
      <c r="H774" s="305"/>
      <c r="I774" s="305"/>
      <c r="J774" s="305"/>
      <c r="K774" s="305"/>
      <c r="L774" s="305"/>
      <c r="M774" s="305"/>
      <c r="N774" s="305"/>
    </row>
    <row r="775" spans="3:14" x14ac:dyDescent="0.25">
      <c r="C775" s="305"/>
      <c r="D775" s="305"/>
      <c r="E775" s="305"/>
      <c r="F775" s="305"/>
      <c r="G775" s="305"/>
      <c r="H775" s="305"/>
      <c r="I775" s="305"/>
      <c r="J775" s="305"/>
      <c r="K775" s="305"/>
      <c r="L775" s="305"/>
      <c r="M775" s="305"/>
      <c r="N775" s="305"/>
    </row>
    <row r="776" spans="3:14" x14ac:dyDescent="0.25">
      <c r="C776" s="305"/>
      <c r="D776" s="305"/>
      <c r="E776" s="305"/>
      <c r="F776" s="305"/>
      <c r="G776" s="305"/>
      <c r="H776" s="305"/>
      <c r="I776" s="305"/>
      <c r="J776" s="305"/>
      <c r="K776" s="305"/>
      <c r="L776" s="305"/>
      <c r="M776" s="305"/>
      <c r="N776" s="305"/>
    </row>
    <row r="777" spans="3:14" x14ac:dyDescent="0.25">
      <c r="C777" s="305"/>
      <c r="D777" s="305"/>
      <c r="E777" s="305"/>
      <c r="F777" s="305"/>
      <c r="G777" s="305"/>
      <c r="H777" s="305"/>
      <c r="I777" s="305"/>
      <c r="J777" s="305"/>
      <c r="K777" s="305"/>
      <c r="L777" s="305"/>
      <c r="M777" s="305"/>
      <c r="N777" s="305"/>
    </row>
    <row r="778" spans="3:14" x14ac:dyDescent="0.25">
      <c r="C778" s="305"/>
      <c r="D778" s="305"/>
      <c r="E778" s="305"/>
      <c r="F778" s="305"/>
      <c r="G778" s="305"/>
      <c r="H778" s="305"/>
      <c r="I778" s="305"/>
      <c r="J778" s="305"/>
      <c r="K778" s="305"/>
      <c r="L778" s="305"/>
      <c r="M778" s="305"/>
      <c r="N778" s="305"/>
    </row>
    <row r="779" spans="3:14" x14ac:dyDescent="0.25">
      <c r="C779" s="305"/>
      <c r="D779" s="305"/>
      <c r="E779" s="305"/>
      <c r="F779" s="305"/>
      <c r="G779" s="305"/>
      <c r="H779" s="305"/>
      <c r="I779" s="305"/>
      <c r="J779" s="305"/>
      <c r="K779" s="305"/>
      <c r="L779" s="305"/>
      <c r="M779" s="305"/>
      <c r="N779" s="305"/>
    </row>
    <row r="780" spans="3:14" x14ac:dyDescent="0.25">
      <c r="C780" s="305"/>
      <c r="D780" s="305"/>
      <c r="E780" s="305"/>
      <c r="F780" s="305"/>
      <c r="G780" s="305"/>
      <c r="H780" s="305"/>
      <c r="I780" s="305"/>
      <c r="J780" s="305"/>
      <c r="K780" s="305"/>
      <c r="L780" s="305"/>
      <c r="M780" s="305"/>
      <c r="N780" s="305"/>
    </row>
    <row r="781" spans="3:14" x14ac:dyDescent="0.25">
      <c r="C781" s="305"/>
      <c r="D781" s="305"/>
      <c r="E781" s="305"/>
      <c r="F781" s="305"/>
      <c r="G781" s="305"/>
      <c r="H781" s="305"/>
      <c r="I781" s="305"/>
      <c r="J781" s="305"/>
      <c r="K781" s="305"/>
      <c r="L781" s="305"/>
      <c r="M781" s="305"/>
      <c r="N781" s="305"/>
    </row>
    <row r="782" spans="3:14" x14ac:dyDescent="0.25">
      <c r="C782" s="305"/>
      <c r="D782" s="305"/>
      <c r="E782" s="305"/>
      <c r="F782" s="305"/>
      <c r="G782" s="305"/>
      <c r="H782" s="305"/>
      <c r="I782" s="305"/>
      <c r="J782" s="305"/>
      <c r="K782" s="305"/>
      <c r="L782" s="305"/>
      <c r="M782" s="305"/>
      <c r="N782" s="305"/>
    </row>
    <row r="783" spans="3:14" x14ac:dyDescent="0.25">
      <c r="C783" s="305"/>
      <c r="D783" s="305"/>
      <c r="E783" s="305"/>
      <c r="F783" s="305"/>
      <c r="G783" s="305"/>
      <c r="H783" s="305"/>
      <c r="I783" s="305"/>
      <c r="J783" s="305"/>
      <c r="K783" s="305"/>
      <c r="L783" s="305"/>
      <c r="M783" s="305"/>
      <c r="N783" s="305"/>
    </row>
    <row r="784" spans="3:14" x14ac:dyDescent="0.25">
      <c r="C784" s="305"/>
      <c r="D784" s="305"/>
      <c r="E784" s="305"/>
      <c r="F784" s="305"/>
      <c r="G784" s="305"/>
      <c r="H784" s="305"/>
      <c r="I784" s="305"/>
      <c r="J784" s="305"/>
      <c r="K784" s="305"/>
      <c r="L784" s="305"/>
      <c r="M784" s="305"/>
      <c r="N784" s="305"/>
    </row>
    <row r="785" spans="3:14" x14ac:dyDescent="0.25">
      <c r="C785" s="305"/>
      <c r="D785" s="305"/>
      <c r="E785" s="305"/>
      <c r="F785" s="305"/>
      <c r="G785" s="305"/>
      <c r="H785" s="305"/>
      <c r="I785" s="305"/>
      <c r="J785" s="305"/>
      <c r="K785" s="305"/>
      <c r="L785" s="305"/>
      <c r="M785" s="305"/>
      <c r="N785" s="305"/>
    </row>
    <row r="786" spans="3:14" x14ac:dyDescent="0.25">
      <c r="C786" s="305"/>
      <c r="D786" s="305"/>
      <c r="E786" s="305"/>
      <c r="F786" s="305"/>
      <c r="G786" s="305"/>
      <c r="H786" s="305"/>
      <c r="I786" s="305"/>
      <c r="J786" s="305"/>
      <c r="K786" s="305"/>
      <c r="L786" s="305"/>
      <c r="M786" s="305"/>
      <c r="N786" s="305"/>
    </row>
    <row r="787" spans="3:14" x14ac:dyDescent="0.25">
      <c r="C787" s="305"/>
      <c r="D787" s="305"/>
      <c r="E787" s="305"/>
      <c r="F787" s="305"/>
      <c r="G787" s="305"/>
      <c r="H787" s="305"/>
      <c r="I787" s="305"/>
      <c r="J787" s="305"/>
      <c r="K787" s="305"/>
      <c r="L787" s="305"/>
      <c r="M787" s="305"/>
      <c r="N787" s="305"/>
    </row>
    <row r="788" spans="3:14" x14ac:dyDescent="0.25">
      <c r="C788" s="305"/>
      <c r="D788" s="305"/>
      <c r="E788" s="305"/>
      <c r="F788" s="305"/>
      <c r="G788" s="305"/>
      <c r="H788" s="305"/>
      <c r="I788" s="305"/>
      <c r="J788" s="305"/>
      <c r="K788" s="305"/>
      <c r="L788" s="305"/>
      <c r="M788" s="305"/>
      <c r="N788" s="305"/>
    </row>
    <row r="789" spans="3:14" x14ac:dyDescent="0.25">
      <c r="C789" s="305"/>
      <c r="D789" s="305"/>
      <c r="E789" s="305"/>
      <c r="F789" s="305"/>
      <c r="G789" s="305"/>
      <c r="H789" s="305"/>
      <c r="I789" s="305"/>
      <c r="J789" s="305"/>
      <c r="K789" s="305"/>
      <c r="L789" s="305"/>
      <c r="M789" s="305"/>
      <c r="N789" s="305"/>
    </row>
    <row r="790" spans="3:14" x14ac:dyDescent="0.25">
      <c r="C790" s="305"/>
      <c r="D790" s="305"/>
      <c r="E790" s="305"/>
      <c r="F790" s="305"/>
      <c r="G790" s="305"/>
      <c r="H790" s="305"/>
      <c r="I790" s="305"/>
      <c r="J790" s="305"/>
      <c r="K790" s="305"/>
      <c r="L790" s="305"/>
      <c r="M790" s="305"/>
      <c r="N790" s="305"/>
    </row>
    <row r="791" spans="3:14" x14ac:dyDescent="0.25">
      <c r="C791" s="305"/>
      <c r="D791" s="305"/>
      <c r="E791" s="305"/>
      <c r="F791" s="305"/>
      <c r="G791" s="305"/>
      <c r="H791" s="305"/>
      <c r="I791" s="305"/>
      <c r="J791" s="305"/>
      <c r="K791" s="305"/>
      <c r="L791" s="305"/>
      <c r="M791" s="305"/>
      <c r="N791" s="305"/>
    </row>
    <row r="792" spans="3:14" x14ac:dyDescent="0.25">
      <c r="C792" s="305"/>
      <c r="D792" s="305"/>
      <c r="E792" s="305"/>
      <c r="F792" s="305"/>
      <c r="G792" s="305"/>
      <c r="H792" s="305"/>
      <c r="I792" s="305"/>
      <c r="J792" s="305"/>
      <c r="K792" s="305"/>
      <c r="L792" s="305"/>
      <c r="M792" s="305"/>
      <c r="N792" s="305"/>
    </row>
    <row r="793" spans="3:14" x14ac:dyDescent="0.25">
      <c r="C793" s="305"/>
      <c r="D793" s="305"/>
      <c r="E793" s="305"/>
      <c r="F793" s="305"/>
      <c r="G793" s="305"/>
      <c r="H793" s="305"/>
      <c r="I793" s="305"/>
      <c r="J793" s="305"/>
      <c r="K793" s="305"/>
      <c r="L793" s="305"/>
      <c r="M793" s="305"/>
      <c r="N793" s="305"/>
    </row>
    <row r="794" spans="3:14" x14ac:dyDescent="0.25">
      <c r="C794" s="305"/>
      <c r="D794" s="305"/>
      <c r="E794" s="305"/>
      <c r="F794" s="305"/>
      <c r="G794" s="305"/>
      <c r="H794" s="305"/>
      <c r="I794" s="305"/>
      <c r="J794" s="305"/>
      <c r="K794" s="305"/>
      <c r="L794" s="305"/>
      <c r="M794" s="305"/>
      <c r="N794" s="305"/>
    </row>
    <row r="795" spans="3:14" x14ac:dyDescent="0.25">
      <c r="C795" s="305"/>
      <c r="D795" s="305"/>
      <c r="E795" s="305"/>
      <c r="F795" s="305"/>
      <c r="G795" s="305"/>
      <c r="H795" s="305"/>
      <c r="I795" s="305"/>
      <c r="J795" s="305"/>
      <c r="K795" s="305"/>
      <c r="L795" s="305"/>
      <c r="M795" s="305"/>
      <c r="N795" s="305"/>
    </row>
    <row r="796" spans="3:14" x14ac:dyDescent="0.25">
      <c r="C796" s="305"/>
      <c r="D796" s="305"/>
      <c r="E796" s="305"/>
      <c r="F796" s="305"/>
      <c r="G796" s="305"/>
      <c r="H796" s="305"/>
      <c r="I796" s="305"/>
      <c r="J796" s="305"/>
      <c r="K796" s="305"/>
      <c r="L796" s="305"/>
      <c r="M796" s="305"/>
      <c r="N796" s="305"/>
    </row>
    <row r="797" spans="3:14" x14ac:dyDescent="0.25">
      <c r="C797" s="305"/>
      <c r="D797" s="305"/>
      <c r="E797" s="305"/>
      <c r="F797" s="305"/>
      <c r="G797" s="305"/>
      <c r="H797" s="305"/>
      <c r="I797" s="305"/>
      <c r="J797" s="305"/>
      <c r="K797" s="305"/>
      <c r="L797" s="305"/>
      <c r="M797" s="305"/>
      <c r="N797" s="305"/>
    </row>
    <row r="798" spans="3:14" x14ac:dyDescent="0.25">
      <c r="C798" s="305"/>
      <c r="D798" s="305"/>
      <c r="E798" s="305"/>
      <c r="F798" s="305"/>
      <c r="G798" s="305"/>
      <c r="H798" s="305"/>
      <c r="I798" s="305"/>
      <c r="J798" s="305"/>
      <c r="K798" s="305"/>
      <c r="L798" s="305"/>
      <c r="M798" s="305"/>
      <c r="N798" s="305"/>
    </row>
    <row r="799" spans="3:14" x14ac:dyDescent="0.25">
      <c r="C799" s="305"/>
      <c r="D799" s="305"/>
      <c r="E799" s="305"/>
      <c r="F799" s="305"/>
      <c r="G799" s="305"/>
      <c r="H799" s="305"/>
      <c r="I799" s="305"/>
      <c r="J799" s="305"/>
      <c r="K799" s="305"/>
      <c r="L799" s="305"/>
      <c r="M799" s="305"/>
      <c r="N799" s="305"/>
    </row>
    <row r="800" spans="3:14" x14ac:dyDescent="0.25">
      <c r="C800" s="305"/>
      <c r="D800" s="305"/>
      <c r="E800" s="305"/>
      <c r="F800" s="305"/>
      <c r="G800" s="305"/>
      <c r="H800" s="305"/>
      <c r="I800" s="305"/>
      <c r="J800" s="305"/>
      <c r="K800" s="305"/>
      <c r="L800" s="305"/>
      <c r="M800" s="305"/>
      <c r="N800" s="305"/>
    </row>
    <row r="801" spans="3:14" x14ac:dyDescent="0.25">
      <c r="C801" s="305"/>
      <c r="D801" s="305"/>
      <c r="E801" s="305"/>
      <c r="F801" s="305"/>
      <c r="G801" s="305"/>
      <c r="H801" s="305"/>
      <c r="I801" s="305"/>
      <c r="J801" s="305"/>
      <c r="K801" s="305"/>
      <c r="L801" s="305"/>
      <c r="M801" s="305"/>
      <c r="N801" s="305"/>
    </row>
    <row r="802" spans="3:14" x14ac:dyDescent="0.25">
      <c r="C802" s="305"/>
      <c r="D802" s="305"/>
      <c r="E802" s="305"/>
      <c r="F802" s="305"/>
      <c r="G802" s="305"/>
      <c r="H802" s="305"/>
      <c r="I802" s="305"/>
      <c r="J802" s="305"/>
      <c r="K802" s="305"/>
      <c r="L802" s="305"/>
      <c r="M802" s="305"/>
      <c r="N802" s="305"/>
    </row>
    <row r="803" spans="3:14" x14ac:dyDescent="0.25">
      <c r="C803" s="305"/>
      <c r="D803" s="305"/>
      <c r="E803" s="305"/>
      <c r="F803" s="305"/>
      <c r="G803" s="305"/>
      <c r="H803" s="305"/>
      <c r="I803" s="305"/>
      <c r="J803" s="305"/>
      <c r="K803" s="305"/>
      <c r="L803" s="305"/>
      <c r="M803" s="305"/>
      <c r="N803" s="305"/>
    </row>
    <row r="804" spans="3:14" x14ac:dyDescent="0.25">
      <c r="C804" s="305"/>
      <c r="D804" s="305"/>
      <c r="E804" s="305"/>
      <c r="F804" s="305"/>
      <c r="G804" s="305"/>
      <c r="H804" s="305"/>
      <c r="I804" s="305"/>
      <c r="J804" s="305"/>
      <c r="K804" s="305"/>
      <c r="L804" s="305"/>
      <c r="M804" s="305"/>
      <c r="N804" s="305"/>
    </row>
    <row r="805" spans="3:14" x14ac:dyDescent="0.25">
      <c r="C805" s="305"/>
      <c r="D805" s="305"/>
      <c r="E805" s="305"/>
      <c r="F805" s="305"/>
      <c r="G805" s="305"/>
      <c r="H805" s="305"/>
      <c r="I805" s="305"/>
      <c r="J805" s="305"/>
      <c r="K805" s="305"/>
      <c r="L805" s="305"/>
      <c r="M805" s="305"/>
      <c r="N805" s="305"/>
    </row>
    <row r="806" spans="3:14" x14ac:dyDescent="0.25">
      <c r="C806" s="305"/>
      <c r="D806" s="305"/>
      <c r="E806" s="305"/>
      <c r="F806" s="305"/>
      <c r="G806" s="305"/>
      <c r="H806" s="305"/>
      <c r="I806" s="305"/>
      <c r="J806" s="305"/>
      <c r="K806" s="305"/>
      <c r="L806" s="305"/>
      <c r="M806" s="305"/>
      <c r="N806" s="305"/>
    </row>
    <row r="807" spans="3:14" x14ac:dyDescent="0.25">
      <c r="C807" s="305"/>
      <c r="D807" s="305"/>
      <c r="E807" s="305"/>
      <c r="F807" s="305"/>
      <c r="G807" s="305"/>
      <c r="H807" s="305"/>
      <c r="I807" s="305"/>
      <c r="J807" s="305"/>
      <c r="K807" s="305"/>
      <c r="L807" s="305"/>
      <c r="M807" s="305"/>
      <c r="N807" s="305"/>
    </row>
    <row r="808" spans="3:14" x14ac:dyDescent="0.25">
      <c r="C808" s="305"/>
      <c r="D808" s="305"/>
      <c r="E808" s="305"/>
      <c r="F808" s="305"/>
      <c r="G808" s="305"/>
      <c r="H808" s="305"/>
      <c r="I808" s="305"/>
      <c r="J808" s="305"/>
      <c r="K808" s="305"/>
      <c r="L808" s="305"/>
      <c r="M808" s="305"/>
      <c r="N808" s="305"/>
    </row>
    <row r="809" spans="3:14" x14ac:dyDescent="0.25">
      <c r="C809" s="305"/>
      <c r="D809" s="305"/>
      <c r="E809" s="305"/>
      <c r="F809" s="305"/>
      <c r="G809" s="305"/>
      <c r="H809" s="305"/>
      <c r="I809" s="305"/>
      <c r="J809" s="305"/>
      <c r="K809" s="305"/>
      <c r="L809" s="305"/>
      <c r="M809" s="305"/>
      <c r="N809" s="305"/>
    </row>
    <row r="810" spans="3:14" x14ac:dyDescent="0.25">
      <c r="C810" s="305"/>
      <c r="D810" s="305"/>
      <c r="E810" s="305"/>
      <c r="F810" s="305"/>
      <c r="G810" s="305"/>
      <c r="H810" s="305"/>
      <c r="I810" s="305"/>
      <c r="J810" s="305"/>
      <c r="K810" s="305"/>
      <c r="L810" s="305"/>
      <c r="M810" s="305"/>
      <c r="N810" s="305"/>
    </row>
    <row r="811" spans="3:14" x14ac:dyDescent="0.25">
      <c r="C811" s="305"/>
      <c r="D811" s="305"/>
      <c r="E811" s="305"/>
      <c r="F811" s="305"/>
      <c r="G811" s="305"/>
      <c r="H811" s="305"/>
      <c r="I811" s="305"/>
      <c r="J811" s="305"/>
      <c r="K811" s="305"/>
      <c r="L811" s="305"/>
      <c r="M811" s="305"/>
      <c r="N811" s="305"/>
    </row>
    <row r="812" spans="3:14" x14ac:dyDescent="0.25">
      <c r="C812" s="305"/>
      <c r="D812" s="305"/>
      <c r="E812" s="305"/>
      <c r="F812" s="305"/>
      <c r="G812" s="305"/>
      <c r="H812" s="305"/>
      <c r="I812" s="305"/>
      <c r="J812" s="305"/>
      <c r="K812" s="305"/>
      <c r="L812" s="305"/>
      <c r="M812" s="305"/>
      <c r="N812" s="305"/>
    </row>
    <row r="813" spans="3:14" x14ac:dyDescent="0.25">
      <c r="C813" s="305"/>
      <c r="D813" s="305"/>
      <c r="E813" s="305"/>
      <c r="F813" s="305"/>
      <c r="G813" s="305"/>
      <c r="H813" s="305"/>
      <c r="I813" s="305"/>
      <c r="J813" s="305"/>
      <c r="K813" s="305"/>
      <c r="L813" s="305"/>
      <c r="M813" s="305"/>
      <c r="N813" s="305"/>
    </row>
    <row r="814" spans="3:14" x14ac:dyDescent="0.25">
      <c r="C814" s="305"/>
      <c r="D814" s="305"/>
      <c r="E814" s="305"/>
      <c r="F814" s="305"/>
      <c r="G814" s="305"/>
      <c r="H814" s="305"/>
      <c r="I814" s="305"/>
      <c r="J814" s="305"/>
      <c r="K814" s="305"/>
      <c r="L814" s="305"/>
      <c r="M814" s="305"/>
      <c r="N814" s="305"/>
    </row>
    <row r="815" spans="3:14" x14ac:dyDescent="0.25">
      <c r="C815" s="305"/>
      <c r="D815" s="305"/>
      <c r="E815" s="305"/>
      <c r="F815" s="305"/>
      <c r="G815" s="305"/>
      <c r="H815" s="305"/>
      <c r="I815" s="305"/>
      <c r="J815" s="305"/>
      <c r="K815" s="305"/>
      <c r="L815" s="305"/>
      <c r="M815" s="305"/>
      <c r="N815" s="305"/>
    </row>
    <row r="816" spans="3:14" x14ac:dyDescent="0.25">
      <c r="C816" s="305"/>
      <c r="D816" s="305"/>
      <c r="E816" s="305"/>
      <c r="F816" s="305"/>
      <c r="G816" s="305"/>
      <c r="H816" s="305"/>
      <c r="I816" s="305"/>
      <c r="J816" s="305"/>
      <c r="K816" s="305"/>
      <c r="L816" s="305"/>
      <c r="M816" s="305"/>
      <c r="N816" s="305"/>
    </row>
    <row r="817" spans="3:14" x14ac:dyDescent="0.25">
      <c r="C817" s="305"/>
      <c r="D817" s="305"/>
      <c r="E817" s="305"/>
      <c r="F817" s="305"/>
      <c r="G817" s="305"/>
      <c r="H817" s="305"/>
      <c r="I817" s="305"/>
      <c r="J817" s="305"/>
      <c r="K817" s="305"/>
      <c r="L817" s="305"/>
      <c r="M817" s="305"/>
      <c r="N817" s="305"/>
    </row>
    <row r="818" spans="3:14" x14ac:dyDescent="0.25">
      <c r="C818" s="305"/>
      <c r="D818" s="305"/>
      <c r="E818" s="305"/>
      <c r="F818" s="305"/>
      <c r="G818" s="305"/>
      <c r="H818" s="305"/>
      <c r="I818" s="305"/>
      <c r="J818" s="305"/>
      <c r="K818" s="305"/>
      <c r="L818" s="305"/>
      <c r="M818" s="305"/>
      <c r="N818" s="305"/>
    </row>
    <row r="819" spans="3:14" x14ac:dyDescent="0.25">
      <c r="C819" s="305"/>
      <c r="D819" s="305"/>
      <c r="E819" s="305"/>
      <c r="F819" s="305"/>
      <c r="G819" s="305"/>
      <c r="H819" s="305"/>
      <c r="I819" s="305"/>
      <c r="J819" s="305"/>
      <c r="K819" s="305"/>
      <c r="L819" s="305"/>
      <c r="M819" s="305"/>
      <c r="N819" s="305"/>
    </row>
    <row r="820" spans="3:14" x14ac:dyDescent="0.25">
      <c r="C820" s="305"/>
      <c r="D820" s="305"/>
      <c r="E820" s="305"/>
      <c r="F820" s="305"/>
      <c r="G820" s="305"/>
      <c r="H820" s="305"/>
      <c r="I820" s="305"/>
      <c r="J820" s="305"/>
      <c r="K820" s="305"/>
      <c r="L820" s="305"/>
      <c r="M820" s="305"/>
      <c r="N820" s="305"/>
    </row>
    <row r="821" spans="3:14" x14ac:dyDescent="0.25">
      <c r="C821" s="305"/>
      <c r="D821" s="305"/>
      <c r="E821" s="305"/>
      <c r="F821" s="305"/>
      <c r="G821" s="305"/>
      <c r="H821" s="305"/>
      <c r="I821" s="305"/>
      <c r="J821" s="305"/>
      <c r="K821" s="305"/>
      <c r="L821" s="305"/>
      <c r="M821" s="305"/>
      <c r="N821" s="305"/>
    </row>
    <row r="822" spans="3:14" x14ac:dyDescent="0.25">
      <c r="C822" s="305"/>
      <c r="D822" s="305"/>
      <c r="E822" s="305"/>
      <c r="F822" s="305"/>
      <c r="G822" s="305"/>
      <c r="H822" s="305"/>
      <c r="I822" s="305"/>
      <c r="J822" s="305"/>
      <c r="K822" s="305"/>
      <c r="L822" s="305"/>
      <c r="M822" s="305"/>
      <c r="N822" s="305"/>
    </row>
    <row r="823" spans="3:14" x14ac:dyDescent="0.25">
      <c r="C823" s="305"/>
      <c r="D823" s="305"/>
      <c r="E823" s="305"/>
      <c r="F823" s="305"/>
      <c r="G823" s="305"/>
      <c r="H823" s="305"/>
      <c r="I823" s="305"/>
      <c r="J823" s="305"/>
      <c r="K823" s="305"/>
      <c r="L823" s="305"/>
      <c r="M823" s="305"/>
      <c r="N823" s="305"/>
    </row>
    <row r="824" spans="3:14" x14ac:dyDescent="0.25">
      <c r="C824" s="305"/>
      <c r="D824" s="305"/>
      <c r="E824" s="305"/>
      <c r="F824" s="305"/>
      <c r="G824" s="305"/>
      <c r="H824" s="305"/>
      <c r="I824" s="305"/>
      <c r="J824" s="305"/>
      <c r="K824" s="305"/>
      <c r="L824" s="305"/>
      <c r="M824" s="305"/>
      <c r="N824" s="305"/>
    </row>
    <row r="825" spans="3:14" x14ac:dyDescent="0.25">
      <c r="C825" s="305"/>
      <c r="D825" s="305"/>
      <c r="E825" s="305"/>
      <c r="F825" s="305"/>
      <c r="G825" s="305"/>
      <c r="H825" s="305"/>
      <c r="I825" s="305"/>
      <c r="J825" s="305"/>
      <c r="K825" s="305"/>
      <c r="L825" s="305"/>
      <c r="M825" s="305"/>
      <c r="N825" s="305"/>
    </row>
    <row r="826" spans="3:14" x14ac:dyDescent="0.25">
      <c r="C826" s="305"/>
      <c r="D826" s="305"/>
      <c r="E826" s="305"/>
      <c r="F826" s="305"/>
      <c r="G826" s="305"/>
      <c r="H826" s="305"/>
      <c r="I826" s="305"/>
      <c r="J826" s="305"/>
      <c r="K826" s="305"/>
      <c r="L826" s="305"/>
      <c r="M826" s="305"/>
      <c r="N826" s="305"/>
    </row>
    <row r="827" spans="3:14" x14ac:dyDescent="0.25">
      <c r="C827" s="305"/>
      <c r="D827" s="305"/>
      <c r="E827" s="305"/>
      <c r="F827" s="305"/>
      <c r="G827" s="305"/>
      <c r="H827" s="305"/>
      <c r="I827" s="305"/>
      <c r="J827" s="305"/>
      <c r="K827" s="305"/>
      <c r="L827" s="305"/>
      <c r="M827" s="305"/>
      <c r="N827" s="305"/>
    </row>
    <row r="828" spans="3:14" x14ac:dyDescent="0.25">
      <c r="C828" s="305"/>
      <c r="D828" s="305"/>
      <c r="E828" s="305"/>
      <c r="F828" s="305"/>
      <c r="G828" s="305"/>
      <c r="H828" s="305"/>
      <c r="I828" s="305"/>
      <c r="J828" s="305"/>
      <c r="K828" s="305"/>
      <c r="L828" s="305"/>
      <c r="M828" s="305"/>
      <c r="N828" s="305"/>
    </row>
    <row r="829" spans="3:14" x14ac:dyDescent="0.25">
      <c r="C829" s="305"/>
      <c r="D829" s="305"/>
      <c r="E829" s="305"/>
      <c r="F829" s="305"/>
      <c r="G829" s="305"/>
      <c r="H829" s="305"/>
      <c r="I829" s="305"/>
      <c r="J829" s="305"/>
      <c r="K829" s="305"/>
      <c r="L829" s="305"/>
      <c r="M829" s="305"/>
      <c r="N829" s="305"/>
    </row>
    <row r="830" spans="3:14" x14ac:dyDescent="0.25">
      <c r="C830" s="305"/>
      <c r="D830" s="305"/>
      <c r="E830" s="305"/>
      <c r="F830" s="305"/>
      <c r="G830" s="305"/>
      <c r="H830" s="305"/>
      <c r="I830" s="305"/>
      <c r="J830" s="305"/>
      <c r="K830" s="305"/>
      <c r="L830" s="305"/>
      <c r="M830" s="305"/>
      <c r="N830" s="305"/>
    </row>
    <row r="831" spans="3:14" x14ac:dyDescent="0.25">
      <c r="C831" s="305"/>
      <c r="D831" s="305"/>
      <c r="E831" s="305"/>
      <c r="F831" s="305"/>
      <c r="G831" s="305"/>
      <c r="H831" s="305"/>
      <c r="I831" s="305"/>
      <c r="J831" s="305"/>
      <c r="K831" s="305"/>
      <c r="L831" s="305"/>
      <c r="M831" s="305"/>
      <c r="N831" s="305"/>
    </row>
    <row r="832" spans="3:14" x14ac:dyDescent="0.25">
      <c r="C832" s="305"/>
      <c r="D832" s="305"/>
      <c r="E832" s="305"/>
      <c r="F832" s="305"/>
      <c r="G832" s="305"/>
      <c r="H832" s="305"/>
      <c r="I832" s="305"/>
      <c r="J832" s="305"/>
      <c r="K832" s="305"/>
      <c r="L832" s="305"/>
      <c r="M832" s="305"/>
      <c r="N832" s="305"/>
    </row>
    <row r="833" spans="3:14" x14ac:dyDescent="0.25">
      <c r="C833" s="305"/>
      <c r="D833" s="305"/>
      <c r="E833" s="305"/>
      <c r="F833" s="305"/>
      <c r="G833" s="305"/>
      <c r="H833" s="305"/>
      <c r="I833" s="305"/>
      <c r="J833" s="305"/>
      <c r="K833" s="305"/>
      <c r="L833" s="305"/>
      <c r="M833" s="305"/>
      <c r="N833" s="305"/>
    </row>
    <row r="834" spans="3:14" x14ac:dyDescent="0.25">
      <c r="C834" s="305"/>
      <c r="D834" s="305"/>
      <c r="E834" s="305"/>
      <c r="F834" s="305"/>
      <c r="G834" s="305"/>
      <c r="H834" s="305"/>
      <c r="I834" s="305"/>
      <c r="J834" s="305"/>
      <c r="K834" s="305"/>
      <c r="L834" s="305"/>
      <c r="M834" s="305"/>
      <c r="N834" s="305"/>
    </row>
    <row r="835" spans="3:14" x14ac:dyDescent="0.25">
      <c r="C835" s="305"/>
      <c r="D835" s="305"/>
      <c r="E835" s="305"/>
      <c r="F835" s="305"/>
      <c r="G835" s="305"/>
      <c r="H835" s="305"/>
      <c r="I835" s="305"/>
      <c r="J835" s="305"/>
      <c r="K835" s="305"/>
      <c r="L835" s="305"/>
      <c r="M835" s="305"/>
      <c r="N835" s="305"/>
    </row>
    <row r="836" spans="3:14" x14ac:dyDescent="0.25">
      <c r="C836" s="305"/>
      <c r="D836" s="305"/>
      <c r="E836" s="305"/>
      <c r="F836" s="305"/>
      <c r="G836" s="305"/>
      <c r="H836" s="305"/>
      <c r="I836" s="305"/>
      <c r="J836" s="305"/>
      <c r="K836" s="305"/>
      <c r="L836" s="305"/>
      <c r="M836" s="305"/>
      <c r="N836" s="305"/>
    </row>
    <row r="837" spans="3:14" x14ac:dyDescent="0.25">
      <c r="C837" s="305"/>
      <c r="D837" s="305"/>
      <c r="E837" s="305"/>
      <c r="F837" s="305"/>
      <c r="G837" s="305"/>
      <c r="H837" s="305"/>
      <c r="I837" s="305"/>
      <c r="J837" s="305"/>
      <c r="K837" s="305"/>
      <c r="L837" s="305"/>
      <c r="M837" s="305"/>
      <c r="N837" s="305"/>
    </row>
    <row r="838" spans="3:14" x14ac:dyDescent="0.25">
      <c r="C838" s="305"/>
      <c r="D838" s="305"/>
      <c r="E838" s="305"/>
      <c r="F838" s="305"/>
      <c r="G838" s="305"/>
      <c r="H838" s="305"/>
      <c r="I838" s="305"/>
      <c r="J838" s="305"/>
      <c r="K838" s="305"/>
      <c r="L838" s="305"/>
      <c r="M838" s="305"/>
      <c r="N838" s="305"/>
    </row>
    <row r="839" spans="3:14" x14ac:dyDescent="0.25">
      <c r="C839" s="305"/>
      <c r="D839" s="305"/>
      <c r="E839" s="305"/>
      <c r="F839" s="305"/>
      <c r="G839" s="305"/>
      <c r="H839" s="305"/>
      <c r="I839" s="305"/>
      <c r="J839" s="305"/>
      <c r="K839" s="305"/>
      <c r="L839" s="305"/>
      <c r="M839" s="305"/>
      <c r="N839" s="305"/>
    </row>
    <row r="840" spans="3:14" x14ac:dyDescent="0.25">
      <c r="C840" s="305"/>
      <c r="D840" s="305"/>
      <c r="E840" s="305"/>
      <c r="F840" s="305"/>
      <c r="G840" s="305"/>
      <c r="H840" s="305"/>
      <c r="I840" s="305"/>
      <c r="J840" s="305"/>
      <c r="K840" s="305"/>
      <c r="L840" s="305"/>
      <c r="M840" s="305"/>
      <c r="N840" s="305"/>
    </row>
    <row r="841" spans="3:14" x14ac:dyDescent="0.25">
      <c r="C841" s="305"/>
      <c r="D841" s="305"/>
      <c r="E841" s="305"/>
      <c r="F841" s="305"/>
      <c r="G841" s="305"/>
      <c r="H841" s="305"/>
      <c r="I841" s="305"/>
      <c r="J841" s="305"/>
      <c r="K841" s="305"/>
      <c r="L841" s="305"/>
      <c r="M841" s="305"/>
      <c r="N841" s="305"/>
    </row>
    <row r="842" spans="3:14" x14ac:dyDescent="0.25">
      <c r="C842" s="305"/>
      <c r="D842" s="305"/>
      <c r="E842" s="305"/>
      <c r="F842" s="305"/>
      <c r="G842" s="305"/>
      <c r="H842" s="305"/>
      <c r="I842" s="305"/>
      <c r="J842" s="305"/>
      <c r="K842" s="305"/>
      <c r="L842" s="305"/>
      <c r="M842" s="305"/>
      <c r="N842" s="305"/>
    </row>
    <row r="843" spans="3:14" x14ac:dyDescent="0.25">
      <c r="C843" s="305"/>
      <c r="D843" s="305"/>
      <c r="E843" s="305"/>
      <c r="F843" s="305"/>
      <c r="G843" s="305"/>
      <c r="H843" s="305"/>
      <c r="I843" s="305"/>
      <c r="J843" s="305"/>
      <c r="K843" s="305"/>
      <c r="L843" s="305"/>
      <c r="M843" s="305"/>
      <c r="N843" s="305"/>
    </row>
    <row r="844" spans="3:14" x14ac:dyDescent="0.25">
      <c r="C844" s="305"/>
      <c r="D844" s="305"/>
      <c r="E844" s="305"/>
      <c r="F844" s="305"/>
      <c r="G844" s="305"/>
      <c r="H844" s="305"/>
      <c r="I844" s="305"/>
      <c r="J844" s="305"/>
      <c r="K844" s="305"/>
      <c r="L844" s="305"/>
      <c r="M844" s="305"/>
      <c r="N844" s="305"/>
    </row>
    <row r="845" spans="3:14" x14ac:dyDescent="0.25">
      <c r="C845" s="305"/>
      <c r="D845" s="305"/>
      <c r="E845" s="305"/>
      <c r="F845" s="305"/>
      <c r="G845" s="305"/>
      <c r="H845" s="305"/>
      <c r="I845" s="305"/>
      <c r="J845" s="305"/>
      <c r="K845" s="305"/>
      <c r="L845" s="305"/>
      <c r="M845" s="305"/>
      <c r="N845" s="305"/>
    </row>
    <row r="846" spans="3:14" x14ac:dyDescent="0.25">
      <c r="C846" s="305"/>
      <c r="D846" s="305"/>
      <c r="E846" s="305"/>
      <c r="F846" s="305"/>
      <c r="G846" s="305"/>
      <c r="H846" s="305"/>
      <c r="I846" s="305"/>
      <c r="J846" s="305"/>
      <c r="K846" s="305"/>
      <c r="L846" s="305"/>
      <c r="M846" s="305"/>
      <c r="N846" s="305"/>
    </row>
    <row r="847" spans="3:14" x14ac:dyDescent="0.25">
      <c r="C847" s="305"/>
      <c r="D847" s="305"/>
      <c r="E847" s="305"/>
      <c r="F847" s="305"/>
      <c r="G847" s="305"/>
      <c r="H847" s="305"/>
      <c r="I847" s="305"/>
      <c r="J847" s="305"/>
      <c r="K847" s="305"/>
      <c r="L847" s="305"/>
      <c r="M847" s="305"/>
      <c r="N847" s="305"/>
    </row>
    <row r="848" spans="3:14" x14ac:dyDescent="0.25">
      <c r="C848" s="305"/>
      <c r="D848" s="305"/>
      <c r="E848" s="305"/>
      <c r="F848" s="305"/>
      <c r="G848" s="305"/>
      <c r="H848" s="305"/>
      <c r="I848" s="305"/>
      <c r="J848" s="305"/>
      <c r="K848" s="305"/>
      <c r="L848" s="305"/>
      <c r="M848" s="305"/>
      <c r="N848" s="305"/>
    </row>
    <row r="849" spans="3:14" x14ac:dyDescent="0.25">
      <c r="C849" s="305"/>
      <c r="D849" s="305"/>
      <c r="E849" s="305"/>
      <c r="F849" s="305"/>
      <c r="G849" s="305"/>
      <c r="H849" s="305"/>
      <c r="I849" s="305"/>
      <c r="J849" s="305"/>
      <c r="K849" s="305"/>
      <c r="L849" s="305"/>
      <c r="M849" s="305"/>
      <c r="N849" s="305"/>
    </row>
    <row r="850" spans="3:14" x14ac:dyDescent="0.25">
      <c r="C850" s="305"/>
      <c r="D850" s="305"/>
      <c r="E850" s="305"/>
      <c r="F850" s="305"/>
      <c r="G850" s="305"/>
      <c r="H850" s="305"/>
      <c r="I850" s="305"/>
      <c r="J850" s="305"/>
      <c r="K850" s="305"/>
      <c r="L850" s="305"/>
      <c r="M850" s="305"/>
      <c r="N850" s="305"/>
    </row>
    <row r="851" spans="3:14" x14ac:dyDescent="0.25">
      <c r="C851" s="305"/>
      <c r="D851" s="305"/>
      <c r="E851" s="305"/>
      <c r="F851" s="305"/>
      <c r="G851" s="305"/>
      <c r="H851" s="305"/>
      <c r="I851" s="305"/>
      <c r="J851" s="305"/>
      <c r="K851" s="305"/>
      <c r="L851" s="305"/>
      <c r="M851" s="305"/>
      <c r="N851" s="305"/>
    </row>
    <row r="852" spans="3:14" x14ac:dyDescent="0.25">
      <c r="C852" s="305"/>
      <c r="D852" s="305"/>
      <c r="E852" s="305"/>
      <c r="F852" s="305"/>
      <c r="G852" s="305"/>
      <c r="H852" s="305"/>
      <c r="I852" s="305"/>
      <c r="J852" s="305"/>
      <c r="K852" s="305"/>
      <c r="L852" s="305"/>
      <c r="M852" s="305"/>
      <c r="N852" s="305"/>
    </row>
    <row r="853" spans="3:14" x14ac:dyDescent="0.25">
      <c r="C853" s="305"/>
      <c r="D853" s="305"/>
      <c r="E853" s="305"/>
      <c r="F853" s="305"/>
      <c r="G853" s="305"/>
      <c r="H853" s="305"/>
      <c r="I853" s="305"/>
      <c r="J853" s="305"/>
      <c r="K853" s="305"/>
      <c r="L853" s="305"/>
      <c r="M853" s="305"/>
      <c r="N853" s="305"/>
    </row>
    <row r="854" spans="3:14" x14ac:dyDescent="0.25">
      <c r="C854" s="305"/>
      <c r="D854" s="305"/>
      <c r="E854" s="305"/>
      <c r="F854" s="305"/>
      <c r="G854" s="305"/>
      <c r="H854" s="305"/>
      <c r="I854" s="305"/>
      <c r="J854" s="305"/>
      <c r="K854" s="305"/>
      <c r="L854" s="305"/>
      <c r="M854" s="305"/>
      <c r="N854" s="305"/>
    </row>
    <row r="855" spans="3:14" x14ac:dyDescent="0.25">
      <c r="C855" s="305"/>
      <c r="D855" s="305"/>
      <c r="E855" s="305"/>
      <c r="F855" s="305"/>
      <c r="G855" s="305"/>
      <c r="H855" s="305"/>
      <c r="I855" s="305"/>
      <c r="J855" s="305"/>
      <c r="K855" s="305"/>
      <c r="L855" s="305"/>
      <c r="M855" s="305"/>
      <c r="N855" s="305"/>
    </row>
    <row r="856" spans="3:14" x14ac:dyDescent="0.25">
      <c r="C856" s="305"/>
      <c r="D856" s="305"/>
      <c r="E856" s="305"/>
      <c r="F856" s="305"/>
      <c r="G856" s="305"/>
      <c r="H856" s="305"/>
      <c r="I856" s="305"/>
      <c r="J856" s="305"/>
      <c r="K856" s="305"/>
      <c r="L856" s="305"/>
      <c r="M856" s="305"/>
      <c r="N856" s="305"/>
    </row>
    <row r="857" spans="3:14" x14ac:dyDescent="0.25">
      <c r="C857" s="305"/>
      <c r="D857" s="305"/>
      <c r="E857" s="305"/>
      <c r="F857" s="305"/>
      <c r="G857" s="305"/>
      <c r="H857" s="305"/>
      <c r="I857" s="305"/>
      <c r="J857" s="305"/>
      <c r="K857" s="305"/>
      <c r="L857" s="305"/>
      <c r="M857" s="305"/>
      <c r="N857" s="305"/>
    </row>
    <row r="858" spans="3:14" x14ac:dyDescent="0.25">
      <c r="C858" s="305"/>
      <c r="D858" s="305"/>
      <c r="E858" s="305"/>
      <c r="F858" s="305"/>
      <c r="G858" s="305"/>
      <c r="H858" s="305"/>
      <c r="I858" s="305"/>
      <c r="J858" s="305"/>
      <c r="K858" s="305"/>
      <c r="L858" s="305"/>
      <c r="M858" s="305"/>
      <c r="N858" s="305"/>
    </row>
    <row r="859" spans="3:14" x14ac:dyDescent="0.25">
      <c r="C859" s="305"/>
      <c r="D859" s="305"/>
      <c r="E859" s="305"/>
      <c r="F859" s="305"/>
      <c r="G859" s="305"/>
      <c r="H859" s="305"/>
      <c r="I859" s="305"/>
      <c r="J859" s="305"/>
      <c r="K859" s="305"/>
      <c r="L859" s="305"/>
      <c r="M859" s="305"/>
      <c r="N859" s="305"/>
    </row>
    <row r="860" spans="3:14" x14ac:dyDescent="0.25">
      <c r="C860" s="305"/>
      <c r="D860" s="305"/>
      <c r="E860" s="305"/>
      <c r="F860" s="305"/>
      <c r="G860" s="305"/>
      <c r="H860" s="305"/>
      <c r="I860" s="305"/>
      <c r="J860" s="305"/>
      <c r="K860" s="305"/>
      <c r="L860" s="305"/>
      <c r="M860" s="305"/>
      <c r="N860" s="305"/>
    </row>
    <row r="861" spans="3:14" x14ac:dyDescent="0.25">
      <c r="C861" s="305"/>
      <c r="D861" s="305"/>
      <c r="E861" s="305"/>
      <c r="F861" s="305"/>
      <c r="G861" s="305"/>
      <c r="H861" s="305"/>
      <c r="I861" s="305"/>
      <c r="J861" s="305"/>
      <c r="K861" s="305"/>
      <c r="L861" s="305"/>
      <c r="M861" s="305"/>
      <c r="N861" s="305"/>
    </row>
    <row r="862" spans="3:14" x14ac:dyDescent="0.25">
      <c r="C862" s="305"/>
      <c r="D862" s="305"/>
      <c r="E862" s="305"/>
      <c r="F862" s="305"/>
      <c r="G862" s="305"/>
      <c r="H862" s="305"/>
      <c r="I862" s="305"/>
      <c r="J862" s="305"/>
      <c r="K862" s="305"/>
      <c r="L862" s="305"/>
      <c r="M862" s="305"/>
      <c r="N862" s="305"/>
    </row>
    <row r="863" spans="3:14" x14ac:dyDescent="0.25">
      <c r="C863" s="305"/>
      <c r="D863" s="305"/>
      <c r="E863" s="305"/>
      <c r="F863" s="305"/>
      <c r="G863" s="305"/>
      <c r="H863" s="305"/>
      <c r="I863" s="305"/>
      <c r="J863" s="305"/>
      <c r="K863" s="305"/>
      <c r="L863" s="305"/>
      <c r="M863" s="305"/>
      <c r="N863" s="305"/>
    </row>
    <row r="864" spans="3:14" x14ac:dyDescent="0.25">
      <c r="C864" s="305"/>
      <c r="D864" s="305"/>
      <c r="E864" s="305"/>
      <c r="F864" s="305"/>
      <c r="G864" s="305"/>
      <c r="H864" s="305"/>
      <c r="I864" s="305"/>
      <c r="J864" s="305"/>
      <c r="K864" s="305"/>
      <c r="L864" s="305"/>
      <c r="M864" s="305"/>
      <c r="N864" s="305"/>
    </row>
    <row r="865" spans="3:14" x14ac:dyDescent="0.25">
      <c r="C865" s="305"/>
      <c r="D865" s="305"/>
      <c r="E865" s="305"/>
      <c r="F865" s="305"/>
      <c r="G865" s="305"/>
      <c r="H865" s="305"/>
      <c r="I865" s="305"/>
      <c r="J865" s="305"/>
      <c r="K865" s="305"/>
      <c r="L865" s="305"/>
      <c r="M865" s="305"/>
      <c r="N865" s="305"/>
    </row>
    <row r="866" spans="3:14" x14ac:dyDescent="0.25">
      <c r="C866" s="305"/>
      <c r="D866" s="305"/>
      <c r="E866" s="305"/>
      <c r="F866" s="305"/>
      <c r="G866" s="305"/>
      <c r="H866" s="305"/>
      <c r="I866" s="305"/>
      <c r="J866" s="305"/>
      <c r="K866" s="305"/>
      <c r="L866" s="305"/>
      <c r="M866" s="305"/>
      <c r="N866" s="305"/>
    </row>
    <row r="867" spans="3:14" x14ac:dyDescent="0.25">
      <c r="C867" s="305"/>
      <c r="D867" s="305"/>
      <c r="E867" s="305"/>
      <c r="F867" s="305"/>
      <c r="G867" s="305"/>
      <c r="H867" s="305"/>
      <c r="I867" s="305"/>
      <c r="J867" s="305"/>
      <c r="K867" s="305"/>
      <c r="L867" s="305"/>
      <c r="M867" s="305"/>
      <c r="N867" s="305"/>
    </row>
    <row r="868" spans="3:14" x14ac:dyDescent="0.25">
      <c r="C868" s="305"/>
      <c r="D868" s="305"/>
      <c r="E868" s="305"/>
      <c r="F868" s="305"/>
      <c r="G868" s="305"/>
      <c r="H868" s="305"/>
      <c r="I868" s="305"/>
      <c r="J868" s="305"/>
      <c r="K868" s="305"/>
      <c r="L868" s="305"/>
      <c r="M868" s="305"/>
      <c r="N868" s="305"/>
    </row>
    <row r="869" spans="3:14" x14ac:dyDescent="0.25">
      <c r="C869" s="305"/>
      <c r="D869" s="305"/>
      <c r="E869" s="305"/>
      <c r="F869" s="305"/>
      <c r="G869" s="305"/>
      <c r="H869" s="305"/>
      <c r="I869" s="305"/>
      <c r="J869" s="305"/>
      <c r="K869" s="305"/>
      <c r="L869" s="305"/>
      <c r="M869" s="305"/>
      <c r="N869" s="305"/>
    </row>
    <row r="870" spans="3:14" x14ac:dyDescent="0.25">
      <c r="C870" s="305"/>
      <c r="D870" s="305"/>
      <c r="E870" s="305"/>
      <c r="F870" s="305"/>
      <c r="G870" s="305"/>
      <c r="H870" s="305"/>
      <c r="I870" s="305"/>
      <c r="J870" s="305"/>
      <c r="K870" s="305"/>
      <c r="L870" s="305"/>
      <c r="M870" s="305"/>
      <c r="N870" s="305"/>
    </row>
    <row r="871" spans="3:14" x14ac:dyDescent="0.25">
      <c r="C871" s="305"/>
      <c r="D871" s="305"/>
      <c r="E871" s="305"/>
      <c r="F871" s="305"/>
      <c r="G871" s="305"/>
      <c r="H871" s="305"/>
      <c r="I871" s="305"/>
      <c r="J871" s="305"/>
      <c r="K871" s="305"/>
      <c r="L871" s="305"/>
      <c r="M871" s="305"/>
      <c r="N871" s="305"/>
    </row>
    <row r="872" spans="3:14" x14ac:dyDescent="0.25">
      <c r="C872" s="305"/>
      <c r="D872" s="305"/>
      <c r="E872" s="305"/>
      <c r="F872" s="305"/>
      <c r="G872" s="305"/>
      <c r="H872" s="305"/>
      <c r="I872" s="305"/>
      <c r="J872" s="305"/>
      <c r="K872" s="305"/>
      <c r="L872" s="305"/>
      <c r="M872" s="305"/>
      <c r="N872" s="305"/>
    </row>
    <row r="873" spans="3:14" x14ac:dyDescent="0.25">
      <c r="C873" s="305"/>
      <c r="D873" s="305"/>
      <c r="E873" s="305"/>
      <c r="F873" s="305"/>
      <c r="G873" s="305"/>
      <c r="H873" s="305"/>
      <c r="I873" s="305"/>
      <c r="J873" s="305"/>
      <c r="K873" s="305"/>
      <c r="L873" s="305"/>
      <c r="M873" s="305"/>
      <c r="N873" s="305"/>
    </row>
    <row r="874" spans="3:14" x14ac:dyDescent="0.25">
      <c r="C874" s="305"/>
      <c r="D874" s="305"/>
      <c r="E874" s="305"/>
      <c r="F874" s="305"/>
      <c r="G874" s="305"/>
      <c r="H874" s="305"/>
      <c r="I874" s="305"/>
      <c r="J874" s="305"/>
      <c r="K874" s="305"/>
      <c r="L874" s="305"/>
      <c r="M874" s="305"/>
      <c r="N874" s="305"/>
    </row>
    <row r="875" spans="3:14" x14ac:dyDescent="0.25">
      <c r="C875" s="305"/>
      <c r="D875" s="305"/>
      <c r="E875" s="305"/>
      <c r="F875" s="305"/>
      <c r="G875" s="305"/>
      <c r="H875" s="305"/>
      <c r="I875" s="305"/>
      <c r="J875" s="305"/>
      <c r="K875" s="305"/>
      <c r="L875" s="305"/>
      <c r="M875" s="305"/>
      <c r="N875" s="305"/>
    </row>
    <row r="876" spans="3:14" x14ac:dyDescent="0.25">
      <c r="C876" s="305"/>
      <c r="D876" s="305"/>
      <c r="E876" s="305"/>
      <c r="F876" s="305"/>
      <c r="G876" s="305"/>
      <c r="H876" s="305"/>
      <c r="I876" s="305"/>
      <c r="J876" s="305"/>
      <c r="K876" s="305"/>
      <c r="L876" s="305"/>
      <c r="M876" s="305"/>
      <c r="N876" s="305"/>
    </row>
    <row r="877" spans="3:14" x14ac:dyDescent="0.25">
      <c r="C877" s="305"/>
      <c r="D877" s="305"/>
      <c r="E877" s="305"/>
      <c r="F877" s="305"/>
      <c r="G877" s="305"/>
      <c r="H877" s="305"/>
      <c r="I877" s="305"/>
      <c r="J877" s="305"/>
      <c r="K877" s="305"/>
      <c r="L877" s="305"/>
      <c r="M877" s="305"/>
      <c r="N877" s="305"/>
    </row>
    <row r="878" spans="3:14" x14ac:dyDescent="0.25">
      <c r="C878" s="305"/>
      <c r="D878" s="305"/>
      <c r="E878" s="305"/>
      <c r="F878" s="305"/>
      <c r="G878" s="305"/>
      <c r="H878" s="305"/>
      <c r="I878" s="305"/>
      <c r="J878" s="305"/>
      <c r="K878" s="305"/>
      <c r="L878" s="305"/>
      <c r="M878" s="305"/>
      <c r="N878" s="305"/>
    </row>
    <row r="879" spans="3:14" x14ac:dyDescent="0.25">
      <c r="C879" s="305"/>
      <c r="D879" s="305"/>
      <c r="E879" s="305"/>
      <c r="F879" s="305"/>
      <c r="G879" s="305"/>
      <c r="H879" s="305"/>
      <c r="I879" s="305"/>
      <c r="J879" s="305"/>
      <c r="K879" s="305"/>
      <c r="L879" s="305"/>
      <c r="M879" s="305"/>
      <c r="N879" s="305"/>
    </row>
    <row r="880" spans="3:14" x14ac:dyDescent="0.25">
      <c r="C880" s="305"/>
      <c r="D880" s="305"/>
      <c r="E880" s="305"/>
      <c r="F880" s="305"/>
      <c r="G880" s="305"/>
      <c r="H880" s="305"/>
      <c r="I880" s="305"/>
      <c r="J880" s="305"/>
      <c r="K880" s="305"/>
      <c r="L880" s="305"/>
      <c r="M880" s="305"/>
      <c r="N880" s="305"/>
    </row>
    <row r="881" spans="3:14" x14ac:dyDescent="0.25">
      <c r="C881" s="305"/>
      <c r="D881" s="305"/>
      <c r="E881" s="305"/>
      <c r="F881" s="305"/>
      <c r="G881" s="305"/>
      <c r="H881" s="305"/>
      <c r="I881" s="305"/>
      <c r="J881" s="305"/>
      <c r="K881" s="305"/>
      <c r="L881" s="305"/>
      <c r="M881" s="305"/>
      <c r="N881" s="305"/>
    </row>
    <row r="882" spans="3:14" x14ac:dyDescent="0.25">
      <c r="C882" s="305"/>
      <c r="D882" s="305"/>
      <c r="E882" s="305"/>
      <c r="F882" s="305"/>
      <c r="G882" s="305"/>
      <c r="H882" s="305"/>
      <c r="I882" s="305"/>
      <c r="J882" s="305"/>
      <c r="K882" s="305"/>
      <c r="L882" s="305"/>
      <c r="M882" s="305"/>
      <c r="N882" s="305"/>
    </row>
    <row r="883" spans="3:14" x14ac:dyDescent="0.25">
      <c r="C883" s="305"/>
      <c r="D883" s="305"/>
      <c r="E883" s="305"/>
      <c r="F883" s="305"/>
      <c r="G883" s="305"/>
      <c r="H883" s="305"/>
      <c r="I883" s="305"/>
      <c r="J883" s="305"/>
      <c r="K883" s="305"/>
      <c r="L883" s="305"/>
      <c r="M883" s="305"/>
      <c r="N883" s="305"/>
    </row>
    <row r="884" spans="3:14" x14ac:dyDescent="0.25">
      <c r="C884" s="305"/>
      <c r="D884" s="305"/>
      <c r="E884" s="305"/>
      <c r="F884" s="305"/>
      <c r="G884" s="305"/>
      <c r="H884" s="305"/>
      <c r="I884" s="305"/>
      <c r="J884" s="305"/>
      <c r="K884" s="305"/>
      <c r="L884" s="305"/>
      <c r="M884" s="305"/>
      <c r="N884" s="305"/>
    </row>
    <row r="885" spans="3:14" x14ac:dyDescent="0.25">
      <c r="C885" s="305"/>
      <c r="D885" s="305"/>
      <c r="E885" s="305"/>
      <c r="F885" s="305"/>
      <c r="G885" s="305"/>
      <c r="H885" s="305"/>
      <c r="I885" s="305"/>
      <c r="J885" s="305"/>
      <c r="K885" s="305"/>
      <c r="L885" s="305"/>
      <c r="M885" s="305"/>
      <c r="N885" s="305"/>
    </row>
    <row r="886" spans="3:14" x14ac:dyDescent="0.25">
      <c r="C886" s="305"/>
      <c r="D886" s="305"/>
      <c r="E886" s="305"/>
      <c r="F886" s="305"/>
      <c r="G886" s="305"/>
      <c r="H886" s="305"/>
      <c r="I886" s="305"/>
      <c r="J886" s="305"/>
      <c r="K886" s="305"/>
      <c r="L886" s="305"/>
      <c r="M886" s="305"/>
      <c r="N886" s="305"/>
    </row>
    <row r="887" spans="3:14" x14ac:dyDescent="0.25">
      <c r="C887" s="305"/>
      <c r="D887" s="305"/>
      <c r="E887" s="305"/>
      <c r="F887" s="305"/>
      <c r="G887" s="305"/>
      <c r="H887" s="305"/>
      <c r="I887" s="305"/>
      <c r="J887" s="305"/>
      <c r="K887" s="305"/>
      <c r="L887" s="305"/>
      <c r="M887" s="305"/>
      <c r="N887" s="305"/>
    </row>
    <row r="888" spans="3:14" x14ac:dyDescent="0.25">
      <c r="C888" s="305"/>
      <c r="D888" s="305"/>
      <c r="E888" s="305"/>
      <c r="F888" s="305"/>
      <c r="G888" s="305"/>
      <c r="H888" s="305"/>
      <c r="I888" s="305"/>
      <c r="J888" s="305"/>
      <c r="K888" s="305"/>
      <c r="L888" s="305"/>
      <c r="M888" s="305"/>
      <c r="N888" s="305"/>
    </row>
    <row r="889" spans="3:14" x14ac:dyDescent="0.25">
      <c r="C889" s="305"/>
      <c r="D889" s="305"/>
      <c r="E889" s="305"/>
      <c r="F889" s="305"/>
      <c r="G889" s="305"/>
      <c r="H889" s="305"/>
      <c r="I889" s="305"/>
      <c r="J889" s="305"/>
      <c r="K889" s="305"/>
      <c r="L889" s="305"/>
      <c r="M889" s="305"/>
      <c r="N889" s="305"/>
    </row>
    <row r="890" spans="3:14" x14ac:dyDescent="0.25">
      <c r="C890" s="305"/>
      <c r="D890" s="305"/>
      <c r="E890" s="305"/>
      <c r="F890" s="305"/>
      <c r="G890" s="305"/>
      <c r="H890" s="305"/>
      <c r="I890" s="305"/>
      <c r="J890" s="305"/>
      <c r="K890" s="305"/>
      <c r="L890" s="305"/>
      <c r="M890" s="305"/>
      <c r="N890" s="305"/>
    </row>
    <row r="891" spans="3:14" x14ac:dyDescent="0.25">
      <c r="C891" s="305"/>
      <c r="D891" s="305"/>
      <c r="E891" s="305"/>
      <c r="F891" s="305"/>
      <c r="G891" s="305"/>
      <c r="H891" s="305"/>
      <c r="I891" s="305"/>
      <c r="J891" s="305"/>
      <c r="K891" s="305"/>
      <c r="L891" s="305"/>
      <c r="M891" s="305"/>
      <c r="N891" s="305"/>
    </row>
    <row r="892" spans="3:14" x14ac:dyDescent="0.25">
      <c r="C892" s="305"/>
      <c r="D892" s="305"/>
      <c r="E892" s="305"/>
      <c r="F892" s="305"/>
      <c r="G892" s="305"/>
      <c r="H892" s="305"/>
      <c r="I892" s="305"/>
      <c r="J892" s="305"/>
      <c r="K892" s="305"/>
      <c r="L892" s="305"/>
      <c r="M892" s="305"/>
      <c r="N892" s="305"/>
    </row>
    <row r="893" spans="3:14" x14ac:dyDescent="0.25">
      <c r="C893" s="305"/>
      <c r="D893" s="305"/>
      <c r="E893" s="305"/>
      <c r="F893" s="305"/>
      <c r="G893" s="305"/>
      <c r="H893" s="305"/>
      <c r="I893" s="305"/>
      <c r="J893" s="305"/>
      <c r="K893" s="305"/>
      <c r="L893" s="305"/>
      <c r="M893" s="305"/>
      <c r="N893" s="305"/>
    </row>
    <row r="894" spans="3:14" x14ac:dyDescent="0.25">
      <c r="C894" s="305"/>
      <c r="D894" s="305"/>
      <c r="E894" s="305"/>
      <c r="F894" s="305"/>
      <c r="G894" s="305"/>
      <c r="H894" s="305"/>
      <c r="I894" s="305"/>
      <c r="J894" s="305"/>
      <c r="K894" s="305"/>
      <c r="L894" s="305"/>
      <c r="M894" s="305"/>
      <c r="N894" s="305"/>
    </row>
    <row r="895" spans="3:14" x14ac:dyDescent="0.25">
      <c r="C895" s="305"/>
      <c r="D895" s="305"/>
      <c r="E895" s="305"/>
      <c r="F895" s="305"/>
      <c r="G895" s="305"/>
      <c r="H895" s="305"/>
      <c r="I895" s="305"/>
      <c r="J895" s="305"/>
      <c r="K895" s="305"/>
      <c r="L895" s="305"/>
      <c r="M895" s="305"/>
      <c r="N895" s="305"/>
    </row>
    <row r="896" spans="3:14" x14ac:dyDescent="0.25">
      <c r="C896" s="305"/>
      <c r="D896" s="305"/>
      <c r="E896" s="305"/>
      <c r="F896" s="305"/>
      <c r="G896" s="305"/>
      <c r="H896" s="305"/>
      <c r="I896" s="305"/>
      <c r="J896" s="305"/>
      <c r="K896" s="305"/>
      <c r="L896" s="305"/>
      <c r="M896" s="305"/>
      <c r="N896" s="305"/>
    </row>
    <row r="897" spans="3:14" x14ac:dyDescent="0.25">
      <c r="C897" s="305"/>
      <c r="D897" s="305"/>
      <c r="E897" s="305"/>
      <c r="F897" s="305"/>
      <c r="G897" s="305"/>
      <c r="H897" s="305"/>
      <c r="I897" s="305"/>
      <c r="J897" s="305"/>
      <c r="K897" s="305"/>
      <c r="L897" s="305"/>
      <c r="M897" s="305"/>
      <c r="N897" s="305"/>
    </row>
    <row r="898" spans="3:14" x14ac:dyDescent="0.25">
      <c r="C898" s="305"/>
      <c r="D898" s="305"/>
      <c r="E898" s="305"/>
      <c r="F898" s="305"/>
      <c r="G898" s="305"/>
      <c r="H898" s="305"/>
      <c r="I898" s="305"/>
      <c r="J898" s="305"/>
      <c r="K898" s="305"/>
      <c r="L898" s="305"/>
      <c r="M898" s="305"/>
      <c r="N898" s="305"/>
    </row>
    <row r="899" spans="3:14" x14ac:dyDescent="0.25">
      <c r="C899" s="305"/>
      <c r="D899" s="305"/>
      <c r="E899" s="305"/>
      <c r="F899" s="305"/>
      <c r="G899" s="305"/>
      <c r="H899" s="305"/>
      <c r="I899" s="305"/>
      <c r="J899" s="305"/>
      <c r="K899" s="305"/>
      <c r="L899" s="305"/>
      <c r="M899" s="305"/>
      <c r="N899" s="305"/>
    </row>
    <row r="900" spans="3:14" x14ac:dyDescent="0.25">
      <c r="C900" s="305"/>
      <c r="D900" s="305"/>
      <c r="E900" s="305"/>
      <c r="F900" s="305"/>
      <c r="G900" s="305"/>
      <c r="H900" s="305"/>
      <c r="I900" s="305"/>
      <c r="J900" s="305"/>
      <c r="K900" s="305"/>
      <c r="L900" s="305"/>
      <c r="M900" s="305"/>
      <c r="N900" s="305"/>
    </row>
    <row r="901" spans="3:14" x14ac:dyDescent="0.25">
      <c r="C901" s="305"/>
      <c r="D901" s="305"/>
      <c r="E901" s="305"/>
      <c r="F901" s="305"/>
      <c r="G901" s="305"/>
      <c r="H901" s="305"/>
      <c r="I901" s="305"/>
      <c r="J901" s="305"/>
      <c r="K901" s="305"/>
      <c r="L901" s="305"/>
      <c r="M901" s="305"/>
      <c r="N901" s="305"/>
    </row>
    <row r="902" spans="3:14" x14ac:dyDescent="0.25">
      <c r="C902" s="305"/>
      <c r="D902" s="305"/>
      <c r="E902" s="305"/>
      <c r="F902" s="305"/>
      <c r="G902" s="305"/>
      <c r="H902" s="305"/>
      <c r="I902" s="305"/>
      <c r="J902" s="305"/>
      <c r="K902" s="305"/>
      <c r="L902" s="305"/>
      <c r="M902" s="305"/>
      <c r="N902" s="305"/>
    </row>
    <row r="903" spans="3:14" x14ac:dyDescent="0.25">
      <c r="C903" s="305"/>
      <c r="D903" s="305"/>
      <c r="E903" s="305"/>
      <c r="F903" s="305"/>
      <c r="G903" s="305"/>
      <c r="H903" s="305"/>
      <c r="I903" s="305"/>
      <c r="J903" s="305"/>
      <c r="K903" s="305"/>
      <c r="L903" s="305"/>
      <c r="M903" s="305"/>
      <c r="N903" s="305"/>
    </row>
    <row r="904" spans="3:14" x14ac:dyDescent="0.25">
      <c r="C904" s="305"/>
      <c r="D904" s="305"/>
      <c r="E904" s="305"/>
      <c r="F904" s="305"/>
      <c r="G904" s="305"/>
      <c r="H904" s="305"/>
      <c r="I904" s="305"/>
      <c r="J904" s="305"/>
      <c r="K904" s="305"/>
      <c r="L904" s="305"/>
      <c r="M904" s="305"/>
      <c r="N904" s="305"/>
    </row>
    <row r="905" spans="3:14" x14ac:dyDescent="0.25">
      <c r="C905" s="305"/>
      <c r="D905" s="305"/>
      <c r="E905" s="305"/>
      <c r="F905" s="305"/>
      <c r="G905" s="305"/>
      <c r="H905" s="305"/>
      <c r="I905" s="305"/>
      <c r="J905" s="305"/>
      <c r="K905" s="305"/>
      <c r="L905" s="305"/>
      <c r="M905" s="305"/>
      <c r="N905" s="305"/>
    </row>
    <row r="906" spans="3:14" x14ac:dyDescent="0.25">
      <c r="C906" s="305"/>
      <c r="D906" s="305"/>
      <c r="E906" s="305"/>
      <c r="F906" s="305"/>
      <c r="G906" s="305"/>
      <c r="H906" s="305"/>
      <c r="I906" s="305"/>
      <c r="J906" s="305"/>
      <c r="K906" s="305"/>
      <c r="L906" s="305"/>
      <c r="M906" s="305"/>
      <c r="N906" s="305"/>
    </row>
    <row r="907" spans="3:14" x14ac:dyDescent="0.25">
      <c r="C907" s="305"/>
      <c r="D907" s="305"/>
      <c r="E907" s="305"/>
      <c r="F907" s="305"/>
      <c r="G907" s="305"/>
      <c r="H907" s="305"/>
      <c r="I907" s="305"/>
      <c r="J907" s="305"/>
      <c r="K907" s="305"/>
      <c r="L907" s="305"/>
      <c r="M907" s="305"/>
      <c r="N907" s="305"/>
    </row>
    <row r="908" spans="3:14" x14ac:dyDescent="0.25">
      <c r="C908" s="305"/>
      <c r="D908" s="305"/>
      <c r="E908" s="305"/>
      <c r="F908" s="305"/>
      <c r="G908" s="305"/>
      <c r="H908" s="305"/>
      <c r="I908" s="305"/>
      <c r="J908" s="305"/>
      <c r="K908" s="305"/>
      <c r="L908" s="305"/>
      <c r="M908" s="305"/>
      <c r="N908" s="305"/>
    </row>
    <row r="909" spans="3:14" x14ac:dyDescent="0.25">
      <c r="C909" s="305"/>
      <c r="D909" s="305"/>
      <c r="E909" s="305"/>
      <c r="F909" s="305"/>
      <c r="G909" s="305"/>
      <c r="H909" s="305"/>
      <c r="I909" s="305"/>
      <c r="J909" s="305"/>
      <c r="K909" s="305"/>
      <c r="L909" s="305"/>
      <c r="M909" s="305"/>
      <c r="N909" s="305"/>
    </row>
    <row r="910" spans="3:14" x14ac:dyDescent="0.25">
      <c r="C910" s="305"/>
      <c r="D910" s="305"/>
      <c r="E910" s="305"/>
      <c r="F910" s="305"/>
      <c r="G910" s="305"/>
      <c r="H910" s="305"/>
      <c r="I910" s="305"/>
      <c r="J910" s="305"/>
      <c r="K910" s="305"/>
      <c r="L910" s="305"/>
      <c r="M910" s="305"/>
      <c r="N910" s="305"/>
    </row>
    <row r="911" spans="3:14" x14ac:dyDescent="0.25">
      <c r="C911" s="305"/>
      <c r="D911" s="305"/>
      <c r="E911" s="305"/>
      <c r="F911" s="305"/>
      <c r="G911" s="305"/>
      <c r="H911" s="305"/>
      <c r="I911" s="305"/>
      <c r="J911" s="305"/>
      <c r="K911" s="305"/>
      <c r="L911" s="305"/>
      <c r="M911" s="305"/>
      <c r="N911" s="305"/>
    </row>
    <row r="912" spans="3:14" x14ac:dyDescent="0.25">
      <c r="C912" s="305"/>
      <c r="D912" s="305"/>
      <c r="E912" s="305"/>
      <c r="F912" s="305"/>
      <c r="G912" s="305"/>
      <c r="H912" s="305"/>
      <c r="I912" s="305"/>
      <c r="J912" s="305"/>
      <c r="K912" s="305"/>
      <c r="L912" s="305"/>
      <c r="M912" s="305"/>
      <c r="N912" s="305"/>
    </row>
    <row r="913" spans="3:14" x14ac:dyDescent="0.25">
      <c r="C913" s="305"/>
      <c r="D913" s="305"/>
      <c r="E913" s="305"/>
      <c r="F913" s="305"/>
      <c r="G913" s="305"/>
      <c r="H913" s="305"/>
      <c r="I913" s="305"/>
      <c r="J913" s="305"/>
      <c r="K913" s="305"/>
      <c r="L913" s="305"/>
      <c r="M913" s="305"/>
      <c r="N913" s="305"/>
    </row>
    <row r="914" spans="3:14" x14ac:dyDescent="0.25">
      <c r="C914" s="305"/>
      <c r="D914" s="305"/>
      <c r="E914" s="305"/>
      <c r="F914" s="305"/>
      <c r="G914" s="305"/>
      <c r="H914" s="305"/>
      <c r="I914" s="305"/>
      <c r="J914" s="305"/>
      <c r="K914" s="305"/>
      <c r="L914" s="305"/>
      <c r="M914" s="305"/>
      <c r="N914" s="305"/>
    </row>
    <row r="915" spans="3:14" x14ac:dyDescent="0.25">
      <c r="C915" s="305"/>
      <c r="D915" s="305"/>
      <c r="E915" s="305"/>
      <c r="F915" s="305"/>
      <c r="G915" s="305"/>
      <c r="H915" s="305"/>
      <c r="I915" s="305"/>
      <c r="J915" s="305"/>
      <c r="K915" s="305"/>
      <c r="L915" s="305"/>
      <c r="M915" s="305"/>
      <c r="N915" s="305"/>
    </row>
    <row r="916" spans="3:14" x14ac:dyDescent="0.25">
      <c r="C916" s="305"/>
      <c r="D916" s="305"/>
      <c r="E916" s="305"/>
      <c r="F916" s="305"/>
      <c r="G916" s="305"/>
      <c r="H916" s="305"/>
      <c r="I916" s="305"/>
      <c r="J916" s="305"/>
      <c r="K916" s="305"/>
      <c r="L916" s="305"/>
      <c r="M916" s="305"/>
      <c r="N916" s="305"/>
    </row>
    <row r="917" spans="3:14" x14ac:dyDescent="0.25">
      <c r="C917" s="305"/>
      <c r="D917" s="305"/>
      <c r="E917" s="305"/>
      <c r="F917" s="305"/>
      <c r="G917" s="305"/>
      <c r="H917" s="305"/>
      <c r="I917" s="305"/>
      <c r="J917" s="305"/>
      <c r="K917" s="305"/>
      <c r="L917" s="305"/>
      <c r="M917" s="305"/>
      <c r="N917" s="305"/>
    </row>
    <row r="918" spans="3:14" x14ac:dyDescent="0.25">
      <c r="C918" s="305"/>
      <c r="D918" s="305"/>
      <c r="E918" s="305"/>
      <c r="F918" s="305"/>
      <c r="G918" s="305"/>
      <c r="H918" s="305"/>
      <c r="I918" s="305"/>
      <c r="J918" s="305"/>
      <c r="K918" s="305"/>
      <c r="L918" s="305"/>
      <c r="M918" s="305"/>
      <c r="N918" s="305"/>
    </row>
    <row r="919" spans="3:14" x14ac:dyDescent="0.25">
      <c r="C919" s="305"/>
      <c r="D919" s="305"/>
      <c r="E919" s="305"/>
      <c r="F919" s="305"/>
      <c r="G919" s="305"/>
      <c r="H919" s="305"/>
      <c r="I919" s="305"/>
      <c r="J919" s="305"/>
      <c r="K919" s="305"/>
      <c r="L919" s="305"/>
      <c r="M919" s="305"/>
      <c r="N919" s="305"/>
    </row>
    <row r="920" spans="3:14" x14ac:dyDescent="0.25">
      <c r="C920" s="305"/>
      <c r="D920" s="305"/>
      <c r="E920" s="305"/>
      <c r="F920" s="305"/>
      <c r="G920" s="305"/>
      <c r="H920" s="305"/>
      <c r="I920" s="305"/>
      <c r="J920" s="305"/>
      <c r="K920" s="305"/>
      <c r="L920" s="305"/>
      <c r="M920" s="305"/>
      <c r="N920" s="305"/>
    </row>
    <row r="921" spans="3:14" x14ac:dyDescent="0.25">
      <c r="C921" s="305"/>
      <c r="D921" s="305"/>
      <c r="E921" s="305"/>
      <c r="F921" s="305"/>
      <c r="G921" s="305"/>
      <c r="H921" s="305"/>
      <c r="I921" s="305"/>
      <c r="J921" s="305"/>
      <c r="K921" s="305"/>
      <c r="L921" s="305"/>
      <c r="M921" s="305"/>
      <c r="N921" s="305"/>
    </row>
    <row r="922" spans="3:14" x14ac:dyDescent="0.25">
      <c r="C922" s="305"/>
      <c r="D922" s="305"/>
      <c r="E922" s="305"/>
      <c r="F922" s="305"/>
      <c r="G922" s="305"/>
      <c r="H922" s="305"/>
      <c r="I922" s="305"/>
      <c r="J922" s="305"/>
      <c r="K922" s="305"/>
      <c r="L922" s="305"/>
      <c r="M922" s="305"/>
      <c r="N922" s="305"/>
    </row>
    <row r="923" spans="3:14" x14ac:dyDescent="0.25">
      <c r="C923" s="305"/>
      <c r="D923" s="305"/>
      <c r="E923" s="305"/>
      <c r="F923" s="305"/>
      <c r="G923" s="305"/>
      <c r="H923" s="305"/>
      <c r="I923" s="305"/>
      <c r="J923" s="305"/>
      <c r="K923" s="305"/>
      <c r="L923" s="305"/>
      <c r="M923" s="305"/>
      <c r="N923" s="305"/>
    </row>
    <row r="924" spans="3:14" x14ac:dyDescent="0.25">
      <c r="C924" s="305"/>
      <c r="D924" s="305"/>
      <c r="E924" s="305"/>
      <c r="F924" s="305"/>
      <c r="G924" s="305"/>
      <c r="H924" s="305"/>
      <c r="I924" s="305"/>
      <c r="J924" s="305"/>
      <c r="K924" s="305"/>
      <c r="L924" s="305"/>
      <c r="M924" s="305"/>
      <c r="N924" s="305"/>
    </row>
    <row r="925" spans="3:14" x14ac:dyDescent="0.25">
      <c r="C925" s="305"/>
      <c r="D925" s="305"/>
      <c r="E925" s="305"/>
      <c r="F925" s="305"/>
      <c r="G925" s="305"/>
      <c r="H925" s="305"/>
      <c r="I925" s="305"/>
      <c r="J925" s="305"/>
      <c r="K925" s="305"/>
      <c r="L925" s="305"/>
      <c r="M925" s="305"/>
      <c r="N925" s="305"/>
    </row>
    <row r="926" spans="3:14" x14ac:dyDescent="0.25">
      <c r="C926" s="305"/>
      <c r="D926" s="305"/>
      <c r="E926" s="305"/>
      <c r="F926" s="305"/>
      <c r="G926" s="305"/>
      <c r="H926" s="305"/>
      <c r="I926" s="305"/>
      <c r="J926" s="305"/>
      <c r="K926" s="305"/>
      <c r="L926" s="305"/>
      <c r="M926" s="305"/>
      <c r="N926" s="305"/>
    </row>
    <row r="927" spans="3:14" x14ac:dyDescent="0.25">
      <c r="C927" s="305"/>
      <c r="D927" s="305"/>
      <c r="E927" s="305"/>
      <c r="F927" s="305"/>
      <c r="G927" s="305"/>
      <c r="H927" s="305"/>
      <c r="I927" s="305"/>
      <c r="J927" s="305"/>
      <c r="K927" s="305"/>
      <c r="L927" s="305"/>
      <c r="M927" s="305"/>
      <c r="N927" s="305"/>
    </row>
    <row r="928" spans="3:14" x14ac:dyDescent="0.25">
      <c r="C928" s="305"/>
      <c r="D928" s="305"/>
      <c r="E928" s="305"/>
      <c r="F928" s="305"/>
      <c r="G928" s="305"/>
      <c r="H928" s="305"/>
      <c r="I928" s="305"/>
      <c r="J928" s="305"/>
      <c r="K928" s="305"/>
      <c r="L928" s="305"/>
      <c r="M928" s="305"/>
      <c r="N928" s="305"/>
    </row>
    <row r="929" spans="3:14" x14ac:dyDescent="0.25">
      <c r="C929" s="305"/>
      <c r="D929" s="305"/>
      <c r="E929" s="305"/>
      <c r="F929" s="305"/>
      <c r="G929" s="305"/>
      <c r="H929" s="305"/>
      <c r="I929" s="305"/>
      <c r="J929" s="305"/>
      <c r="K929" s="305"/>
      <c r="L929" s="305"/>
      <c r="M929" s="305"/>
      <c r="N929" s="305"/>
    </row>
    <row r="930" spans="3:14" x14ac:dyDescent="0.25">
      <c r="C930" s="305"/>
      <c r="D930" s="305"/>
      <c r="E930" s="305"/>
      <c r="F930" s="305"/>
      <c r="G930" s="305"/>
      <c r="H930" s="305"/>
      <c r="I930" s="305"/>
      <c r="J930" s="305"/>
      <c r="K930" s="305"/>
      <c r="L930" s="305"/>
      <c r="M930" s="305"/>
      <c r="N930" s="305"/>
    </row>
    <row r="931" spans="3:14" x14ac:dyDescent="0.25">
      <c r="C931" s="305"/>
      <c r="D931" s="305"/>
      <c r="E931" s="305"/>
      <c r="F931" s="305"/>
      <c r="G931" s="305"/>
      <c r="H931" s="305"/>
      <c r="I931" s="305"/>
      <c r="J931" s="305"/>
      <c r="K931" s="305"/>
      <c r="L931" s="305"/>
      <c r="M931" s="305"/>
      <c r="N931" s="305"/>
    </row>
    <row r="932" spans="3:14" x14ac:dyDescent="0.25">
      <c r="C932" s="305"/>
      <c r="D932" s="305"/>
      <c r="E932" s="305"/>
      <c r="F932" s="305"/>
      <c r="G932" s="305"/>
      <c r="H932" s="305"/>
      <c r="I932" s="305"/>
      <c r="J932" s="305"/>
      <c r="K932" s="305"/>
      <c r="L932" s="305"/>
      <c r="M932" s="305"/>
      <c r="N932" s="305"/>
    </row>
    <row r="933" spans="3:14" x14ac:dyDescent="0.25">
      <c r="C933" s="305"/>
      <c r="D933" s="305"/>
      <c r="E933" s="305"/>
      <c r="F933" s="305"/>
      <c r="G933" s="305"/>
      <c r="H933" s="305"/>
      <c r="I933" s="305"/>
      <c r="J933" s="305"/>
      <c r="K933" s="305"/>
      <c r="L933" s="305"/>
      <c r="M933" s="305"/>
      <c r="N933" s="305"/>
    </row>
    <row r="934" spans="3:14" x14ac:dyDescent="0.25">
      <c r="C934" s="305"/>
      <c r="D934" s="305"/>
      <c r="E934" s="305"/>
      <c r="F934" s="305"/>
      <c r="G934" s="305"/>
      <c r="H934" s="305"/>
      <c r="I934" s="305"/>
      <c r="J934" s="305"/>
      <c r="K934" s="305"/>
      <c r="L934" s="305"/>
      <c r="M934" s="305"/>
      <c r="N934" s="305"/>
    </row>
    <row r="935" spans="3:14" x14ac:dyDescent="0.25">
      <c r="C935" s="305"/>
      <c r="D935" s="305"/>
      <c r="E935" s="305"/>
      <c r="F935" s="305"/>
      <c r="G935" s="305"/>
      <c r="H935" s="305"/>
      <c r="I935" s="305"/>
      <c r="J935" s="305"/>
      <c r="K935" s="305"/>
      <c r="L935" s="305"/>
      <c r="M935" s="305"/>
      <c r="N935" s="305"/>
    </row>
    <row r="936" spans="3:14" x14ac:dyDescent="0.25">
      <c r="C936" s="305"/>
      <c r="D936" s="305"/>
      <c r="E936" s="305"/>
      <c r="F936" s="305"/>
      <c r="G936" s="305"/>
      <c r="H936" s="305"/>
      <c r="I936" s="305"/>
      <c r="J936" s="305"/>
      <c r="K936" s="305"/>
      <c r="L936" s="305"/>
      <c r="M936" s="305"/>
      <c r="N936" s="305"/>
    </row>
    <row r="937" spans="3:14" x14ac:dyDescent="0.25">
      <c r="C937" s="305"/>
      <c r="D937" s="305"/>
      <c r="E937" s="305"/>
      <c r="F937" s="305"/>
      <c r="G937" s="305"/>
      <c r="H937" s="305"/>
      <c r="I937" s="305"/>
      <c r="J937" s="305"/>
      <c r="K937" s="305"/>
      <c r="L937" s="305"/>
      <c r="M937" s="305"/>
      <c r="N937" s="305"/>
    </row>
    <row r="938" spans="3:14" x14ac:dyDescent="0.25">
      <c r="C938" s="305"/>
      <c r="D938" s="305"/>
      <c r="E938" s="305"/>
      <c r="F938" s="305"/>
      <c r="G938" s="305"/>
      <c r="H938" s="305"/>
      <c r="I938" s="305"/>
      <c r="J938" s="305"/>
      <c r="K938" s="305"/>
      <c r="L938" s="305"/>
      <c r="M938" s="305"/>
      <c r="N938" s="305"/>
    </row>
    <row r="939" spans="3:14" x14ac:dyDescent="0.25">
      <c r="C939" s="305"/>
      <c r="D939" s="305"/>
      <c r="E939" s="305"/>
      <c r="F939" s="305"/>
      <c r="G939" s="305"/>
      <c r="H939" s="305"/>
      <c r="I939" s="305"/>
      <c r="J939" s="305"/>
      <c r="K939" s="305"/>
      <c r="L939" s="305"/>
      <c r="M939" s="305"/>
      <c r="N939" s="305"/>
    </row>
    <row r="940" spans="3:14" x14ac:dyDescent="0.25">
      <c r="C940" s="305"/>
      <c r="D940" s="305"/>
      <c r="E940" s="305"/>
      <c r="F940" s="305"/>
      <c r="G940" s="305"/>
      <c r="H940" s="305"/>
      <c r="I940" s="305"/>
      <c r="J940" s="305"/>
      <c r="K940" s="305"/>
      <c r="L940" s="305"/>
      <c r="M940" s="305"/>
      <c r="N940" s="305"/>
    </row>
    <row r="941" spans="3:14" x14ac:dyDescent="0.25">
      <c r="C941" s="305"/>
      <c r="D941" s="305"/>
      <c r="E941" s="305"/>
      <c r="F941" s="305"/>
      <c r="G941" s="305"/>
      <c r="H941" s="305"/>
      <c r="I941" s="305"/>
      <c r="J941" s="305"/>
      <c r="K941" s="305"/>
      <c r="L941" s="305"/>
      <c r="M941" s="305"/>
      <c r="N941" s="305"/>
    </row>
    <row r="942" spans="3:14" x14ac:dyDescent="0.25">
      <c r="C942" s="305"/>
      <c r="D942" s="305"/>
      <c r="E942" s="305"/>
      <c r="F942" s="305"/>
      <c r="G942" s="305"/>
      <c r="H942" s="305"/>
      <c r="I942" s="305"/>
      <c r="J942" s="305"/>
      <c r="K942" s="305"/>
      <c r="L942" s="305"/>
      <c r="M942" s="305"/>
      <c r="N942" s="305"/>
    </row>
    <row r="943" spans="3:14" x14ac:dyDescent="0.25">
      <c r="C943" s="305"/>
      <c r="D943" s="305"/>
      <c r="E943" s="305"/>
      <c r="F943" s="305"/>
      <c r="G943" s="305"/>
      <c r="H943" s="305"/>
      <c r="I943" s="305"/>
      <c r="J943" s="305"/>
      <c r="K943" s="305"/>
      <c r="L943" s="305"/>
      <c r="M943" s="305"/>
      <c r="N943" s="305"/>
    </row>
    <row r="944" spans="3:14" x14ac:dyDescent="0.25">
      <c r="C944" s="305"/>
      <c r="D944" s="305"/>
      <c r="E944" s="305"/>
      <c r="F944" s="305"/>
      <c r="G944" s="305"/>
      <c r="H944" s="305"/>
      <c r="I944" s="305"/>
      <c r="J944" s="305"/>
      <c r="K944" s="305"/>
      <c r="L944" s="305"/>
      <c r="M944" s="305"/>
      <c r="N944" s="305"/>
    </row>
    <row r="945" spans="3:14" x14ac:dyDescent="0.25">
      <c r="C945" s="305"/>
      <c r="D945" s="305"/>
      <c r="E945" s="305"/>
      <c r="F945" s="305"/>
      <c r="G945" s="305"/>
      <c r="H945" s="305"/>
      <c r="I945" s="305"/>
      <c r="J945" s="305"/>
      <c r="K945" s="305"/>
      <c r="L945" s="305"/>
      <c r="M945" s="305"/>
      <c r="N945" s="305"/>
    </row>
    <row r="946" spans="3:14" x14ac:dyDescent="0.25">
      <c r="C946" s="305"/>
      <c r="D946" s="305"/>
      <c r="E946" s="305"/>
      <c r="F946" s="305"/>
      <c r="G946" s="305"/>
      <c r="H946" s="305"/>
      <c r="I946" s="305"/>
      <c r="J946" s="305"/>
      <c r="K946" s="305"/>
      <c r="L946" s="305"/>
      <c r="M946" s="305"/>
      <c r="N946" s="305"/>
    </row>
    <row r="947" spans="3:14" x14ac:dyDescent="0.25">
      <c r="C947" s="305"/>
      <c r="D947" s="305"/>
      <c r="E947" s="305"/>
      <c r="F947" s="305"/>
      <c r="G947" s="305"/>
      <c r="H947" s="305"/>
      <c r="I947" s="305"/>
      <c r="J947" s="305"/>
      <c r="K947" s="305"/>
      <c r="L947" s="305"/>
      <c r="M947" s="305"/>
      <c r="N947" s="305"/>
    </row>
    <row r="948" spans="3:14" x14ac:dyDescent="0.25">
      <c r="C948" s="305"/>
      <c r="D948" s="305"/>
      <c r="E948" s="305"/>
      <c r="F948" s="305"/>
      <c r="G948" s="305"/>
      <c r="H948" s="305"/>
      <c r="I948" s="305"/>
      <c r="J948" s="305"/>
      <c r="K948" s="305"/>
      <c r="L948" s="305"/>
      <c r="M948" s="305"/>
      <c r="N948" s="305"/>
    </row>
    <row r="949" spans="3:14" x14ac:dyDescent="0.25">
      <c r="C949" s="305"/>
      <c r="D949" s="305"/>
      <c r="E949" s="305"/>
      <c r="F949" s="305"/>
      <c r="G949" s="305"/>
      <c r="H949" s="305"/>
      <c r="I949" s="305"/>
      <c r="J949" s="305"/>
      <c r="K949" s="305"/>
      <c r="L949" s="305"/>
      <c r="M949" s="305"/>
      <c r="N949" s="305"/>
    </row>
    <row r="950" spans="3:14" x14ac:dyDescent="0.25">
      <c r="C950" s="305"/>
      <c r="D950" s="305"/>
      <c r="E950" s="305"/>
      <c r="F950" s="305"/>
      <c r="G950" s="305"/>
      <c r="H950" s="305"/>
      <c r="I950" s="305"/>
      <c r="J950" s="305"/>
      <c r="K950" s="305"/>
      <c r="L950" s="305"/>
      <c r="M950" s="305"/>
      <c r="N950" s="305"/>
    </row>
    <row r="951" spans="3:14" x14ac:dyDescent="0.25">
      <c r="C951" s="305"/>
      <c r="D951" s="305"/>
      <c r="E951" s="305"/>
      <c r="F951" s="305"/>
      <c r="G951" s="305"/>
      <c r="H951" s="305"/>
      <c r="I951" s="305"/>
      <c r="J951" s="305"/>
      <c r="K951" s="305"/>
      <c r="L951" s="305"/>
      <c r="M951" s="305"/>
      <c r="N951" s="305"/>
    </row>
    <row r="952" spans="3:14" x14ac:dyDescent="0.25">
      <c r="C952" s="305"/>
      <c r="D952" s="305"/>
      <c r="E952" s="305"/>
      <c r="F952" s="305"/>
      <c r="G952" s="305"/>
      <c r="H952" s="305"/>
      <c r="I952" s="305"/>
      <c r="J952" s="305"/>
      <c r="K952" s="305"/>
      <c r="L952" s="305"/>
      <c r="M952" s="305"/>
      <c r="N952" s="305"/>
    </row>
    <row r="953" spans="3:14" x14ac:dyDescent="0.25">
      <c r="C953" s="305"/>
      <c r="D953" s="305"/>
      <c r="E953" s="305"/>
      <c r="F953" s="305"/>
      <c r="G953" s="305"/>
      <c r="H953" s="305"/>
      <c r="I953" s="305"/>
      <c r="J953" s="305"/>
      <c r="K953" s="305"/>
      <c r="L953" s="305"/>
      <c r="M953" s="305"/>
      <c r="N953" s="305"/>
    </row>
    <row r="954" spans="3:14" x14ac:dyDescent="0.25">
      <c r="C954" s="305"/>
      <c r="D954" s="305"/>
      <c r="E954" s="305"/>
      <c r="F954" s="305"/>
      <c r="G954" s="305"/>
      <c r="H954" s="305"/>
      <c r="I954" s="305"/>
      <c r="J954" s="305"/>
      <c r="K954" s="305"/>
      <c r="L954" s="305"/>
      <c r="M954" s="305"/>
      <c r="N954" s="305"/>
    </row>
    <row r="955" spans="3:14" x14ac:dyDescent="0.25">
      <c r="C955" s="305"/>
      <c r="D955" s="305"/>
      <c r="E955" s="305"/>
      <c r="F955" s="305"/>
      <c r="G955" s="305"/>
      <c r="H955" s="305"/>
      <c r="I955" s="305"/>
      <c r="J955" s="305"/>
      <c r="K955" s="305"/>
      <c r="L955" s="305"/>
      <c r="M955" s="305"/>
      <c r="N955" s="305"/>
    </row>
    <row r="956" spans="3:14" x14ac:dyDescent="0.25">
      <c r="C956" s="305"/>
      <c r="D956" s="305"/>
      <c r="E956" s="305"/>
      <c r="F956" s="305"/>
      <c r="G956" s="305"/>
      <c r="H956" s="305"/>
      <c r="I956" s="305"/>
      <c r="J956" s="305"/>
      <c r="K956" s="305"/>
      <c r="L956" s="305"/>
      <c r="M956" s="305"/>
      <c r="N956" s="305"/>
    </row>
    <row r="957" spans="3:14" x14ac:dyDescent="0.25">
      <c r="C957" s="305"/>
      <c r="D957" s="305"/>
      <c r="E957" s="305"/>
      <c r="F957" s="305"/>
      <c r="G957" s="305"/>
      <c r="H957" s="305"/>
      <c r="I957" s="305"/>
      <c r="J957" s="305"/>
      <c r="K957" s="305"/>
      <c r="L957" s="305"/>
      <c r="M957" s="305"/>
      <c r="N957" s="305"/>
    </row>
    <row r="958" spans="3:14" x14ac:dyDescent="0.25">
      <c r="C958" s="305"/>
      <c r="D958" s="305"/>
      <c r="E958" s="305"/>
      <c r="F958" s="305"/>
      <c r="G958" s="305"/>
      <c r="H958" s="305"/>
      <c r="I958" s="305"/>
      <c r="J958" s="305"/>
      <c r="K958" s="305"/>
      <c r="L958" s="305"/>
      <c r="M958" s="305"/>
      <c r="N958" s="305"/>
    </row>
    <row r="959" spans="3:14" x14ac:dyDescent="0.25">
      <c r="C959" s="305"/>
      <c r="D959" s="305"/>
      <c r="E959" s="305"/>
      <c r="F959" s="305"/>
      <c r="G959" s="305"/>
      <c r="H959" s="305"/>
      <c r="I959" s="305"/>
      <c r="J959" s="305"/>
      <c r="K959" s="305"/>
      <c r="L959" s="305"/>
      <c r="M959" s="305"/>
      <c r="N959" s="305"/>
    </row>
    <row r="960" spans="3:14" x14ac:dyDescent="0.25">
      <c r="C960" s="305"/>
      <c r="D960" s="305"/>
      <c r="E960" s="305"/>
      <c r="F960" s="305"/>
      <c r="G960" s="305"/>
      <c r="H960" s="305"/>
      <c r="I960" s="305"/>
      <c r="J960" s="305"/>
      <c r="K960" s="305"/>
      <c r="L960" s="305"/>
      <c r="M960" s="305"/>
      <c r="N960" s="305"/>
    </row>
    <row r="961" spans="3:14" x14ac:dyDescent="0.25">
      <c r="C961" s="305"/>
      <c r="D961" s="305"/>
      <c r="E961" s="305"/>
      <c r="F961" s="305"/>
      <c r="G961" s="305"/>
      <c r="H961" s="305"/>
      <c r="I961" s="305"/>
      <c r="J961" s="305"/>
      <c r="K961" s="305"/>
      <c r="L961" s="305"/>
      <c r="M961" s="305"/>
      <c r="N961" s="305"/>
    </row>
    <row r="962" spans="3:14" x14ac:dyDescent="0.25">
      <c r="C962" s="305"/>
      <c r="D962" s="305"/>
      <c r="E962" s="305"/>
      <c r="F962" s="305"/>
      <c r="G962" s="305"/>
      <c r="H962" s="305"/>
      <c r="I962" s="305"/>
      <c r="J962" s="305"/>
      <c r="K962" s="305"/>
      <c r="L962" s="305"/>
      <c r="M962" s="305"/>
      <c r="N962" s="305"/>
    </row>
    <row r="963" spans="3:14" x14ac:dyDescent="0.25">
      <c r="C963" s="305"/>
      <c r="D963" s="305"/>
      <c r="E963" s="305"/>
      <c r="F963" s="305"/>
      <c r="G963" s="305"/>
      <c r="H963" s="305"/>
      <c r="I963" s="305"/>
      <c r="J963" s="305"/>
      <c r="K963" s="305"/>
      <c r="L963" s="305"/>
      <c r="M963" s="305"/>
      <c r="N963" s="305"/>
    </row>
    <row r="964" spans="3:14" x14ac:dyDescent="0.25">
      <c r="C964" s="305"/>
      <c r="D964" s="305"/>
      <c r="E964" s="305"/>
      <c r="F964" s="305"/>
      <c r="G964" s="305"/>
      <c r="H964" s="305"/>
      <c r="I964" s="305"/>
      <c r="J964" s="305"/>
      <c r="K964" s="305"/>
      <c r="L964" s="305"/>
      <c r="M964" s="305"/>
      <c r="N964" s="305"/>
    </row>
    <row r="965" spans="3:14" x14ac:dyDescent="0.25">
      <c r="C965" s="305"/>
      <c r="D965" s="305"/>
      <c r="E965" s="305"/>
      <c r="F965" s="305"/>
      <c r="G965" s="305"/>
      <c r="H965" s="305"/>
      <c r="I965" s="305"/>
      <c r="J965" s="305"/>
      <c r="K965" s="305"/>
      <c r="L965" s="305"/>
      <c r="M965" s="305"/>
      <c r="N965" s="305"/>
    </row>
    <row r="966" spans="3:14" x14ac:dyDescent="0.25">
      <c r="C966" s="305"/>
      <c r="D966" s="305"/>
      <c r="E966" s="305"/>
      <c r="F966" s="305"/>
      <c r="G966" s="305"/>
      <c r="H966" s="305"/>
      <c r="I966" s="305"/>
      <c r="J966" s="305"/>
      <c r="K966" s="305"/>
      <c r="L966" s="305"/>
      <c r="M966" s="305"/>
      <c r="N966" s="305"/>
    </row>
    <row r="967" spans="3:14" x14ac:dyDescent="0.25">
      <c r="C967" s="305"/>
      <c r="D967" s="305"/>
      <c r="E967" s="305"/>
      <c r="F967" s="305"/>
      <c r="G967" s="305"/>
      <c r="H967" s="305"/>
      <c r="I967" s="305"/>
      <c r="J967" s="305"/>
      <c r="K967" s="305"/>
      <c r="L967" s="305"/>
      <c r="M967" s="305"/>
      <c r="N967" s="305"/>
    </row>
    <row r="968" spans="3:14" x14ac:dyDescent="0.25">
      <c r="C968" s="305"/>
      <c r="D968" s="305"/>
      <c r="E968" s="305"/>
      <c r="F968" s="305"/>
      <c r="G968" s="305"/>
      <c r="H968" s="305"/>
      <c r="I968" s="305"/>
      <c r="J968" s="305"/>
      <c r="K968" s="305"/>
      <c r="L968" s="305"/>
      <c r="M968" s="305"/>
      <c r="N968" s="305"/>
    </row>
    <row r="969" spans="3:14" x14ac:dyDescent="0.25">
      <c r="C969" s="305"/>
      <c r="D969" s="305"/>
      <c r="E969" s="305"/>
      <c r="F969" s="305"/>
      <c r="G969" s="305"/>
      <c r="H969" s="305"/>
      <c r="I969" s="305"/>
      <c r="J969" s="305"/>
      <c r="K969" s="305"/>
      <c r="L969" s="305"/>
      <c r="M969" s="305"/>
      <c r="N969" s="305"/>
    </row>
    <row r="970" spans="3:14" x14ac:dyDescent="0.25">
      <c r="C970" s="305"/>
      <c r="D970" s="305"/>
      <c r="E970" s="305"/>
      <c r="F970" s="305"/>
      <c r="G970" s="305"/>
      <c r="H970" s="305"/>
      <c r="I970" s="305"/>
      <c r="J970" s="305"/>
      <c r="K970" s="305"/>
      <c r="L970" s="305"/>
      <c r="M970" s="305"/>
      <c r="N970" s="305"/>
    </row>
    <row r="971" spans="3:14" x14ac:dyDescent="0.25">
      <c r="C971" s="305"/>
      <c r="D971" s="305"/>
      <c r="E971" s="305"/>
      <c r="F971" s="305"/>
      <c r="G971" s="305"/>
      <c r="H971" s="305"/>
      <c r="I971" s="305"/>
      <c r="J971" s="305"/>
      <c r="K971" s="305"/>
      <c r="L971" s="305"/>
      <c r="M971" s="305"/>
      <c r="N971" s="305"/>
    </row>
    <row r="972" spans="3:14" x14ac:dyDescent="0.25">
      <c r="C972" s="305"/>
      <c r="D972" s="305"/>
      <c r="E972" s="305"/>
      <c r="F972" s="305"/>
      <c r="G972" s="305"/>
      <c r="H972" s="305"/>
      <c r="I972" s="305"/>
      <c r="J972" s="305"/>
      <c r="K972" s="305"/>
      <c r="L972" s="305"/>
      <c r="M972" s="305"/>
      <c r="N972" s="305"/>
    </row>
    <row r="973" spans="3:14" x14ac:dyDescent="0.25">
      <c r="C973" s="305"/>
      <c r="D973" s="305"/>
      <c r="E973" s="305"/>
      <c r="F973" s="305"/>
      <c r="G973" s="305"/>
      <c r="H973" s="305"/>
      <c r="I973" s="305"/>
      <c r="J973" s="305"/>
      <c r="K973" s="305"/>
      <c r="L973" s="305"/>
      <c r="M973" s="305"/>
      <c r="N973" s="305"/>
    </row>
    <row r="974" spans="3:14" x14ac:dyDescent="0.25">
      <c r="C974" s="305"/>
      <c r="D974" s="305"/>
      <c r="E974" s="305"/>
      <c r="F974" s="305"/>
      <c r="G974" s="305"/>
      <c r="H974" s="305"/>
      <c r="I974" s="305"/>
      <c r="J974" s="305"/>
      <c r="K974" s="305"/>
      <c r="L974" s="305"/>
      <c r="M974" s="305"/>
      <c r="N974" s="305"/>
    </row>
    <row r="975" spans="3:14" x14ac:dyDescent="0.25">
      <c r="C975" s="305"/>
      <c r="D975" s="305"/>
      <c r="E975" s="305"/>
      <c r="F975" s="305"/>
      <c r="G975" s="305"/>
      <c r="H975" s="305"/>
      <c r="I975" s="305"/>
      <c r="J975" s="305"/>
      <c r="K975" s="305"/>
      <c r="L975" s="305"/>
      <c r="M975" s="305"/>
      <c r="N975" s="305"/>
    </row>
    <row r="976" spans="3:14" x14ac:dyDescent="0.25">
      <c r="C976" s="305"/>
      <c r="D976" s="305"/>
      <c r="E976" s="305"/>
      <c r="F976" s="305"/>
      <c r="G976" s="305"/>
      <c r="H976" s="305"/>
      <c r="I976" s="305"/>
      <c r="J976" s="305"/>
      <c r="K976" s="305"/>
      <c r="L976" s="305"/>
      <c r="M976" s="305"/>
      <c r="N976" s="305"/>
    </row>
    <row r="977" spans="3:14" x14ac:dyDescent="0.25">
      <c r="C977" s="305"/>
      <c r="D977" s="305"/>
      <c r="E977" s="305"/>
      <c r="F977" s="305"/>
      <c r="G977" s="305"/>
      <c r="H977" s="305"/>
      <c r="I977" s="305"/>
      <c r="J977" s="305"/>
      <c r="K977" s="305"/>
      <c r="L977" s="305"/>
      <c r="M977" s="305"/>
      <c r="N977" s="305"/>
    </row>
    <row r="978" spans="3:14" x14ac:dyDescent="0.25">
      <c r="C978" s="305"/>
      <c r="D978" s="305"/>
      <c r="E978" s="305"/>
      <c r="F978" s="305"/>
      <c r="G978" s="305"/>
      <c r="H978" s="305"/>
      <c r="I978" s="305"/>
      <c r="J978" s="305"/>
      <c r="K978" s="305"/>
      <c r="L978" s="305"/>
      <c r="M978" s="305"/>
      <c r="N978" s="305"/>
    </row>
    <row r="979" spans="3:14" x14ac:dyDescent="0.25">
      <c r="C979" s="305"/>
      <c r="D979" s="305"/>
      <c r="E979" s="305"/>
      <c r="F979" s="305"/>
      <c r="G979" s="305"/>
      <c r="H979" s="305"/>
      <c r="I979" s="305"/>
      <c r="J979" s="305"/>
      <c r="K979" s="305"/>
      <c r="L979" s="305"/>
      <c r="M979" s="305"/>
      <c r="N979" s="305"/>
    </row>
    <row r="980" spans="3:14" x14ac:dyDescent="0.25">
      <c r="C980" s="305"/>
      <c r="D980" s="305"/>
      <c r="E980" s="305"/>
      <c r="F980" s="305"/>
      <c r="G980" s="305"/>
      <c r="H980" s="305"/>
      <c r="I980" s="305"/>
      <c r="J980" s="305"/>
      <c r="K980" s="305"/>
      <c r="L980" s="305"/>
      <c r="M980" s="305"/>
      <c r="N980" s="305"/>
    </row>
    <row r="981" spans="3:14" x14ac:dyDescent="0.25">
      <c r="C981" s="305"/>
      <c r="D981" s="305"/>
      <c r="E981" s="305"/>
      <c r="F981" s="305"/>
      <c r="G981" s="305"/>
      <c r="H981" s="305"/>
      <c r="I981" s="305"/>
      <c r="J981" s="305"/>
      <c r="K981" s="305"/>
      <c r="L981" s="305"/>
      <c r="M981" s="305"/>
      <c r="N981" s="305"/>
    </row>
    <row r="982" spans="3:14" x14ac:dyDescent="0.25">
      <c r="C982" s="305"/>
      <c r="D982" s="305"/>
      <c r="E982" s="305"/>
      <c r="F982" s="305"/>
      <c r="G982" s="305"/>
      <c r="H982" s="305"/>
      <c r="I982" s="305"/>
      <c r="J982" s="305"/>
      <c r="K982" s="305"/>
      <c r="L982" s="305"/>
      <c r="M982" s="305"/>
      <c r="N982" s="305"/>
    </row>
    <row r="983" spans="3:14" x14ac:dyDescent="0.25">
      <c r="C983" s="305"/>
      <c r="D983" s="305"/>
      <c r="E983" s="305"/>
      <c r="F983" s="305"/>
      <c r="G983" s="305"/>
      <c r="H983" s="305"/>
      <c r="I983" s="305"/>
      <c r="J983" s="305"/>
      <c r="K983" s="305"/>
      <c r="L983" s="305"/>
      <c r="M983" s="305"/>
      <c r="N983" s="305"/>
    </row>
    <row r="984" spans="3:14" x14ac:dyDescent="0.25">
      <c r="C984" s="305"/>
      <c r="D984" s="305"/>
      <c r="E984" s="305"/>
      <c r="F984" s="305"/>
      <c r="G984" s="305"/>
      <c r="H984" s="305"/>
      <c r="I984" s="305"/>
      <c r="J984" s="305"/>
      <c r="K984" s="305"/>
      <c r="L984" s="305"/>
      <c r="M984" s="305"/>
      <c r="N984" s="305"/>
    </row>
    <row r="985" spans="3:14" x14ac:dyDescent="0.25">
      <c r="C985" s="305"/>
      <c r="D985" s="305"/>
      <c r="E985" s="305"/>
      <c r="F985" s="305"/>
      <c r="G985" s="305"/>
      <c r="H985" s="305"/>
      <c r="I985" s="305"/>
      <c r="J985" s="305"/>
      <c r="K985" s="305"/>
      <c r="L985" s="305"/>
      <c r="M985" s="305"/>
      <c r="N985" s="305"/>
    </row>
    <row r="986" spans="3:14" x14ac:dyDescent="0.25">
      <c r="C986" s="305"/>
      <c r="D986" s="305"/>
      <c r="E986" s="305"/>
      <c r="F986" s="305"/>
      <c r="G986" s="305"/>
      <c r="H986" s="305"/>
      <c r="I986" s="305"/>
      <c r="J986" s="305"/>
      <c r="K986" s="305"/>
      <c r="L986" s="305"/>
      <c r="M986" s="305"/>
      <c r="N986" s="305"/>
    </row>
    <row r="987" spans="3:14" x14ac:dyDescent="0.25">
      <c r="C987" s="305"/>
      <c r="D987" s="305"/>
      <c r="E987" s="305"/>
      <c r="F987" s="305"/>
      <c r="G987" s="305"/>
      <c r="H987" s="305"/>
      <c r="I987" s="305"/>
      <c r="J987" s="305"/>
      <c r="K987" s="305"/>
      <c r="L987" s="305"/>
      <c r="M987" s="305"/>
      <c r="N987" s="305"/>
    </row>
    <row r="988" spans="3:14" x14ac:dyDescent="0.25">
      <c r="C988" s="305"/>
      <c r="D988" s="305"/>
      <c r="E988" s="305"/>
      <c r="F988" s="305"/>
      <c r="G988" s="305"/>
      <c r="H988" s="305"/>
      <c r="I988" s="305"/>
      <c r="J988" s="305"/>
      <c r="K988" s="305"/>
      <c r="L988" s="305"/>
      <c r="M988" s="305"/>
      <c r="N988" s="305"/>
    </row>
    <row r="989" spans="3:14" x14ac:dyDescent="0.25">
      <c r="C989" s="305"/>
      <c r="D989" s="305"/>
      <c r="E989" s="305"/>
      <c r="F989" s="305"/>
      <c r="G989" s="305"/>
      <c r="H989" s="305"/>
      <c r="I989" s="305"/>
      <c r="J989" s="305"/>
      <c r="K989" s="305"/>
      <c r="L989" s="305"/>
      <c r="M989" s="305"/>
      <c r="N989" s="305"/>
    </row>
    <row r="990" spans="3:14" x14ac:dyDescent="0.25">
      <c r="C990" s="305"/>
      <c r="D990" s="305"/>
      <c r="E990" s="305"/>
      <c r="F990" s="305"/>
      <c r="G990" s="305"/>
      <c r="H990" s="305"/>
      <c r="I990" s="305"/>
      <c r="J990" s="305"/>
      <c r="K990" s="305"/>
      <c r="L990" s="305"/>
      <c r="M990" s="305"/>
      <c r="N990" s="305"/>
    </row>
    <row r="991" spans="3:14" x14ac:dyDescent="0.25">
      <c r="C991" s="305"/>
      <c r="D991" s="305"/>
      <c r="E991" s="305"/>
      <c r="F991" s="305"/>
      <c r="G991" s="305"/>
      <c r="H991" s="305"/>
      <c r="I991" s="305"/>
      <c r="J991" s="305"/>
      <c r="K991" s="305"/>
      <c r="L991" s="305"/>
      <c r="M991" s="305"/>
      <c r="N991" s="305"/>
    </row>
    <row r="992" spans="3:14" x14ac:dyDescent="0.25">
      <c r="C992" s="305"/>
      <c r="D992" s="305"/>
      <c r="E992" s="305"/>
      <c r="F992" s="305"/>
      <c r="G992" s="305"/>
      <c r="H992" s="305"/>
      <c r="I992" s="305"/>
      <c r="J992" s="305"/>
      <c r="K992" s="305"/>
      <c r="L992" s="305"/>
      <c r="M992" s="305"/>
      <c r="N992" s="305"/>
    </row>
    <row r="993" spans="3:14" x14ac:dyDescent="0.25">
      <c r="C993" s="305"/>
      <c r="D993" s="305"/>
      <c r="E993" s="305"/>
      <c r="F993" s="305"/>
      <c r="G993" s="305"/>
      <c r="H993" s="305"/>
      <c r="I993" s="305"/>
      <c r="J993" s="305"/>
      <c r="K993" s="305"/>
      <c r="L993" s="305"/>
      <c r="M993" s="305"/>
      <c r="N993" s="305"/>
    </row>
    <row r="994" spans="3:14" x14ac:dyDescent="0.25">
      <c r="C994" s="305"/>
      <c r="D994" s="305"/>
      <c r="E994" s="305"/>
      <c r="F994" s="305"/>
      <c r="G994" s="305"/>
      <c r="H994" s="305"/>
      <c r="I994" s="305"/>
      <c r="J994" s="305"/>
      <c r="K994" s="305"/>
      <c r="L994" s="305"/>
      <c r="M994" s="305"/>
      <c r="N994" s="305"/>
    </row>
    <row r="995" spans="3:14" x14ac:dyDescent="0.25">
      <c r="C995" s="305"/>
      <c r="D995" s="305"/>
      <c r="E995" s="305"/>
      <c r="F995" s="305"/>
      <c r="G995" s="305"/>
      <c r="H995" s="305"/>
      <c r="I995" s="305"/>
      <c r="J995" s="305"/>
      <c r="K995" s="305"/>
      <c r="L995" s="305"/>
      <c r="M995" s="305"/>
      <c r="N995" s="305"/>
    </row>
    <row r="996" spans="3:14" x14ac:dyDescent="0.25">
      <c r="C996" s="305"/>
      <c r="D996" s="305"/>
      <c r="E996" s="305"/>
      <c r="F996" s="305"/>
      <c r="G996" s="305"/>
      <c r="H996" s="305"/>
      <c r="I996" s="305"/>
      <c r="J996" s="305"/>
      <c r="K996" s="305"/>
      <c r="L996" s="305"/>
      <c r="M996" s="305"/>
      <c r="N996" s="305"/>
    </row>
    <row r="997" spans="3:14" x14ac:dyDescent="0.25">
      <c r="C997" s="305"/>
      <c r="D997" s="305"/>
      <c r="E997" s="305"/>
      <c r="F997" s="305"/>
      <c r="G997" s="305"/>
      <c r="H997" s="305"/>
      <c r="I997" s="305"/>
      <c r="J997" s="305"/>
      <c r="K997" s="305"/>
      <c r="L997" s="305"/>
      <c r="M997" s="305"/>
      <c r="N997" s="305"/>
    </row>
    <row r="998" spans="3:14" x14ac:dyDescent="0.25">
      <c r="C998" s="305"/>
      <c r="D998" s="305"/>
      <c r="E998" s="305"/>
      <c r="F998" s="305"/>
      <c r="G998" s="305"/>
      <c r="H998" s="305"/>
      <c r="I998" s="305"/>
      <c r="J998" s="305"/>
      <c r="K998" s="305"/>
      <c r="L998" s="305"/>
      <c r="M998" s="305"/>
      <c r="N998" s="305"/>
    </row>
    <row r="999" spans="3:14" x14ac:dyDescent="0.25">
      <c r="C999" s="305"/>
      <c r="D999" s="305"/>
      <c r="E999" s="305"/>
      <c r="F999" s="305"/>
      <c r="G999" s="305"/>
      <c r="H999" s="305"/>
      <c r="I999" s="305"/>
      <c r="J999" s="305"/>
      <c r="K999" s="305"/>
      <c r="L999" s="305"/>
      <c r="M999" s="305"/>
      <c r="N999" s="305"/>
    </row>
    <row r="1000" spans="3:14" x14ac:dyDescent="0.25">
      <c r="C1000" s="305"/>
      <c r="D1000" s="305"/>
      <c r="E1000" s="305"/>
      <c r="F1000" s="305"/>
      <c r="G1000" s="305"/>
      <c r="H1000" s="305"/>
      <c r="I1000" s="305"/>
      <c r="J1000" s="305"/>
      <c r="K1000" s="305"/>
      <c r="L1000" s="305"/>
      <c r="M1000" s="305"/>
      <c r="N1000" s="305"/>
    </row>
    <row r="1001" spans="3:14" x14ac:dyDescent="0.25">
      <c r="C1001" s="305"/>
      <c r="D1001" s="305"/>
      <c r="E1001" s="305"/>
      <c r="F1001" s="305"/>
      <c r="G1001" s="305"/>
      <c r="H1001" s="305"/>
      <c r="I1001" s="305"/>
      <c r="J1001" s="305"/>
      <c r="K1001" s="305"/>
      <c r="L1001" s="305"/>
      <c r="M1001" s="305"/>
      <c r="N1001" s="305"/>
    </row>
    <row r="1002" spans="3:14" x14ac:dyDescent="0.25">
      <c r="C1002" s="305"/>
      <c r="D1002" s="305"/>
      <c r="E1002" s="305"/>
      <c r="F1002" s="305"/>
      <c r="G1002" s="305"/>
      <c r="H1002" s="305"/>
      <c r="I1002" s="305"/>
      <c r="J1002" s="305"/>
      <c r="K1002" s="305"/>
      <c r="L1002" s="305"/>
      <c r="M1002" s="305"/>
      <c r="N1002" s="305"/>
    </row>
    <row r="1003" spans="3:14" x14ac:dyDescent="0.25">
      <c r="C1003" s="305"/>
      <c r="D1003" s="305"/>
      <c r="E1003" s="305"/>
      <c r="F1003" s="305"/>
      <c r="G1003" s="305"/>
      <c r="H1003" s="305"/>
      <c r="I1003" s="305"/>
      <c r="J1003" s="305"/>
      <c r="K1003" s="305"/>
      <c r="L1003" s="305"/>
      <c r="M1003" s="305"/>
      <c r="N1003" s="305"/>
    </row>
    <row r="1004" spans="3:14" x14ac:dyDescent="0.25">
      <c r="C1004" s="305"/>
      <c r="D1004" s="305"/>
      <c r="E1004" s="305"/>
      <c r="F1004" s="305"/>
      <c r="G1004" s="305"/>
      <c r="H1004" s="305"/>
      <c r="I1004" s="305"/>
      <c r="J1004" s="305"/>
      <c r="K1004" s="305"/>
      <c r="L1004" s="305"/>
      <c r="M1004" s="305"/>
      <c r="N1004" s="305"/>
    </row>
    <row r="1005" spans="3:14" x14ac:dyDescent="0.25">
      <c r="C1005" s="305"/>
      <c r="D1005" s="305"/>
      <c r="E1005" s="305"/>
      <c r="F1005" s="305"/>
      <c r="G1005" s="305"/>
      <c r="H1005" s="305"/>
      <c r="I1005" s="305"/>
      <c r="J1005" s="305"/>
      <c r="K1005" s="305"/>
      <c r="L1005" s="305"/>
      <c r="M1005" s="305"/>
      <c r="N1005" s="305"/>
    </row>
    <row r="1006" spans="3:14" x14ac:dyDescent="0.25">
      <c r="C1006" s="305"/>
      <c r="D1006" s="305"/>
      <c r="E1006" s="305"/>
      <c r="F1006" s="305"/>
      <c r="G1006" s="305"/>
      <c r="H1006" s="305"/>
      <c r="I1006" s="305"/>
      <c r="J1006" s="305"/>
      <c r="K1006" s="305"/>
      <c r="L1006" s="305"/>
      <c r="M1006" s="305"/>
      <c r="N1006" s="305"/>
    </row>
    <row r="1007" spans="3:14" x14ac:dyDescent="0.25">
      <c r="C1007" s="305"/>
      <c r="D1007" s="305"/>
      <c r="E1007" s="305"/>
      <c r="F1007" s="305"/>
      <c r="G1007" s="305"/>
      <c r="H1007" s="305"/>
      <c r="I1007" s="305"/>
      <c r="J1007" s="305"/>
      <c r="K1007" s="305"/>
      <c r="L1007" s="305"/>
      <c r="M1007" s="305"/>
      <c r="N1007" s="305"/>
    </row>
    <row r="1008" spans="3:14" x14ac:dyDescent="0.25">
      <c r="C1008" s="305"/>
      <c r="D1008" s="305"/>
      <c r="E1008" s="305"/>
      <c r="F1008" s="305"/>
      <c r="G1008" s="305"/>
      <c r="H1008" s="305"/>
      <c r="I1008" s="305"/>
      <c r="J1008" s="305"/>
      <c r="K1008" s="305"/>
      <c r="L1008" s="305"/>
      <c r="M1008" s="305"/>
      <c r="N1008" s="305"/>
    </row>
    <row r="1009" spans="3:14" x14ac:dyDescent="0.25">
      <c r="C1009" s="305"/>
      <c r="D1009" s="305"/>
      <c r="E1009" s="305"/>
      <c r="F1009" s="305"/>
      <c r="G1009" s="305"/>
      <c r="H1009" s="305"/>
      <c r="I1009" s="305"/>
      <c r="J1009" s="305"/>
      <c r="K1009" s="305"/>
      <c r="L1009" s="305"/>
      <c r="M1009" s="305"/>
      <c r="N1009" s="305"/>
    </row>
    <row r="1010" spans="3:14" x14ac:dyDescent="0.25">
      <c r="C1010" s="305"/>
      <c r="D1010" s="305"/>
      <c r="E1010" s="305"/>
      <c r="F1010" s="305"/>
      <c r="G1010" s="305"/>
      <c r="H1010" s="305"/>
      <c r="I1010" s="305"/>
      <c r="J1010" s="305"/>
      <c r="K1010" s="305"/>
      <c r="L1010" s="305"/>
      <c r="M1010" s="305"/>
      <c r="N1010" s="305"/>
    </row>
    <row r="1011" spans="3:14" x14ac:dyDescent="0.25">
      <c r="C1011" s="305"/>
      <c r="D1011" s="305"/>
      <c r="E1011" s="305"/>
      <c r="F1011" s="305"/>
      <c r="G1011" s="305"/>
      <c r="H1011" s="305"/>
      <c r="I1011" s="305"/>
      <c r="J1011" s="305"/>
      <c r="K1011" s="305"/>
      <c r="L1011" s="305"/>
      <c r="M1011" s="305"/>
      <c r="N1011" s="305"/>
    </row>
    <row r="1012" spans="3:14" x14ac:dyDescent="0.25">
      <c r="C1012" s="305"/>
      <c r="D1012" s="305"/>
      <c r="E1012" s="305"/>
      <c r="F1012" s="305"/>
      <c r="G1012" s="305"/>
      <c r="H1012" s="305"/>
      <c r="I1012" s="305"/>
      <c r="J1012" s="305"/>
      <c r="K1012" s="305"/>
      <c r="L1012" s="305"/>
      <c r="M1012" s="305"/>
      <c r="N1012" s="305"/>
    </row>
    <row r="1013" spans="3:14" x14ac:dyDescent="0.25">
      <c r="C1013" s="305"/>
      <c r="D1013" s="305"/>
      <c r="E1013" s="305"/>
      <c r="F1013" s="305"/>
      <c r="G1013" s="305"/>
      <c r="H1013" s="305"/>
      <c r="I1013" s="305"/>
      <c r="J1013" s="305"/>
      <c r="K1013" s="305"/>
      <c r="L1013" s="305"/>
      <c r="M1013" s="305"/>
      <c r="N1013" s="305"/>
    </row>
    <row r="1014" spans="3:14" x14ac:dyDescent="0.25">
      <c r="C1014" s="305"/>
      <c r="D1014" s="305"/>
      <c r="E1014" s="305"/>
      <c r="F1014" s="305"/>
      <c r="G1014" s="305"/>
      <c r="H1014" s="305"/>
      <c r="I1014" s="305"/>
      <c r="J1014" s="305"/>
      <c r="K1014" s="305"/>
      <c r="L1014" s="305"/>
      <c r="M1014" s="305"/>
      <c r="N1014" s="305"/>
    </row>
    <row r="1015" spans="3:14" x14ac:dyDescent="0.25">
      <c r="C1015" s="305"/>
      <c r="D1015" s="305"/>
      <c r="E1015" s="305"/>
      <c r="F1015" s="305"/>
      <c r="G1015" s="305"/>
      <c r="H1015" s="305"/>
      <c r="I1015" s="305"/>
      <c r="J1015" s="305"/>
      <c r="K1015" s="305"/>
      <c r="L1015" s="305"/>
      <c r="M1015" s="305"/>
      <c r="N1015" s="305"/>
    </row>
    <row r="1016" spans="3:14" x14ac:dyDescent="0.25">
      <c r="C1016" s="305"/>
      <c r="D1016" s="305"/>
      <c r="E1016" s="305"/>
      <c r="F1016" s="305"/>
      <c r="G1016" s="305"/>
      <c r="H1016" s="305"/>
      <c r="I1016" s="305"/>
      <c r="J1016" s="305"/>
      <c r="K1016" s="305"/>
      <c r="L1016" s="305"/>
      <c r="M1016" s="305"/>
      <c r="N1016" s="305"/>
    </row>
    <row r="1017" spans="3:14" x14ac:dyDescent="0.25">
      <c r="C1017" s="305"/>
      <c r="D1017" s="305"/>
      <c r="E1017" s="305"/>
      <c r="F1017" s="305"/>
      <c r="G1017" s="305"/>
      <c r="H1017" s="305"/>
      <c r="I1017" s="305"/>
      <c r="J1017" s="305"/>
      <c r="K1017" s="305"/>
      <c r="L1017" s="305"/>
      <c r="M1017" s="305"/>
      <c r="N1017" s="305"/>
    </row>
    <row r="1018" spans="3:14" x14ac:dyDescent="0.25">
      <c r="C1018" s="305"/>
      <c r="D1018" s="305"/>
      <c r="E1018" s="305"/>
      <c r="F1018" s="305"/>
      <c r="G1018" s="305"/>
      <c r="H1018" s="305"/>
      <c r="I1018" s="305"/>
      <c r="J1018" s="305"/>
      <c r="K1018" s="305"/>
      <c r="L1018" s="305"/>
      <c r="M1018" s="305"/>
      <c r="N1018" s="305"/>
    </row>
    <row r="1019" spans="3:14" x14ac:dyDescent="0.25">
      <c r="C1019" s="305"/>
      <c r="D1019" s="305"/>
      <c r="E1019" s="305"/>
      <c r="F1019" s="305"/>
      <c r="G1019" s="305"/>
      <c r="H1019" s="305"/>
      <c r="I1019" s="305"/>
      <c r="J1019" s="305"/>
      <c r="K1019" s="305"/>
      <c r="L1019" s="305"/>
      <c r="M1019" s="305"/>
      <c r="N1019" s="305"/>
    </row>
    <row r="1020" spans="3:14" x14ac:dyDescent="0.25">
      <c r="C1020" s="305"/>
      <c r="D1020" s="305"/>
      <c r="E1020" s="305"/>
      <c r="F1020" s="305"/>
      <c r="G1020" s="305"/>
      <c r="H1020" s="305"/>
      <c r="I1020" s="305"/>
      <c r="J1020" s="305"/>
      <c r="K1020" s="305"/>
      <c r="L1020" s="305"/>
      <c r="M1020" s="305"/>
      <c r="N1020" s="305"/>
    </row>
    <row r="1021" spans="3:14" x14ac:dyDescent="0.25">
      <c r="C1021" s="305"/>
      <c r="D1021" s="305"/>
      <c r="E1021" s="305"/>
      <c r="F1021" s="305"/>
      <c r="G1021" s="305"/>
      <c r="H1021" s="305"/>
      <c r="I1021" s="305"/>
      <c r="J1021" s="305"/>
      <c r="K1021" s="305"/>
      <c r="L1021" s="305"/>
      <c r="M1021" s="305"/>
      <c r="N1021" s="305"/>
    </row>
    <row r="1022" spans="3:14" x14ac:dyDescent="0.25">
      <c r="C1022" s="305"/>
      <c r="D1022" s="305"/>
      <c r="E1022" s="305"/>
      <c r="F1022" s="305"/>
      <c r="G1022" s="305"/>
      <c r="H1022" s="305"/>
      <c r="I1022" s="305"/>
      <c r="J1022" s="305"/>
      <c r="K1022" s="305"/>
      <c r="L1022" s="305"/>
      <c r="M1022" s="305"/>
      <c r="N1022" s="305"/>
    </row>
    <row r="1023" spans="3:14" x14ac:dyDescent="0.25">
      <c r="C1023" s="305"/>
      <c r="D1023" s="305"/>
      <c r="E1023" s="305"/>
      <c r="F1023" s="305"/>
      <c r="G1023" s="305"/>
      <c r="H1023" s="305"/>
      <c r="I1023" s="305"/>
      <c r="J1023" s="305"/>
      <c r="K1023" s="305"/>
      <c r="L1023" s="305"/>
      <c r="M1023" s="305"/>
      <c r="N1023" s="305"/>
    </row>
    <row r="1024" spans="3:14" x14ac:dyDescent="0.25">
      <c r="C1024" s="305"/>
      <c r="D1024" s="305"/>
      <c r="E1024" s="305"/>
      <c r="F1024" s="305"/>
      <c r="G1024" s="305"/>
      <c r="H1024" s="305"/>
      <c r="I1024" s="305"/>
      <c r="J1024" s="305"/>
      <c r="K1024" s="305"/>
      <c r="L1024" s="305"/>
      <c r="M1024" s="305"/>
      <c r="N1024" s="305"/>
    </row>
    <row r="1025" spans="3:14" x14ac:dyDescent="0.25">
      <c r="C1025" s="305"/>
      <c r="D1025" s="305"/>
      <c r="E1025" s="305"/>
      <c r="F1025" s="305"/>
      <c r="G1025" s="305"/>
      <c r="H1025" s="305"/>
      <c r="I1025" s="305"/>
      <c r="J1025" s="305"/>
      <c r="K1025" s="305"/>
      <c r="L1025" s="305"/>
      <c r="M1025" s="305"/>
      <c r="N1025" s="305"/>
    </row>
    <row r="1026" spans="3:14" x14ac:dyDescent="0.25">
      <c r="C1026" s="305"/>
      <c r="D1026" s="305"/>
      <c r="E1026" s="305"/>
      <c r="F1026" s="305"/>
      <c r="G1026" s="305"/>
      <c r="H1026" s="305"/>
      <c r="I1026" s="305"/>
      <c r="J1026" s="305"/>
      <c r="K1026" s="305"/>
      <c r="L1026" s="305"/>
      <c r="M1026" s="305"/>
      <c r="N1026" s="305"/>
    </row>
    <row r="1027" spans="3:14" x14ac:dyDescent="0.25">
      <c r="C1027" s="305"/>
      <c r="D1027" s="305"/>
      <c r="E1027" s="305"/>
      <c r="F1027" s="305"/>
      <c r="G1027" s="305"/>
      <c r="H1027" s="305"/>
      <c r="I1027" s="305"/>
      <c r="J1027" s="305"/>
      <c r="K1027" s="305"/>
      <c r="L1027" s="305"/>
      <c r="M1027" s="305"/>
      <c r="N1027" s="305"/>
    </row>
    <row r="1028" spans="3:14" x14ac:dyDescent="0.25">
      <c r="C1028" s="305"/>
      <c r="D1028" s="305"/>
      <c r="E1028" s="305"/>
      <c r="F1028" s="305"/>
      <c r="G1028" s="305"/>
      <c r="H1028" s="305"/>
      <c r="I1028" s="305"/>
      <c r="J1028" s="305"/>
      <c r="K1028" s="305"/>
      <c r="L1028" s="305"/>
      <c r="M1028" s="305"/>
      <c r="N1028" s="305"/>
    </row>
    <row r="1029" spans="3:14" x14ac:dyDescent="0.25">
      <c r="C1029" s="305"/>
      <c r="D1029" s="305"/>
      <c r="E1029" s="305"/>
      <c r="F1029" s="305"/>
      <c r="G1029" s="305"/>
      <c r="H1029" s="305"/>
      <c r="I1029" s="305"/>
      <c r="J1029" s="305"/>
      <c r="K1029" s="305"/>
      <c r="L1029" s="305"/>
      <c r="M1029" s="305"/>
      <c r="N1029" s="305"/>
    </row>
    <row r="1030" spans="3:14" x14ac:dyDescent="0.25">
      <c r="C1030" s="305"/>
      <c r="D1030" s="305"/>
      <c r="E1030" s="305"/>
      <c r="F1030" s="305"/>
      <c r="G1030" s="305"/>
      <c r="H1030" s="305"/>
      <c r="I1030" s="305"/>
      <c r="J1030" s="305"/>
      <c r="K1030" s="305"/>
      <c r="L1030" s="305"/>
      <c r="M1030" s="305"/>
      <c r="N1030" s="305"/>
    </row>
    <row r="1031" spans="3:14" x14ac:dyDescent="0.25">
      <c r="C1031" s="305"/>
      <c r="D1031" s="305"/>
      <c r="E1031" s="305"/>
      <c r="F1031" s="305"/>
      <c r="G1031" s="305"/>
      <c r="H1031" s="305"/>
      <c r="I1031" s="305"/>
      <c r="J1031" s="305"/>
      <c r="K1031" s="305"/>
      <c r="L1031" s="305"/>
      <c r="M1031" s="305"/>
      <c r="N1031" s="305"/>
    </row>
    <row r="1032" spans="3:14" x14ac:dyDescent="0.25">
      <c r="C1032" s="305"/>
      <c r="D1032" s="305"/>
      <c r="E1032" s="305"/>
      <c r="F1032" s="305"/>
      <c r="G1032" s="305"/>
      <c r="H1032" s="305"/>
      <c r="I1032" s="305"/>
      <c r="J1032" s="305"/>
      <c r="K1032" s="305"/>
      <c r="L1032" s="305"/>
      <c r="M1032" s="305"/>
      <c r="N1032" s="305"/>
    </row>
    <row r="1033" spans="3:14" x14ac:dyDescent="0.25">
      <c r="C1033" s="305"/>
      <c r="D1033" s="305"/>
      <c r="E1033" s="305"/>
      <c r="F1033" s="305"/>
      <c r="G1033" s="305"/>
      <c r="H1033" s="305"/>
      <c r="I1033" s="305"/>
      <c r="J1033" s="305"/>
      <c r="K1033" s="305"/>
      <c r="L1033" s="305"/>
      <c r="M1033" s="305"/>
      <c r="N1033" s="305"/>
    </row>
    <row r="1034" spans="3:14" x14ac:dyDescent="0.25">
      <c r="C1034" s="305"/>
      <c r="D1034" s="305"/>
      <c r="E1034" s="305"/>
      <c r="F1034" s="305"/>
      <c r="G1034" s="305"/>
      <c r="H1034" s="305"/>
      <c r="I1034" s="305"/>
      <c r="J1034" s="305"/>
      <c r="K1034" s="305"/>
      <c r="L1034" s="305"/>
      <c r="M1034" s="305"/>
      <c r="N1034" s="305"/>
    </row>
    <row r="1035" spans="3:14" x14ac:dyDescent="0.25">
      <c r="C1035" s="305"/>
      <c r="D1035" s="305"/>
      <c r="E1035" s="305"/>
      <c r="F1035" s="305"/>
      <c r="G1035" s="305"/>
      <c r="H1035" s="305"/>
      <c r="I1035" s="305"/>
      <c r="J1035" s="305"/>
      <c r="K1035" s="305"/>
      <c r="L1035" s="305"/>
      <c r="M1035" s="305"/>
      <c r="N1035" s="305"/>
    </row>
    <row r="1036" spans="3:14" x14ac:dyDescent="0.25">
      <c r="C1036" s="305"/>
      <c r="D1036" s="305"/>
      <c r="E1036" s="305"/>
      <c r="F1036" s="305"/>
      <c r="G1036" s="305"/>
      <c r="H1036" s="305"/>
      <c r="I1036" s="305"/>
      <c r="J1036" s="305"/>
      <c r="K1036" s="305"/>
      <c r="L1036" s="305"/>
      <c r="M1036" s="305"/>
      <c r="N1036" s="305"/>
    </row>
    <row r="1037" spans="3:14" x14ac:dyDescent="0.25">
      <c r="C1037" s="305"/>
      <c r="D1037" s="305"/>
      <c r="E1037" s="305"/>
      <c r="F1037" s="305"/>
      <c r="G1037" s="305"/>
      <c r="H1037" s="305"/>
      <c r="I1037" s="305"/>
      <c r="J1037" s="305"/>
      <c r="K1037" s="305"/>
      <c r="L1037" s="305"/>
      <c r="M1037" s="305"/>
      <c r="N1037" s="305"/>
    </row>
    <row r="1038" spans="3:14" x14ac:dyDescent="0.25">
      <c r="C1038" s="305"/>
      <c r="D1038" s="305"/>
      <c r="E1038" s="305"/>
      <c r="F1038" s="305"/>
      <c r="G1038" s="305"/>
      <c r="H1038" s="305"/>
      <c r="I1038" s="305"/>
      <c r="J1038" s="305"/>
      <c r="K1038" s="305"/>
      <c r="L1038" s="305"/>
      <c r="M1038" s="305"/>
      <c r="N1038" s="305"/>
    </row>
    <row r="1039" spans="3:14" x14ac:dyDescent="0.25">
      <c r="C1039" s="305"/>
      <c r="D1039" s="305"/>
      <c r="E1039" s="305"/>
      <c r="F1039" s="305"/>
      <c r="G1039" s="305"/>
      <c r="H1039" s="305"/>
      <c r="I1039" s="305"/>
      <c r="J1039" s="305"/>
      <c r="K1039" s="305"/>
      <c r="L1039" s="305"/>
      <c r="M1039" s="305"/>
      <c r="N1039" s="305"/>
    </row>
    <row r="1040" spans="3:14" x14ac:dyDescent="0.25">
      <c r="C1040" s="305"/>
      <c r="D1040" s="305"/>
      <c r="E1040" s="305"/>
      <c r="F1040" s="305"/>
      <c r="G1040" s="305"/>
      <c r="H1040" s="305"/>
      <c r="I1040" s="305"/>
      <c r="J1040" s="305"/>
      <c r="K1040" s="305"/>
      <c r="L1040" s="305"/>
      <c r="M1040" s="305"/>
      <c r="N1040" s="305"/>
    </row>
    <row r="1041" spans="3:14" x14ac:dyDescent="0.25">
      <c r="C1041" s="305"/>
      <c r="D1041" s="305"/>
      <c r="E1041" s="305"/>
      <c r="F1041" s="305"/>
      <c r="G1041" s="305"/>
      <c r="H1041" s="305"/>
      <c r="I1041" s="305"/>
      <c r="J1041" s="305"/>
      <c r="K1041" s="305"/>
      <c r="L1041" s="305"/>
      <c r="M1041" s="305"/>
      <c r="N1041" s="305"/>
    </row>
    <row r="1042" spans="3:14" x14ac:dyDescent="0.25">
      <c r="C1042" s="305"/>
      <c r="D1042" s="305"/>
      <c r="E1042" s="305"/>
      <c r="F1042" s="305"/>
      <c r="G1042" s="305"/>
      <c r="H1042" s="305"/>
      <c r="I1042" s="305"/>
      <c r="J1042" s="305"/>
      <c r="K1042" s="305"/>
      <c r="L1042" s="305"/>
      <c r="M1042" s="305"/>
      <c r="N1042" s="305"/>
    </row>
    <row r="1043" spans="3:14" x14ac:dyDescent="0.25">
      <c r="C1043" s="305"/>
      <c r="D1043" s="305"/>
      <c r="E1043" s="305"/>
      <c r="F1043" s="305"/>
      <c r="G1043" s="305"/>
      <c r="H1043" s="305"/>
      <c r="I1043" s="305"/>
      <c r="J1043" s="305"/>
      <c r="K1043" s="305"/>
      <c r="L1043" s="305"/>
      <c r="M1043" s="305"/>
      <c r="N1043" s="305"/>
    </row>
    <row r="1044" spans="3:14" x14ac:dyDescent="0.25">
      <c r="C1044" s="305"/>
      <c r="D1044" s="305"/>
      <c r="E1044" s="305"/>
      <c r="F1044" s="305"/>
      <c r="G1044" s="305"/>
      <c r="H1044" s="305"/>
      <c r="I1044" s="305"/>
      <c r="J1044" s="305"/>
      <c r="K1044" s="305"/>
      <c r="L1044" s="305"/>
      <c r="M1044" s="305"/>
      <c r="N1044" s="305"/>
    </row>
    <row r="1045" spans="3:14" x14ac:dyDescent="0.25">
      <c r="C1045" s="305"/>
      <c r="D1045" s="305"/>
      <c r="E1045" s="305"/>
      <c r="F1045" s="305"/>
      <c r="G1045" s="305"/>
      <c r="H1045" s="305"/>
      <c r="I1045" s="305"/>
      <c r="J1045" s="305"/>
      <c r="K1045" s="305"/>
      <c r="L1045" s="305"/>
      <c r="M1045" s="305"/>
      <c r="N1045" s="305"/>
    </row>
    <row r="1046" spans="3:14" x14ac:dyDescent="0.25">
      <c r="C1046" s="305"/>
      <c r="D1046" s="305"/>
      <c r="E1046" s="305"/>
      <c r="F1046" s="305"/>
      <c r="G1046" s="305"/>
      <c r="H1046" s="305"/>
      <c r="I1046" s="305"/>
      <c r="J1046" s="305"/>
      <c r="K1046" s="305"/>
      <c r="L1046" s="305"/>
      <c r="M1046" s="305"/>
      <c r="N1046" s="305"/>
    </row>
    <row r="1047" spans="3:14" x14ac:dyDescent="0.25">
      <c r="C1047" s="305"/>
      <c r="D1047" s="305"/>
      <c r="E1047" s="305"/>
      <c r="F1047" s="305"/>
      <c r="G1047" s="305"/>
      <c r="H1047" s="305"/>
      <c r="I1047" s="305"/>
      <c r="J1047" s="305"/>
      <c r="K1047" s="305"/>
      <c r="L1047" s="305"/>
      <c r="M1047" s="305"/>
      <c r="N1047" s="305"/>
    </row>
    <row r="1048" spans="3:14" x14ac:dyDescent="0.25">
      <c r="C1048" s="305"/>
      <c r="D1048" s="305"/>
      <c r="E1048" s="305"/>
      <c r="F1048" s="305"/>
      <c r="G1048" s="305"/>
      <c r="H1048" s="305"/>
      <c r="I1048" s="305"/>
      <c r="J1048" s="305"/>
      <c r="K1048" s="305"/>
      <c r="L1048" s="305"/>
      <c r="M1048" s="305"/>
      <c r="N1048" s="305"/>
    </row>
    <row r="1049" spans="3:14" x14ac:dyDescent="0.25">
      <c r="C1049" s="305"/>
      <c r="D1049" s="305"/>
      <c r="E1049" s="305"/>
      <c r="F1049" s="305"/>
      <c r="G1049" s="305"/>
      <c r="H1049" s="305"/>
      <c r="I1049" s="305"/>
      <c r="J1049" s="305"/>
      <c r="K1049" s="305"/>
      <c r="L1049" s="305"/>
      <c r="M1049" s="305"/>
      <c r="N1049" s="305"/>
    </row>
    <row r="1050" spans="3:14" x14ac:dyDescent="0.25">
      <c r="C1050" s="305"/>
      <c r="D1050" s="305"/>
      <c r="E1050" s="305"/>
      <c r="F1050" s="305"/>
      <c r="G1050" s="305"/>
      <c r="H1050" s="305"/>
      <c r="I1050" s="305"/>
      <c r="J1050" s="305"/>
      <c r="K1050" s="305"/>
      <c r="L1050" s="305"/>
      <c r="M1050" s="305"/>
      <c r="N1050" s="305"/>
    </row>
    <row r="1051" spans="3:14" x14ac:dyDescent="0.25">
      <c r="C1051" s="305"/>
      <c r="D1051" s="305"/>
      <c r="E1051" s="305"/>
      <c r="F1051" s="305"/>
      <c r="G1051" s="305"/>
      <c r="H1051" s="305"/>
      <c r="I1051" s="305"/>
      <c r="J1051" s="305"/>
      <c r="K1051" s="305"/>
      <c r="L1051" s="305"/>
      <c r="M1051" s="305"/>
      <c r="N1051" s="305"/>
    </row>
    <row r="1052" spans="3:14" x14ac:dyDescent="0.25">
      <c r="C1052" s="305"/>
      <c r="D1052" s="305"/>
      <c r="E1052" s="305"/>
      <c r="F1052" s="305"/>
      <c r="G1052" s="305"/>
      <c r="H1052" s="305"/>
      <c r="I1052" s="305"/>
      <c r="J1052" s="305"/>
      <c r="K1052" s="305"/>
      <c r="L1052" s="305"/>
      <c r="M1052" s="305"/>
      <c r="N1052" s="305"/>
    </row>
    <row r="1053" spans="3:14" x14ac:dyDescent="0.25">
      <c r="C1053" s="305"/>
      <c r="D1053" s="305"/>
      <c r="E1053" s="305"/>
      <c r="F1053" s="305"/>
      <c r="G1053" s="305"/>
      <c r="H1053" s="305"/>
      <c r="I1053" s="305"/>
      <c r="J1053" s="305"/>
      <c r="K1053" s="305"/>
      <c r="L1053" s="305"/>
      <c r="M1053" s="305"/>
      <c r="N1053" s="305"/>
    </row>
    <row r="1054" spans="3:14" x14ac:dyDescent="0.25">
      <c r="C1054" s="305"/>
      <c r="D1054" s="305"/>
      <c r="E1054" s="305"/>
      <c r="F1054" s="305"/>
      <c r="G1054" s="305"/>
      <c r="H1054" s="305"/>
      <c r="I1054" s="305"/>
      <c r="J1054" s="305"/>
      <c r="K1054" s="305"/>
      <c r="L1054" s="305"/>
      <c r="M1054" s="305"/>
      <c r="N1054" s="305"/>
    </row>
    <row r="1055" spans="3:14" x14ac:dyDescent="0.25">
      <c r="C1055" s="305"/>
      <c r="D1055" s="305"/>
      <c r="E1055" s="305"/>
      <c r="F1055" s="305"/>
      <c r="G1055" s="305"/>
      <c r="H1055" s="305"/>
      <c r="I1055" s="305"/>
      <c r="J1055" s="305"/>
      <c r="K1055" s="305"/>
      <c r="L1055" s="305"/>
      <c r="M1055" s="305"/>
      <c r="N1055" s="305"/>
    </row>
    <row r="1056" spans="3:14" x14ac:dyDescent="0.25">
      <c r="C1056" s="305"/>
      <c r="D1056" s="305"/>
      <c r="E1056" s="305"/>
      <c r="F1056" s="305"/>
      <c r="G1056" s="305"/>
      <c r="H1056" s="305"/>
      <c r="I1056" s="305"/>
      <c r="J1056" s="305"/>
      <c r="K1056" s="305"/>
      <c r="L1056" s="305"/>
      <c r="M1056" s="305"/>
      <c r="N1056" s="305"/>
    </row>
    <row r="1057" spans="3:14" x14ac:dyDescent="0.25">
      <c r="C1057" s="305"/>
      <c r="D1057" s="305"/>
      <c r="E1057" s="305"/>
      <c r="F1057" s="305"/>
      <c r="G1057" s="305"/>
      <c r="H1057" s="305"/>
      <c r="I1057" s="305"/>
      <c r="J1057" s="305"/>
      <c r="K1057" s="305"/>
      <c r="L1057" s="305"/>
      <c r="M1057" s="305"/>
      <c r="N1057" s="305"/>
    </row>
    <row r="1058" spans="3:14" x14ac:dyDescent="0.25">
      <c r="C1058" s="305"/>
      <c r="D1058" s="305"/>
      <c r="E1058" s="305"/>
      <c r="F1058" s="305"/>
      <c r="G1058" s="305"/>
      <c r="H1058" s="305"/>
      <c r="I1058" s="305"/>
      <c r="J1058" s="305"/>
      <c r="K1058" s="305"/>
      <c r="L1058" s="305"/>
      <c r="M1058" s="305"/>
      <c r="N1058" s="305"/>
    </row>
    <row r="1059" spans="3:14" x14ac:dyDescent="0.25">
      <c r="C1059" s="305"/>
      <c r="D1059" s="305"/>
      <c r="E1059" s="305"/>
      <c r="F1059" s="305"/>
      <c r="G1059" s="305"/>
      <c r="H1059" s="305"/>
      <c r="I1059" s="305"/>
      <c r="J1059" s="305"/>
      <c r="K1059" s="305"/>
      <c r="L1059" s="305"/>
      <c r="M1059" s="305"/>
      <c r="N1059" s="305"/>
    </row>
    <row r="1060" spans="3:14" x14ac:dyDescent="0.25">
      <c r="C1060" s="305"/>
      <c r="D1060" s="305"/>
      <c r="E1060" s="305"/>
      <c r="F1060" s="305"/>
      <c r="G1060" s="305"/>
      <c r="H1060" s="305"/>
      <c r="I1060" s="305"/>
      <c r="J1060" s="305"/>
      <c r="K1060" s="305"/>
      <c r="L1060" s="305"/>
      <c r="M1060" s="305"/>
      <c r="N1060" s="305"/>
    </row>
    <row r="1061" spans="3:14" x14ac:dyDescent="0.25">
      <c r="C1061" s="305"/>
      <c r="D1061" s="305"/>
      <c r="E1061" s="305"/>
      <c r="F1061" s="305"/>
      <c r="G1061" s="305"/>
      <c r="H1061" s="305"/>
      <c r="I1061" s="305"/>
      <c r="J1061" s="305"/>
      <c r="K1061" s="305"/>
      <c r="L1061" s="305"/>
      <c r="M1061" s="305"/>
      <c r="N1061" s="305"/>
    </row>
    <row r="1062" spans="3:14" x14ac:dyDescent="0.25">
      <c r="C1062" s="305"/>
      <c r="D1062" s="305"/>
      <c r="E1062" s="305"/>
      <c r="F1062" s="305"/>
      <c r="G1062" s="305"/>
      <c r="H1062" s="305"/>
      <c r="I1062" s="305"/>
      <c r="J1062" s="305"/>
      <c r="K1062" s="305"/>
      <c r="L1062" s="305"/>
      <c r="M1062" s="305"/>
      <c r="N1062" s="305"/>
    </row>
    <row r="1063" spans="3:14" x14ac:dyDescent="0.25">
      <c r="C1063" s="305"/>
      <c r="D1063" s="305"/>
      <c r="E1063" s="305"/>
      <c r="F1063" s="305"/>
      <c r="G1063" s="305"/>
      <c r="H1063" s="305"/>
      <c r="I1063" s="305"/>
      <c r="J1063" s="305"/>
      <c r="K1063" s="305"/>
      <c r="L1063" s="305"/>
      <c r="M1063" s="305"/>
      <c r="N1063" s="305"/>
    </row>
    <row r="1064" spans="3:14" x14ac:dyDescent="0.25">
      <c r="C1064" s="305"/>
      <c r="D1064" s="305"/>
      <c r="E1064" s="305"/>
      <c r="F1064" s="305"/>
      <c r="G1064" s="305"/>
      <c r="H1064" s="305"/>
      <c r="I1064" s="305"/>
      <c r="J1064" s="305"/>
      <c r="K1064" s="305"/>
      <c r="L1064" s="305"/>
      <c r="M1064" s="305"/>
      <c r="N1064" s="305"/>
    </row>
    <row r="1065" spans="3:14" x14ac:dyDescent="0.25">
      <c r="C1065" s="305"/>
      <c r="D1065" s="305"/>
      <c r="E1065" s="305"/>
      <c r="F1065" s="305"/>
      <c r="G1065" s="305"/>
      <c r="H1065" s="305"/>
      <c r="I1065" s="305"/>
      <c r="J1065" s="305"/>
      <c r="K1065" s="305"/>
      <c r="L1065" s="305"/>
      <c r="M1065" s="305"/>
      <c r="N1065" s="305"/>
    </row>
    <row r="1066" spans="3:14" x14ac:dyDescent="0.25">
      <c r="C1066" s="305"/>
      <c r="D1066" s="305"/>
      <c r="E1066" s="305"/>
      <c r="F1066" s="305"/>
      <c r="G1066" s="305"/>
      <c r="H1066" s="305"/>
      <c r="I1066" s="305"/>
      <c r="J1066" s="305"/>
      <c r="K1066" s="305"/>
      <c r="L1066" s="305"/>
      <c r="M1066" s="305"/>
      <c r="N1066" s="305"/>
    </row>
    <row r="1067" spans="3:14" x14ac:dyDescent="0.25">
      <c r="C1067" s="305"/>
      <c r="D1067" s="305"/>
      <c r="E1067" s="305"/>
      <c r="F1067" s="305"/>
      <c r="G1067" s="305"/>
      <c r="H1067" s="305"/>
      <c r="I1067" s="305"/>
      <c r="J1067" s="305"/>
      <c r="K1067" s="305"/>
      <c r="L1067" s="305"/>
      <c r="M1067" s="305"/>
      <c r="N1067" s="305"/>
    </row>
    <row r="1068" spans="3:14" x14ac:dyDescent="0.25">
      <c r="C1068" s="305"/>
      <c r="D1068" s="305"/>
      <c r="E1068" s="305"/>
      <c r="F1068" s="305"/>
      <c r="G1068" s="305"/>
      <c r="H1068" s="305"/>
      <c r="I1068" s="305"/>
      <c r="J1068" s="305"/>
      <c r="K1068" s="305"/>
      <c r="L1068" s="305"/>
      <c r="M1068" s="305"/>
      <c r="N1068" s="305"/>
    </row>
    <row r="1069" spans="3:14" x14ac:dyDescent="0.25">
      <c r="C1069" s="305"/>
      <c r="D1069" s="305"/>
      <c r="E1069" s="305"/>
      <c r="F1069" s="305"/>
      <c r="G1069" s="305"/>
      <c r="H1069" s="305"/>
      <c r="I1069" s="305"/>
      <c r="J1069" s="305"/>
      <c r="K1069" s="305"/>
      <c r="L1069" s="305"/>
      <c r="M1069" s="305"/>
      <c r="N1069" s="305"/>
    </row>
    <row r="1070" spans="3:14" x14ac:dyDescent="0.25">
      <c r="C1070" s="305"/>
      <c r="D1070" s="305"/>
      <c r="E1070" s="305"/>
      <c r="F1070" s="305"/>
      <c r="G1070" s="305"/>
      <c r="H1070" s="305"/>
      <c r="I1070" s="305"/>
      <c r="J1070" s="305"/>
      <c r="K1070" s="305"/>
      <c r="L1070" s="305"/>
      <c r="M1070" s="305"/>
      <c r="N1070" s="305"/>
    </row>
    <row r="1071" spans="3:14" x14ac:dyDescent="0.25">
      <c r="C1071" s="305"/>
      <c r="D1071" s="305"/>
      <c r="E1071" s="305"/>
      <c r="F1071" s="305"/>
      <c r="G1071" s="305"/>
      <c r="H1071" s="305"/>
      <c r="I1071" s="305"/>
      <c r="J1071" s="305"/>
      <c r="K1071" s="305"/>
      <c r="L1071" s="305"/>
      <c r="M1071" s="305"/>
      <c r="N1071" s="305"/>
    </row>
    <row r="1072" spans="3:14" x14ac:dyDescent="0.25">
      <c r="C1072" s="305"/>
      <c r="D1072" s="305"/>
      <c r="E1072" s="305"/>
      <c r="F1072" s="305"/>
      <c r="G1072" s="305"/>
      <c r="H1072" s="305"/>
      <c r="I1072" s="305"/>
      <c r="J1072" s="305"/>
      <c r="K1072" s="305"/>
      <c r="L1072" s="305"/>
      <c r="M1072" s="305"/>
      <c r="N1072" s="305"/>
    </row>
    <row r="1073" spans="3:14" x14ac:dyDescent="0.25">
      <c r="C1073" s="305"/>
      <c r="D1073" s="305"/>
      <c r="E1073" s="305"/>
      <c r="F1073" s="305"/>
      <c r="G1073" s="305"/>
      <c r="H1073" s="305"/>
      <c r="I1073" s="305"/>
      <c r="J1073" s="305"/>
      <c r="K1073" s="305"/>
      <c r="L1073" s="305"/>
      <c r="M1073" s="305"/>
      <c r="N1073" s="305"/>
    </row>
    <row r="1074" spans="3:14" x14ac:dyDescent="0.25">
      <c r="C1074" s="305"/>
      <c r="D1074" s="305"/>
      <c r="E1074" s="305"/>
      <c r="F1074" s="305"/>
      <c r="G1074" s="305"/>
      <c r="H1074" s="305"/>
      <c r="I1074" s="305"/>
      <c r="J1074" s="305"/>
      <c r="K1074" s="305"/>
      <c r="L1074" s="305"/>
      <c r="M1074" s="305"/>
      <c r="N1074" s="305"/>
    </row>
    <row r="1075" spans="3:14" x14ac:dyDescent="0.25">
      <c r="C1075" s="305"/>
      <c r="D1075" s="305"/>
      <c r="E1075" s="305"/>
      <c r="F1075" s="305"/>
      <c r="G1075" s="305"/>
      <c r="H1075" s="305"/>
      <c r="I1075" s="305"/>
      <c r="J1075" s="305"/>
      <c r="K1075" s="305"/>
      <c r="L1075" s="305"/>
      <c r="M1075" s="305"/>
      <c r="N1075" s="305"/>
    </row>
    <row r="1076" spans="3:14" x14ac:dyDescent="0.25">
      <c r="C1076" s="305"/>
      <c r="D1076" s="305"/>
      <c r="E1076" s="305"/>
      <c r="F1076" s="305"/>
      <c r="G1076" s="305"/>
      <c r="H1076" s="305"/>
      <c r="I1076" s="305"/>
      <c r="J1076" s="305"/>
      <c r="K1076" s="305"/>
      <c r="L1076" s="305"/>
      <c r="M1076" s="305"/>
      <c r="N1076" s="305"/>
    </row>
    <row r="1077" spans="3:14" x14ac:dyDescent="0.25">
      <c r="C1077" s="305"/>
      <c r="D1077" s="305"/>
      <c r="E1077" s="305"/>
      <c r="F1077" s="305"/>
      <c r="G1077" s="305"/>
      <c r="H1077" s="305"/>
      <c r="I1077" s="305"/>
      <c r="J1077" s="305"/>
      <c r="K1077" s="305"/>
      <c r="L1077" s="305"/>
      <c r="M1077" s="305"/>
      <c r="N1077" s="305"/>
    </row>
    <row r="1078" spans="3:14" x14ac:dyDescent="0.25">
      <c r="C1078" s="305"/>
      <c r="D1078" s="305"/>
      <c r="E1078" s="305"/>
      <c r="F1078" s="305"/>
      <c r="G1078" s="305"/>
      <c r="H1078" s="305"/>
      <c r="I1078" s="305"/>
      <c r="J1078" s="305"/>
      <c r="K1078" s="305"/>
      <c r="L1078" s="305"/>
      <c r="M1078" s="305"/>
      <c r="N1078" s="305"/>
    </row>
    <row r="1079" spans="3:14" x14ac:dyDescent="0.25">
      <c r="C1079" s="305"/>
      <c r="D1079" s="305"/>
      <c r="E1079" s="305"/>
      <c r="F1079" s="305"/>
      <c r="G1079" s="305"/>
      <c r="H1079" s="305"/>
      <c r="I1079" s="305"/>
      <c r="J1079" s="305"/>
      <c r="K1079" s="305"/>
      <c r="L1079" s="305"/>
      <c r="M1079" s="305"/>
      <c r="N1079" s="305"/>
    </row>
    <row r="1080" spans="3:14" x14ac:dyDescent="0.25">
      <c r="C1080" s="305"/>
      <c r="D1080" s="305"/>
      <c r="E1080" s="305"/>
      <c r="F1080" s="305"/>
      <c r="G1080" s="305"/>
      <c r="H1080" s="305"/>
      <c r="I1080" s="305"/>
      <c r="J1080" s="305"/>
      <c r="K1080" s="305"/>
      <c r="L1080" s="305"/>
      <c r="M1080" s="305"/>
      <c r="N1080" s="305"/>
    </row>
    <row r="1081" spans="3:14" x14ac:dyDescent="0.25">
      <c r="C1081" s="305"/>
      <c r="D1081" s="305"/>
      <c r="E1081" s="305"/>
      <c r="F1081" s="305"/>
      <c r="G1081" s="305"/>
      <c r="H1081" s="305"/>
      <c r="I1081" s="305"/>
      <c r="J1081" s="305"/>
      <c r="K1081" s="305"/>
      <c r="L1081" s="305"/>
      <c r="M1081" s="305"/>
      <c r="N1081" s="305"/>
    </row>
    <row r="1082" spans="3:14" x14ac:dyDescent="0.25">
      <c r="C1082" s="305"/>
      <c r="D1082" s="305"/>
      <c r="E1082" s="305"/>
      <c r="F1082" s="305"/>
      <c r="G1082" s="305"/>
      <c r="H1082" s="305"/>
      <c r="I1082" s="305"/>
      <c r="J1082" s="305"/>
      <c r="K1082" s="305"/>
      <c r="L1082" s="305"/>
      <c r="M1082" s="305"/>
      <c r="N1082" s="305"/>
    </row>
    <row r="1083" spans="3:14" x14ac:dyDescent="0.25">
      <c r="C1083" s="305"/>
      <c r="D1083" s="305"/>
      <c r="E1083" s="305"/>
      <c r="F1083" s="305"/>
      <c r="G1083" s="305"/>
      <c r="H1083" s="305"/>
      <c r="I1083" s="305"/>
      <c r="J1083" s="305"/>
      <c r="K1083" s="305"/>
      <c r="L1083" s="305"/>
      <c r="M1083" s="305"/>
      <c r="N1083" s="305"/>
    </row>
    <row r="1084" spans="3:14" x14ac:dyDescent="0.25">
      <c r="C1084" s="305"/>
      <c r="D1084" s="305"/>
      <c r="E1084" s="305"/>
      <c r="F1084" s="305"/>
      <c r="G1084" s="305"/>
      <c r="H1084" s="305"/>
      <c r="I1084" s="305"/>
      <c r="J1084" s="305"/>
      <c r="K1084" s="305"/>
      <c r="L1084" s="305"/>
      <c r="M1084" s="305"/>
      <c r="N1084" s="305"/>
    </row>
    <row r="1085" spans="3:14" x14ac:dyDescent="0.25">
      <c r="C1085" s="305"/>
      <c r="D1085" s="305"/>
      <c r="E1085" s="305"/>
      <c r="F1085" s="305"/>
      <c r="G1085" s="305"/>
      <c r="H1085" s="305"/>
      <c r="I1085" s="305"/>
      <c r="J1085" s="305"/>
      <c r="K1085" s="305"/>
      <c r="L1085" s="305"/>
      <c r="M1085" s="305"/>
      <c r="N1085" s="305"/>
    </row>
    <row r="1086" spans="3:14" x14ac:dyDescent="0.25">
      <c r="C1086" s="305"/>
      <c r="D1086" s="305"/>
      <c r="E1086" s="305"/>
      <c r="F1086" s="305"/>
      <c r="G1086" s="305"/>
      <c r="H1086" s="305"/>
      <c r="I1086" s="305"/>
      <c r="J1086" s="305"/>
      <c r="K1086" s="305"/>
      <c r="L1086" s="305"/>
      <c r="M1086" s="305"/>
      <c r="N1086" s="305"/>
    </row>
    <row r="1087" spans="3:14" x14ac:dyDescent="0.25">
      <c r="C1087" s="305"/>
      <c r="D1087" s="305"/>
      <c r="E1087" s="305"/>
      <c r="F1087" s="305"/>
      <c r="G1087" s="305"/>
      <c r="H1087" s="305"/>
      <c r="I1087" s="305"/>
      <c r="J1087" s="305"/>
      <c r="K1087" s="305"/>
      <c r="L1087" s="305"/>
      <c r="M1087" s="305"/>
      <c r="N1087" s="305"/>
    </row>
    <row r="1088" spans="3:14" x14ac:dyDescent="0.25">
      <c r="C1088" s="305"/>
      <c r="D1088" s="305"/>
      <c r="E1088" s="305"/>
      <c r="F1088" s="305"/>
      <c r="G1088" s="305"/>
      <c r="H1088" s="305"/>
      <c r="I1088" s="305"/>
      <c r="J1088" s="305"/>
      <c r="K1088" s="305"/>
      <c r="L1088" s="305"/>
      <c r="M1088" s="305"/>
      <c r="N1088" s="305"/>
    </row>
    <row r="1089" spans="3:14" x14ac:dyDescent="0.25">
      <c r="C1089" s="305"/>
      <c r="D1089" s="305"/>
      <c r="E1089" s="305"/>
      <c r="F1089" s="305"/>
      <c r="G1089" s="305"/>
      <c r="H1089" s="305"/>
      <c r="I1089" s="305"/>
      <c r="J1089" s="305"/>
      <c r="K1089" s="305"/>
      <c r="L1089" s="305"/>
      <c r="M1089" s="305"/>
      <c r="N1089" s="305"/>
    </row>
    <row r="1090" spans="3:14" x14ac:dyDescent="0.25">
      <c r="C1090" s="305"/>
      <c r="D1090" s="305"/>
      <c r="E1090" s="305"/>
      <c r="F1090" s="305"/>
      <c r="G1090" s="305"/>
      <c r="H1090" s="305"/>
      <c r="I1090" s="305"/>
      <c r="J1090" s="305"/>
      <c r="K1090" s="305"/>
      <c r="L1090" s="305"/>
      <c r="M1090" s="305"/>
      <c r="N1090" s="305"/>
    </row>
    <row r="1091" spans="3:14" x14ac:dyDescent="0.25">
      <c r="C1091" s="305"/>
      <c r="D1091" s="305"/>
      <c r="E1091" s="305"/>
      <c r="F1091" s="305"/>
      <c r="G1091" s="305"/>
      <c r="H1091" s="305"/>
      <c r="I1091" s="305"/>
      <c r="J1091" s="305"/>
      <c r="K1091" s="305"/>
      <c r="L1091" s="305"/>
      <c r="M1091" s="305"/>
      <c r="N1091" s="305"/>
    </row>
    <row r="1092" spans="3:14" x14ac:dyDescent="0.25">
      <c r="C1092" s="305"/>
      <c r="D1092" s="305"/>
      <c r="E1092" s="305"/>
      <c r="F1092" s="305"/>
      <c r="G1092" s="305"/>
      <c r="H1092" s="305"/>
      <c r="I1092" s="305"/>
      <c r="J1092" s="305"/>
      <c r="K1092" s="305"/>
      <c r="L1092" s="305"/>
      <c r="M1092" s="305"/>
      <c r="N1092" s="305"/>
    </row>
    <row r="1093" spans="3:14" x14ac:dyDescent="0.25">
      <c r="C1093" s="305"/>
      <c r="D1093" s="305"/>
      <c r="E1093" s="305"/>
      <c r="F1093" s="305"/>
      <c r="G1093" s="305"/>
      <c r="H1093" s="305"/>
      <c r="I1093" s="305"/>
      <c r="J1093" s="305"/>
      <c r="K1093" s="305"/>
      <c r="L1093" s="305"/>
      <c r="M1093" s="305"/>
      <c r="N1093" s="305"/>
    </row>
    <row r="1094" spans="3:14" x14ac:dyDescent="0.25">
      <c r="C1094" s="305"/>
      <c r="D1094" s="305"/>
      <c r="E1094" s="305"/>
      <c r="F1094" s="305"/>
      <c r="G1094" s="305"/>
      <c r="H1094" s="305"/>
      <c r="I1094" s="305"/>
      <c r="J1094" s="305"/>
      <c r="K1094" s="305"/>
      <c r="L1094" s="305"/>
      <c r="M1094" s="305"/>
      <c r="N1094" s="305"/>
    </row>
    <row r="1095" spans="3:14" x14ac:dyDescent="0.25">
      <c r="C1095" s="305"/>
      <c r="D1095" s="305"/>
      <c r="E1095" s="305"/>
      <c r="F1095" s="305"/>
      <c r="G1095" s="305"/>
      <c r="H1095" s="305"/>
      <c r="I1095" s="305"/>
      <c r="J1095" s="305"/>
      <c r="K1095" s="305"/>
      <c r="L1095" s="305"/>
      <c r="M1095" s="305"/>
      <c r="N1095" s="305"/>
    </row>
    <row r="1096" spans="3:14" x14ac:dyDescent="0.25">
      <c r="C1096" s="305"/>
      <c r="D1096" s="305"/>
      <c r="E1096" s="305"/>
      <c r="F1096" s="305"/>
      <c r="G1096" s="305"/>
      <c r="H1096" s="305"/>
      <c r="I1096" s="305"/>
      <c r="J1096" s="305"/>
      <c r="K1096" s="305"/>
      <c r="L1096" s="305"/>
      <c r="M1096" s="305"/>
      <c r="N1096" s="305"/>
    </row>
    <row r="1097" spans="3:14" x14ac:dyDescent="0.25">
      <c r="C1097" s="305"/>
      <c r="D1097" s="305"/>
      <c r="E1097" s="305"/>
      <c r="F1097" s="305"/>
      <c r="G1097" s="305"/>
      <c r="H1097" s="305"/>
      <c r="I1097" s="305"/>
      <c r="J1097" s="305"/>
      <c r="K1097" s="305"/>
      <c r="L1097" s="305"/>
      <c r="M1097" s="305"/>
      <c r="N1097" s="305"/>
    </row>
    <row r="1098" spans="3:14" x14ac:dyDescent="0.25">
      <c r="C1098" s="305"/>
      <c r="D1098" s="305"/>
      <c r="E1098" s="305"/>
      <c r="F1098" s="305"/>
      <c r="G1098" s="305"/>
      <c r="H1098" s="305"/>
      <c r="I1098" s="305"/>
      <c r="J1098" s="305"/>
      <c r="K1098" s="305"/>
      <c r="L1098" s="305"/>
      <c r="M1098" s="305"/>
      <c r="N1098" s="305"/>
    </row>
    <row r="1099" spans="3:14" x14ac:dyDescent="0.25">
      <c r="C1099" s="305"/>
      <c r="D1099" s="305"/>
      <c r="E1099" s="305"/>
      <c r="F1099" s="305"/>
      <c r="G1099" s="305"/>
      <c r="H1099" s="305"/>
      <c r="I1099" s="305"/>
      <c r="J1099" s="305"/>
      <c r="K1099" s="305"/>
      <c r="L1099" s="305"/>
      <c r="M1099" s="305"/>
      <c r="N1099" s="305"/>
    </row>
    <row r="1100" spans="3:14" x14ac:dyDescent="0.25">
      <c r="C1100" s="305"/>
      <c r="D1100" s="305"/>
      <c r="E1100" s="305"/>
      <c r="F1100" s="305"/>
      <c r="G1100" s="305"/>
      <c r="H1100" s="305"/>
      <c r="I1100" s="305"/>
      <c r="J1100" s="305"/>
      <c r="K1100" s="305"/>
      <c r="L1100" s="305"/>
      <c r="M1100" s="305"/>
      <c r="N1100" s="305"/>
    </row>
    <row r="1101" spans="3:14" x14ac:dyDescent="0.25">
      <c r="C1101" s="305"/>
      <c r="D1101" s="305"/>
      <c r="E1101" s="305"/>
      <c r="F1101" s="305"/>
      <c r="G1101" s="305"/>
      <c r="H1101" s="305"/>
      <c r="I1101" s="305"/>
      <c r="J1101" s="305"/>
      <c r="K1101" s="305"/>
      <c r="L1101" s="305"/>
      <c r="M1101" s="305"/>
      <c r="N1101" s="305"/>
    </row>
    <row r="1102" spans="3:14" x14ac:dyDescent="0.25">
      <c r="C1102" s="305"/>
      <c r="D1102" s="305"/>
      <c r="E1102" s="305"/>
      <c r="F1102" s="305"/>
      <c r="G1102" s="305"/>
      <c r="H1102" s="305"/>
      <c r="I1102" s="305"/>
      <c r="J1102" s="305"/>
      <c r="K1102" s="305"/>
      <c r="L1102" s="305"/>
      <c r="M1102" s="305"/>
      <c r="N1102" s="305"/>
    </row>
    <row r="1103" spans="3:14" x14ac:dyDescent="0.25">
      <c r="C1103" s="305"/>
      <c r="D1103" s="305"/>
      <c r="E1103" s="305"/>
      <c r="F1103" s="305"/>
      <c r="G1103" s="305"/>
      <c r="H1103" s="305"/>
      <c r="I1103" s="305"/>
      <c r="J1103" s="305"/>
      <c r="K1103" s="305"/>
      <c r="L1103" s="305"/>
      <c r="M1103" s="305"/>
      <c r="N1103" s="305"/>
    </row>
    <row r="1104" spans="3:14" x14ac:dyDescent="0.25">
      <c r="C1104" s="305"/>
      <c r="D1104" s="305"/>
      <c r="E1104" s="305"/>
      <c r="F1104" s="305"/>
      <c r="G1104" s="305"/>
      <c r="H1104" s="305"/>
      <c r="I1104" s="305"/>
      <c r="J1104" s="305"/>
      <c r="K1104" s="305"/>
      <c r="L1104" s="305"/>
      <c r="M1104" s="305"/>
      <c r="N1104" s="305"/>
    </row>
    <row r="1105" spans="3:14" x14ac:dyDescent="0.25">
      <c r="C1105" s="305"/>
      <c r="D1105" s="305"/>
      <c r="E1105" s="305"/>
      <c r="F1105" s="305"/>
      <c r="G1105" s="305"/>
      <c r="H1105" s="305"/>
      <c r="I1105" s="305"/>
      <c r="J1105" s="305"/>
      <c r="K1105" s="305"/>
      <c r="L1105" s="305"/>
      <c r="M1105" s="305"/>
      <c r="N1105" s="305"/>
    </row>
    <row r="1106" spans="3:14" x14ac:dyDescent="0.25">
      <c r="C1106" s="305"/>
      <c r="D1106" s="305"/>
      <c r="E1106" s="305"/>
      <c r="F1106" s="305"/>
      <c r="G1106" s="305"/>
      <c r="H1106" s="305"/>
      <c r="I1106" s="305"/>
      <c r="J1106" s="305"/>
      <c r="K1106" s="305"/>
      <c r="L1106" s="305"/>
      <c r="M1106" s="305"/>
      <c r="N1106" s="305"/>
    </row>
    <row r="1107" spans="3:14" x14ac:dyDescent="0.25">
      <c r="C1107" s="305"/>
      <c r="D1107" s="305"/>
      <c r="E1107" s="305"/>
      <c r="F1107" s="305"/>
      <c r="G1107" s="305"/>
      <c r="H1107" s="305"/>
      <c r="I1107" s="305"/>
      <c r="J1107" s="305"/>
      <c r="K1107" s="305"/>
      <c r="L1107" s="305"/>
      <c r="M1107" s="305"/>
      <c r="N1107" s="305"/>
    </row>
    <row r="1108" spans="3:14" x14ac:dyDescent="0.25">
      <c r="C1108" s="305"/>
      <c r="D1108" s="305"/>
      <c r="E1108" s="305"/>
      <c r="F1108" s="305"/>
      <c r="G1108" s="305"/>
      <c r="H1108" s="305"/>
      <c r="I1108" s="305"/>
      <c r="J1108" s="305"/>
      <c r="K1108" s="305"/>
      <c r="L1108" s="305"/>
      <c r="M1108" s="305"/>
      <c r="N1108" s="305"/>
    </row>
    <row r="1109" spans="3:14" x14ac:dyDescent="0.25">
      <c r="C1109" s="305"/>
      <c r="D1109" s="305"/>
      <c r="E1109" s="305"/>
      <c r="F1109" s="305"/>
      <c r="G1109" s="305"/>
      <c r="H1109" s="305"/>
      <c r="I1109" s="305"/>
      <c r="J1109" s="305"/>
      <c r="K1109" s="305"/>
      <c r="L1109" s="305"/>
      <c r="M1109" s="305"/>
      <c r="N1109" s="305"/>
    </row>
    <row r="1110" spans="3:14" x14ac:dyDescent="0.25">
      <c r="C1110" s="305"/>
      <c r="D1110" s="305"/>
      <c r="E1110" s="305"/>
      <c r="F1110" s="305"/>
      <c r="G1110" s="305"/>
      <c r="H1110" s="305"/>
      <c r="I1110" s="305"/>
      <c r="J1110" s="305"/>
      <c r="K1110" s="305"/>
      <c r="L1110" s="305"/>
      <c r="M1110" s="305"/>
      <c r="N1110" s="305"/>
    </row>
    <row r="1111" spans="3:14" x14ac:dyDescent="0.25">
      <c r="C1111" s="305"/>
      <c r="D1111" s="305"/>
      <c r="E1111" s="305"/>
      <c r="F1111" s="305"/>
      <c r="G1111" s="305"/>
      <c r="H1111" s="305"/>
      <c r="I1111" s="305"/>
      <c r="J1111" s="305"/>
      <c r="K1111" s="305"/>
      <c r="L1111" s="305"/>
      <c r="M1111" s="305"/>
      <c r="N1111" s="305"/>
    </row>
    <row r="1112" spans="3:14" x14ac:dyDescent="0.25">
      <c r="C1112" s="305"/>
      <c r="D1112" s="305"/>
      <c r="E1112" s="305"/>
      <c r="F1112" s="305"/>
      <c r="G1112" s="305"/>
      <c r="H1112" s="305"/>
      <c r="I1112" s="305"/>
      <c r="J1112" s="305"/>
      <c r="K1112" s="305"/>
      <c r="L1112" s="305"/>
      <c r="M1112" s="305"/>
      <c r="N1112" s="305"/>
    </row>
    <row r="1113" spans="3:14" x14ac:dyDescent="0.25">
      <c r="C1113" s="305"/>
      <c r="D1113" s="305"/>
      <c r="E1113" s="305"/>
      <c r="F1113" s="305"/>
      <c r="G1113" s="305"/>
      <c r="H1113" s="305"/>
      <c r="I1113" s="305"/>
      <c r="J1113" s="305"/>
      <c r="K1113" s="305"/>
      <c r="L1113" s="305"/>
      <c r="M1113" s="305"/>
      <c r="N1113" s="305"/>
    </row>
    <row r="1114" spans="3:14" x14ac:dyDescent="0.25">
      <c r="C1114" s="305"/>
      <c r="D1114" s="305"/>
      <c r="E1114" s="305"/>
      <c r="F1114" s="305"/>
      <c r="G1114" s="305"/>
      <c r="H1114" s="305"/>
      <c r="I1114" s="305"/>
      <c r="J1114" s="305"/>
      <c r="K1114" s="305"/>
      <c r="L1114" s="305"/>
      <c r="M1114" s="305"/>
      <c r="N1114" s="305"/>
    </row>
    <row r="1115" spans="3:14" x14ac:dyDescent="0.25">
      <c r="C1115" s="305"/>
      <c r="D1115" s="305"/>
      <c r="E1115" s="305"/>
      <c r="F1115" s="305"/>
      <c r="G1115" s="305"/>
      <c r="H1115" s="305"/>
      <c r="I1115" s="305"/>
      <c r="J1115" s="305"/>
      <c r="K1115" s="305"/>
      <c r="L1115" s="305"/>
      <c r="M1115" s="305"/>
      <c r="N1115" s="305"/>
    </row>
    <row r="1116" spans="3:14" x14ac:dyDescent="0.25">
      <c r="C1116" s="305"/>
      <c r="D1116" s="305"/>
      <c r="E1116" s="305"/>
      <c r="F1116" s="305"/>
      <c r="G1116" s="305"/>
      <c r="H1116" s="305"/>
      <c r="I1116" s="305"/>
      <c r="J1116" s="305"/>
      <c r="K1116" s="305"/>
      <c r="L1116" s="305"/>
      <c r="M1116" s="305"/>
      <c r="N1116" s="305"/>
    </row>
    <row r="1117" spans="3:14" x14ac:dyDescent="0.25">
      <c r="C1117" s="305"/>
      <c r="D1117" s="305"/>
      <c r="E1117" s="305"/>
      <c r="F1117" s="305"/>
      <c r="G1117" s="305"/>
      <c r="H1117" s="305"/>
      <c r="I1117" s="305"/>
      <c r="J1117" s="305"/>
      <c r="K1117" s="305"/>
      <c r="L1117" s="305"/>
      <c r="M1117" s="305"/>
      <c r="N1117" s="305"/>
    </row>
    <row r="1118" spans="3:14" x14ac:dyDescent="0.25">
      <c r="C1118" s="305"/>
      <c r="D1118" s="305"/>
      <c r="E1118" s="305"/>
      <c r="F1118" s="305"/>
      <c r="G1118" s="305"/>
      <c r="H1118" s="305"/>
      <c r="I1118" s="305"/>
      <c r="J1118" s="305"/>
      <c r="K1118" s="305"/>
      <c r="L1118" s="305"/>
      <c r="M1118" s="305"/>
      <c r="N1118" s="305"/>
    </row>
    <row r="1119" spans="3:14" x14ac:dyDescent="0.25">
      <c r="C1119" s="305"/>
      <c r="D1119" s="305"/>
      <c r="E1119" s="305"/>
      <c r="F1119" s="305"/>
      <c r="G1119" s="305"/>
      <c r="H1119" s="305"/>
      <c r="I1119" s="305"/>
      <c r="J1119" s="305"/>
      <c r="K1119" s="305"/>
      <c r="L1119" s="305"/>
      <c r="M1119" s="305"/>
      <c r="N1119" s="305"/>
    </row>
    <row r="1120" spans="3:14" x14ac:dyDescent="0.25">
      <c r="C1120" s="305"/>
      <c r="D1120" s="305"/>
      <c r="E1120" s="305"/>
      <c r="F1120" s="305"/>
      <c r="G1120" s="305"/>
      <c r="H1120" s="305"/>
      <c r="I1120" s="305"/>
      <c r="J1120" s="305"/>
      <c r="K1120" s="305"/>
      <c r="L1120" s="305"/>
      <c r="M1120" s="305"/>
      <c r="N1120" s="305"/>
    </row>
    <row r="1121" spans="3:14" x14ac:dyDescent="0.25">
      <c r="C1121" s="305"/>
      <c r="D1121" s="305"/>
      <c r="E1121" s="305"/>
      <c r="F1121" s="305"/>
      <c r="G1121" s="305"/>
      <c r="H1121" s="305"/>
      <c r="I1121" s="305"/>
      <c r="J1121" s="305"/>
      <c r="K1121" s="305"/>
      <c r="L1121" s="305"/>
      <c r="M1121" s="305"/>
      <c r="N1121" s="305"/>
    </row>
    <row r="1122" spans="3:14" x14ac:dyDescent="0.25">
      <c r="C1122" s="305"/>
      <c r="D1122" s="305"/>
      <c r="E1122" s="305"/>
      <c r="F1122" s="305"/>
      <c r="G1122" s="305"/>
      <c r="H1122" s="305"/>
      <c r="I1122" s="305"/>
      <c r="J1122" s="305"/>
      <c r="K1122" s="305"/>
      <c r="L1122" s="305"/>
      <c r="M1122" s="305"/>
      <c r="N1122" s="305"/>
    </row>
    <row r="1123" spans="3:14" x14ac:dyDescent="0.25">
      <c r="C1123" s="305"/>
      <c r="D1123" s="305"/>
      <c r="E1123" s="305"/>
      <c r="F1123" s="305"/>
      <c r="G1123" s="305"/>
      <c r="H1123" s="305"/>
      <c r="I1123" s="305"/>
      <c r="J1123" s="305"/>
      <c r="K1123" s="305"/>
      <c r="L1123" s="305"/>
      <c r="M1123" s="305"/>
      <c r="N1123" s="305"/>
    </row>
    <row r="1124" spans="3:14" x14ac:dyDescent="0.25">
      <c r="C1124" s="305"/>
      <c r="D1124" s="305"/>
      <c r="E1124" s="305"/>
      <c r="F1124" s="305"/>
      <c r="G1124" s="305"/>
      <c r="H1124" s="305"/>
      <c r="I1124" s="305"/>
      <c r="J1124" s="305"/>
      <c r="K1124" s="305"/>
      <c r="L1124" s="305"/>
      <c r="M1124" s="305"/>
      <c r="N1124" s="305"/>
    </row>
    <row r="1125" spans="3:14" x14ac:dyDescent="0.25">
      <c r="C1125" s="305"/>
      <c r="D1125" s="305"/>
      <c r="E1125" s="305"/>
      <c r="F1125" s="305"/>
      <c r="G1125" s="305"/>
      <c r="H1125" s="305"/>
      <c r="I1125" s="305"/>
      <c r="J1125" s="305"/>
      <c r="K1125" s="305"/>
      <c r="L1125" s="305"/>
      <c r="M1125" s="305"/>
      <c r="N1125" s="305"/>
    </row>
    <row r="1126" spans="3:14" x14ac:dyDescent="0.25">
      <c r="C1126" s="305"/>
      <c r="D1126" s="305"/>
      <c r="E1126" s="305"/>
      <c r="F1126" s="305"/>
      <c r="G1126" s="305"/>
      <c r="H1126" s="305"/>
      <c r="I1126" s="305"/>
      <c r="J1126" s="305"/>
      <c r="K1126" s="305"/>
      <c r="L1126" s="305"/>
      <c r="M1126" s="305"/>
      <c r="N1126" s="305"/>
    </row>
    <row r="1127" spans="3:14" x14ac:dyDescent="0.25">
      <c r="C1127" s="305"/>
      <c r="D1127" s="305"/>
      <c r="E1127" s="305"/>
      <c r="F1127" s="305"/>
      <c r="G1127" s="305"/>
      <c r="H1127" s="305"/>
      <c r="I1127" s="305"/>
      <c r="J1127" s="305"/>
      <c r="K1127" s="305"/>
      <c r="L1127" s="305"/>
      <c r="M1127" s="305"/>
      <c r="N1127" s="305"/>
    </row>
    <row r="1128" spans="3:14" x14ac:dyDescent="0.25">
      <c r="C1128" s="305"/>
      <c r="D1128" s="305"/>
      <c r="E1128" s="305"/>
      <c r="F1128" s="305"/>
      <c r="G1128" s="305"/>
      <c r="H1128" s="305"/>
      <c r="I1128" s="305"/>
      <c r="J1128" s="305"/>
      <c r="K1128" s="305"/>
      <c r="L1128" s="305"/>
      <c r="M1128" s="305"/>
      <c r="N1128" s="305"/>
    </row>
    <row r="1129" spans="3:14" x14ac:dyDescent="0.25">
      <c r="C1129" s="305"/>
      <c r="D1129" s="305"/>
      <c r="E1129" s="305"/>
      <c r="F1129" s="305"/>
      <c r="G1129" s="305"/>
      <c r="H1129" s="305"/>
      <c r="I1129" s="305"/>
      <c r="J1129" s="305"/>
      <c r="K1129" s="305"/>
      <c r="L1129" s="305"/>
      <c r="M1129" s="305"/>
      <c r="N1129" s="305"/>
    </row>
    <row r="1130" spans="3:14" x14ac:dyDescent="0.25">
      <c r="C1130" s="305"/>
      <c r="D1130" s="305"/>
      <c r="E1130" s="305"/>
      <c r="F1130" s="305"/>
      <c r="G1130" s="305"/>
      <c r="H1130" s="305"/>
      <c r="I1130" s="305"/>
      <c r="J1130" s="305"/>
      <c r="K1130" s="305"/>
      <c r="L1130" s="305"/>
      <c r="M1130" s="305"/>
      <c r="N1130" s="305"/>
    </row>
    <row r="1131" spans="3:14" x14ac:dyDescent="0.25">
      <c r="C1131" s="305"/>
      <c r="D1131" s="305"/>
      <c r="E1131" s="305"/>
      <c r="F1131" s="305"/>
      <c r="G1131" s="305"/>
      <c r="H1131" s="305"/>
      <c r="I1131" s="305"/>
      <c r="J1131" s="305"/>
      <c r="K1131" s="305"/>
      <c r="L1131" s="305"/>
      <c r="M1131" s="305"/>
      <c r="N1131" s="305"/>
    </row>
    <row r="1132" spans="3:14" x14ac:dyDescent="0.25">
      <c r="C1132" s="305"/>
      <c r="D1132" s="305"/>
      <c r="E1132" s="305"/>
      <c r="F1132" s="305"/>
      <c r="G1132" s="305"/>
      <c r="H1132" s="305"/>
      <c r="I1132" s="305"/>
      <c r="J1132" s="305"/>
      <c r="K1132" s="305"/>
      <c r="L1132" s="305"/>
      <c r="M1132" s="305"/>
      <c r="N1132" s="305"/>
    </row>
    <row r="1133" spans="3:14" x14ac:dyDescent="0.25">
      <c r="C1133" s="305"/>
      <c r="D1133" s="305"/>
      <c r="E1133" s="305"/>
      <c r="F1133" s="305"/>
      <c r="G1133" s="305"/>
      <c r="H1133" s="305"/>
      <c r="I1133" s="305"/>
      <c r="J1133" s="305"/>
      <c r="K1133" s="305"/>
      <c r="L1133" s="305"/>
      <c r="M1133" s="305"/>
      <c r="N1133" s="305"/>
    </row>
    <row r="1134" spans="3:14" x14ac:dyDescent="0.25">
      <c r="C1134" s="305"/>
      <c r="D1134" s="305"/>
      <c r="E1134" s="305"/>
      <c r="F1134" s="305"/>
      <c r="G1134" s="305"/>
      <c r="H1134" s="305"/>
      <c r="I1134" s="305"/>
      <c r="J1134" s="305"/>
      <c r="K1134" s="305"/>
      <c r="L1134" s="305"/>
      <c r="M1134" s="305"/>
      <c r="N1134" s="305"/>
    </row>
    <row r="1135" spans="3:14" x14ac:dyDescent="0.25">
      <c r="C1135" s="305"/>
      <c r="D1135" s="305"/>
      <c r="E1135" s="305"/>
      <c r="F1135" s="305"/>
      <c r="G1135" s="305"/>
      <c r="H1135" s="305"/>
      <c r="I1135" s="305"/>
      <c r="J1135" s="305"/>
      <c r="K1135" s="305"/>
      <c r="L1135" s="305"/>
      <c r="M1135" s="305"/>
      <c r="N1135" s="305"/>
    </row>
    <row r="1136" spans="3:14" x14ac:dyDescent="0.25">
      <c r="C1136" s="305"/>
      <c r="D1136" s="305"/>
      <c r="E1136" s="305"/>
      <c r="F1136" s="305"/>
      <c r="G1136" s="305"/>
      <c r="H1136" s="305"/>
      <c r="I1136" s="305"/>
      <c r="J1136" s="305"/>
      <c r="K1136" s="305"/>
      <c r="L1136" s="305"/>
      <c r="M1136" s="305"/>
      <c r="N1136" s="305"/>
    </row>
    <row r="1137" spans="3:14" x14ac:dyDescent="0.25">
      <c r="C1137" s="305"/>
      <c r="D1137" s="305"/>
      <c r="E1137" s="305"/>
      <c r="F1137" s="305"/>
      <c r="G1137" s="305"/>
      <c r="H1137" s="305"/>
      <c r="I1137" s="305"/>
      <c r="J1137" s="305"/>
      <c r="K1137" s="305"/>
      <c r="L1137" s="305"/>
      <c r="M1137" s="305"/>
      <c r="N1137" s="305"/>
    </row>
    <row r="1138" spans="3:14" x14ac:dyDescent="0.25">
      <c r="C1138" s="305"/>
      <c r="D1138" s="305"/>
      <c r="E1138" s="305"/>
      <c r="F1138" s="305"/>
      <c r="G1138" s="305"/>
      <c r="H1138" s="305"/>
      <c r="I1138" s="305"/>
      <c r="J1138" s="305"/>
      <c r="K1138" s="305"/>
      <c r="L1138" s="305"/>
      <c r="M1138" s="305"/>
      <c r="N1138" s="305"/>
    </row>
    <row r="1139" spans="3:14" x14ac:dyDescent="0.25">
      <c r="C1139" s="305"/>
      <c r="D1139" s="305"/>
      <c r="E1139" s="305"/>
      <c r="F1139" s="305"/>
      <c r="G1139" s="305"/>
      <c r="H1139" s="305"/>
      <c r="I1139" s="305"/>
      <c r="J1139" s="305"/>
      <c r="K1139" s="305"/>
      <c r="L1139" s="305"/>
      <c r="M1139" s="305"/>
      <c r="N1139" s="305"/>
    </row>
    <row r="1140" spans="3:14" x14ac:dyDescent="0.25">
      <c r="C1140" s="305"/>
      <c r="D1140" s="305"/>
      <c r="E1140" s="305"/>
      <c r="F1140" s="305"/>
      <c r="G1140" s="305"/>
      <c r="H1140" s="305"/>
      <c r="I1140" s="305"/>
      <c r="J1140" s="305"/>
      <c r="K1140" s="305"/>
      <c r="L1140" s="305"/>
      <c r="M1140" s="305"/>
      <c r="N1140" s="305"/>
    </row>
    <row r="1141" spans="3:14" x14ac:dyDescent="0.25">
      <c r="C1141" s="305"/>
      <c r="D1141" s="305"/>
      <c r="E1141" s="305"/>
      <c r="F1141" s="305"/>
      <c r="G1141" s="305"/>
      <c r="H1141" s="305"/>
      <c r="I1141" s="305"/>
      <c r="J1141" s="305"/>
      <c r="K1141" s="305"/>
      <c r="L1141" s="305"/>
      <c r="M1141" s="305"/>
      <c r="N1141" s="305"/>
    </row>
    <row r="1142" spans="3:14" x14ac:dyDescent="0.25">
      <c r="C1142" s="305"/>
      <c r="D1142" s="305"/>
      <c r="E1142" s="305"/>
      <c r="F1142" s="305"/>
      <c r="G1142" s="305"/>
      <c r="H1142" s="305"/>
      <c r="I1142" s="305"/>
      <c r="J1142" s="305"/>
      <c r="K1142" s="305"/>
      <c r="L1142" s="305"/>
      <c r="M1142" s="305"/>
      <c r="N1142" s="305"/>
    </row>
    <row r="1143" spans="3:14" x14ac:dyDescent="0.25">
      <c r="C1143" s="305"/>
      <c r="D1143" s="305"/>
      <c r="E1143" s="305"/>
      <c r="F1143" s="305"/>
      <c r="G1143" s="305"/>
      <c r="H1143" s="305"/>
      <c r="I1143" s="305"/>
      <c r="J1143" s="305"/>
      <c r="K1143" s="305"/>
      <c r="L1143" s="305"/>
      <c r="M1143" s="305"/>
      <c r="N1143" s="305"/>
    </row>
    <row r="1144" spans="3:14" x14ac:dyDescent="0.25">
      <c r="C1144" s="305"/>
      <c r="D1144" s="305"/>
      <c r="E1144" s="305"/>
      <c r="F1144" s="305"/>
      <c r="G1144" s="305"/>
      <c r="H1144" s="305"/>
      <c r="I1144" s="305"/>
      <c r="J1144" s="305"/>
      <c r="K1144" s="305"/>
      <c r="L1144" s="305"/>
      <c r="M1144" s="305"/>
      <c r="N1144" s="305"/>
    </row>
    <row r="1145" spans="3:14" x14ac:dyDescent="0.25">
      <c r="C1145" s="305"/>
      <c r="D1145" s="305"/>
      <c r="E1145" s="305"/>
      <c r="F1145" s="305"/>
      <c r="G1145" s="305"/>
      <c r="H1145" s="305"/>
      <c r="I1145" s="305"/>
      <c r="J1145" s="305"/>
      <c r="K1145" s="305"/>
      <c r="L1145" s="305"/>
      <c r="M1145" s="305"/>
      <c r="N1145" s="305"/>
    </row>
    <row r="1146" spans="3:14" x14ac:dyDescent="0.25">
      <c r="C1146" s="305"/>
      <c r="D1146" s="305"/>
      <c r="E1146" s="305"/>
      <c r="F1146" s="305"/>
      <c r="G1146" s="305"/>
      <c r="H1146" s="305"/>
      <c r="I1146" s="305"/>
      <c r="J1146" s="305"/>
      <c r="K1146" s="305"/>
      <c r="L1146" s="305"/>
      <c r="M1146" s="305"/>
      <c r="N1146" s="305"/>
    </row>
    <row r="1147" spans="3:14" x14ac:dyDescent="0.25">
      <c r="C1147" s="305"/>
      <c r="D1147" s="305"/>
      <c r="E1147" s="305"/>
      <c r="F1147" s="305"/>
      <c r="G1147" s="305"/>
      <c r="H1147" s="305"/>
      <c r="I1147" s="305"/>
      <c r="J1147" s="305"/>
      <c r="K1147" s="305"/>
      <c r="L1147" s="305"/>
      <c r="M1147" s="305"/>
      <c r="N1147" s="305"/>
    </row>
    <row r="1148" spans="3:14" x14ac:dyDescent="0.25">
      <c r="C1148" s="305"/>
      <c r="D1148" s="305"/>
      <c r="E1148" s="305"/>
      <c r="F1148" s="305"/>
      <c r="G1148" s="305"/>
      <c r="H1148" s="305"/>
      <c r="I1148" s="305"/>
      <c r="J1148" s="305"/>
      <c r="K1148" s="305"/>
      <c r="L1148" s="305"/>
      <c r="M1148" s="305"/>
      <c r="N1148" s="305"/>
    </row>
    <row r="1149" spans="3:14" x14ac:dyDescent="0.25">
      <c r="C1149" s="305"/>
      <c r="D1149" s="305"/>
      <c r="E1149" s="305"/>
      <c r="F1149" s="305"/>
      <c r="G1149" s="305"/>
      <c r="H1149" s="305"/>
      <c r="I1149" s="305"/>
      <c r="J1149" s="305"/>
      <c r="K1149" s="305"/>
      <c r="L1149" s="305"/>
      <c r="M1149" s="305"/>
      <c r="N1149" s="305"/>
    </row>
    <row r="1150" spans="3:14" x14ac:dyDescent="0.25">
      <c r="C1150" s="305"/>
      <c r="D1150" s="305"/>
      <c r="E1150" s="305"/>
      <c r="F1150" s="305"/>
      <c r="G1150" s="305"/>
      <c r="H1150" s="305"/>
      <c r="I1150" s="305"/>
      <c r="J1150" s="305"/>
      <c r="K1150" s="305"/>
      <c r="L1150" s="305"/>
      <c r="M1150" s="305"/>
      <c r="N1150" s="305"/>
    </row>
    <row r="1151" spans="3:14" x14ac:dyDescent="0.25">
      <c r="C1151" s="305"/>
      <c r="D1151" s="305"/>
      <c r="E1151" s="305"/>
      <c r="F1151" s="305"/>
      <c r="G1151" s="305"/>
      <c r="H1151" s="305"/>
      <c r="I1151" s="305"/>
      <c r="J1151" s="305"/>
      <c r="K1151" s="305"/>
      <c r="L1151" s="305"/>
      <c r="M1151" s="305"/>
      <c r="N1151" s="305"/>
    </row>
    <row r="1152" spans="3:14" x14ac:dyDescent="0.25">
      <c r="C1152" s="305"/>
      <c r="D1152" s="305"/>
      <c r="E1152" s="305"/>
      <c r="F1152" s="305"/>
      <c r="G1152" s="305"/>
      <c r="H1152" s="305"/>
      <c r="I1152" s="305"/>
      <c r="J1152" s="305"/>
      <c r="K1152" s="305"/>
      <c r="L1152" s="305"/>
      <c r="M1152" s="305"/>
      <c r="N1152" s="305"/>
    </row>
    <row r="1153" spans="3:14" x14ac:dyDescent="0.25">
      <c r="C1153" s="305"/>
      <c r="D1153" s="305"/>
      <c r="E1153" s="305"/>
      <c r="F1153" s="305"/>
      <c r="G1153" s="305"/>
      <c r="H1153" s="305"/>
      <c r="I1153" s="305"/>
      <c r="J1153" s="305"/>
      <c r="K1153" s="305"/>
      <c r="L1153" s="305"/>
      <c r="M1153" s="305"/>
      <c r="N1153" s="305"/>
    </row>
    <row r="1154" spans="3:14" x14ac:dyDescent="0.25">
      <c r="C1154" s="305"/>
      <c r="D1154" s="305"/>
      <c r="E1154" s="305"/>
      <c r="F1154" s="305"/>
      <c r="G1154" s="305"/>
      <c r="H1154" s="305"/>
      <c r="I1154" s="305"/>
      <c r="J1154" s="305"/>
      <c r="K1154" s="305"/>
      <c r="L1154" s="305"/>
      <c r="M1154" s="305"/>
      <c r="N1154" s="305"/>
    </row>
    <row r="1155" spans="3:14" x14ac:dyDescent="0.25">
      <c r="C1155" s="305"/>
      <c r="D1155" s="305"/>
      <c r="E1155" s="305"/>
      <c r="F1155" s="305"/>
      <c r="G1155" s="305"/>
      <c r="H1155" s="305"/>
      <c r="I1155" s="305"/>
      <c r="J1155" s="305"/>
      <c r="K1155" s="305"/>
      <c r="L1155" s="305"/>
      <c r="M1155" s="305"/>
      <c r="N1155" s="305"/>
    </row>
    <row r="1156" spans="3:14" x14ac:dyDescent="0.25">
      <c r="C1156" s="305"/>
      <c r="D1156" s="305"/>
      <c r="E1156" s="305"/>
      <c r="F1156" s="305"/>
      <c r="G1156" s="305"/>
      <c r="H1156" s="305"/>
      <c r="I1156" s="305"/>
      <c r="J1156" s="305"/>
      <c r="K1156" s="305"/>
      <c r="L1156" s="305"/>
      <c r="M1156" s="305"/>
      <c r="N1156" s="305"/>
    </row>
    <row r="1157" spans="3:14" x14ac:dyDescent="0.25">
      <c r="C1157" s="305"/>
      <c r="D1157" s="305"/>
      <c r="E1157" s="305"/>
      <c r="F1157" s="305"/>
      <c r="G1157" s="305"/>
      <c r="H1157" s="305"/>
      <c r="I1157" s="305"/>
      <c r="J1157" s="305"/>
      <c r="K1157" s="305"/>
      <c r="L1157" s="305"/>
      <c r="M1157" s="305"/>
      <c r="N1157" s="305"/>
    </row>
    <row r="1158" spans="3:14" x14ac:dyDescent="0.25">
      <c r="C1158" s="305"/>
      <c r="D1158" s="305"/>
      <c r="E1158" s="305"/>
      <c r="F1158" s="305"/>
      <c r="G1158" s="305"/>
      <c r="H1158" s="305"/>
      <c r="I1158" s="305"/>
      <c r="J1158" s="305"/>
      <c r="K1158" s="305"/>
      <c r="L1158" s="305"/>
      <c r="M1158" s="305"/>
      <c r="N1158" s="305"/>
    </row>
    <row r="1159" spans="3:14" x14ac:dyDescent="0.25">
      <c r="C1159" s="305"/>
      <c r="D1159" s="305"/>
      <c r="E1159" s="305"/>
      <c r="F1159" s="305"/>
      <c r="G1159" s="305"/>
      <c r="H1159" s="305"/>
      <c r="I1159" s="305"/>
      <c r="J1159" s="305"/>
      <c r="K1159" s="305"/>
      <c r="L1159" s="305"/>
      <c r="M1159" s="305"/>
      <c r="N1159" s="305"/>
    </row>
    <row r="1160" spans="3:14" x14ac:dyDescent="0.25">
      <c r="C1160" s="305"/>
      <c r="D1160" s="305"/>
      <c r="E1160" s="305"/>
      <c r="F1160" s="305"/>
      <c r="G1160" s="305"/>
      <c r="H1160" s="305"/>
      <c r="I1160" s="305"/>
      <c r="J1160" s="305"/>
      <c r="K1160" s="305"/>
      <c r="L1160" s="305"/>
      <c r="M1160" s="305"/>
      <c r="N1160" s="305"/>
    </row>
    <row r="1161" spans="3:14" x14ac:dyDescent="0.25">
      <c r="C1161" s="305"/>
      <c r="D1161" s="305"/>
      <c r="E1161" s="305"/>
      <c r="F1161" s="305"/>
      <c r="G1161" s="305"/>
      <c r="H1161" s="305"/>
      <c r="I1161" s="305"/>
      <c r="J1161" s="305"/>
      <c r="K1161" s="305"/>
      <c r="L1161" s="305"/>
      <c r="M1161" s="305"/>
      <c r="N1161" s="305"/>
    </row>
    <row r="1162" spans="3:14" x14ac:dyDescent="0.25">
      <c r="C1162" s="305"/>
      <c r="D1162" s="305"/>
      <c r="E1162" s="305"/>
      <c r="F1162" s="305"/>
      <c r="G1162" s="305"/>
      <c r="H1162" s="305"/>
      <c r="I1162" s="305"/>
      <c r="J1162" s="305"/>
      <c r="K1162" s="305"/>
      <c r="L1162" s="305"/>
      <c r="M1162" s="305"/>
      <c r="N1162" s="305"/>
    </row>
    <row r="1163" spans="3:14" x14ac:dyDescent="0.25">
      <c r="C1163" s="305"/>
      <c r="D1163" s="305"/>
      <c r="E1163" s="305"/>
      <c r="F1163" s="305"/>
      <c r="G1163" s="305"/>
      <c r="H1163" s="305"/>
      <c r="I1163" s="305"/>
      <c r="J1163" s="305"/>
      <c r="K1163" s="305"/>
      <c r="L1163" s="305"/>
      <c r="M1163" s="305"/>
      <c r="N1163" s="305"/>
    </row>
    <row r="1164" spans="3:14" x14ac:dyDescent="0.25">
      <c r="C1164" s="305"/>
      <c r="D1164" s="305"/>
      <c r="E1164" s="305"/>
      <c r="F1164" s="305"/>
      <c r="G1164" s="305"/>
      <c r="H1164" s="305"/>
      <c r="I1164" s="305"/>
      <c r="J1164" s="305"/>
      <c r="K1164" s="305"/>
      <c r="L1164" s="305"/>
      <c r="M1164" s="305"/>
      <c r="N1164" s="305"/>
    </row>
    <row r="1165" spans="3:14" x14ac:dyDescent="0.25">
      <c r="C1165" s="305"/>
      <c r="D1165" s="305"/>
      <c r="E1165" s="305"/>
      <c r="F1165" s="305"/>
      <c r="G1165" s="305"/>
      <c r="H1165" s="305"/>
      <c r="I1165" s="305"/>
      <c r="J1165" s="305"/>
      <c r="K1165" s="305"/>
      <c r="L1165" s="305"/>
      <c r="M1165" s="305"/>
      <c r="N1165" s="305"/>
    </row>
    <row r="1166" spans="3:14" x14ac:dyDescent="0.25">
      <c r="C1166" s="305"/>
      <c r="D1166" s="305"/>
      <c r="E1166" s="305"/>
      <c r="F1166" s="305"/>
      <c r="G1166" s="305"/>
      <c r="H1166" s="305"/>
      <c r="I1166" s="305"/>
      <c r="J1166" s="305"/>
      <c r="K1166" s="305"/>
      <c r="L1166" s="305"/>
      <c r="M1166" s="305"/>
      <c r="N1166" s="305"/>
    </row>
    <row r="1167" spans="3:14" x14ac:dyDescent="0.25">
      <c r="C1167" s="305"/>
      <c r="D1167" s="305"/>
      <c r="E1167" s="305"/>
      <c r="F1167" s="305"/>
      <c r="G1167" s="305"/>
      <c r="H1167" s="305"/>
      <c r="I1167" s="305"/>
      <c r="J1167" s="305"/>
      <c r="K1167" s="305"/>
      <c r="L1167" s="305"/>
      <c r="M1167" s="305"/>
      <c r="N1167" s="305"/>
    </row>
    <row r="1168" spans="3:14" x14ac:dyDescent="0.25">
      <c r="C1168" s="305"/>
      <c r="D1168" s="305"/>
      <c r="E1168" s="305"/>
      <c r="F1168" s="305"/>
      <c r="G1168" s="305"/>
      <c r="H1168" s="305"/>
      <c r="I1168" s="305"/>
      <c r="J1168" s="305"/>
      <c r="K1168" s="305"/>
      <c r="L1168" s="305"/>
      <c r="M1168" s="305"/>
      <c r="N1168" s="305"/>
    </row>
    <row r="1169" spans="3:14" x14ac:dyDescent="0.25">
      <c r="C1169" s="305"/>
      <c r="D1169" s="305"/>
      <c r="E1169" s="305"/>
      <c r="F1169" s="305"/>
      <c r="G1169" s="305"/>
      <c r="H1169" s="305"/>
      <c r="I1169" s="305"/>
      <c r="J1169" s="305"/>
      <c r="K1169" s="305"/>
      <c r="L1169" s="305"/>
      <c r="M1169" s="305"/>
      <c r="N1169" s="305"/>
    </row>
    <row r="1170" spans="3:14" x14ac:dyDescent="0.25">
      <c r="C1170" s="305"/>
      <c r="D1170" s="305"/>
      <c r="E1170" s="305"/>
      <c r="F1170" s="305"/>
      <c r="G1170" s="305"/>
      <c r="H1170" s="305"/>
      <c r="I1170" s="305"/>
      <c r="J1170" s="305"/>
      <c r="K1170" s="305"/>
      <c r="L1170" s="305"/>
      <c r="M1170" s="305"/>
      <c r="N1170" s="305"/>
    </row>
    <row r="1171" spans="3:14" x14ac:dyDescent="0.25">
      <c r="C1171" s="305"/>
      <c r="D1171" s="305"/>
      <c r="E1171" s="305"/>
      <c r="F1171" s="305"/>
      <c r="G1171" s="305"/>
      <c r="H1171" s="305"/>
      <c r="I1171" s="305"/>
      <c r="J1171" s="305"/>
      <c r="K1171" s="305"/>
      <c r="L1171" s="305"/>
      <c r="M1171" s="305"/>
      <c r="N1171" s="305"/>
    </row>
    <row r="1172" spans="3:14" x14ac:dyDescent="0.25">
      <c r="C1172" s="305"/>
      <c r="D1172" s="305"/>
      <c r="E1172" s="305"/>
      <c r="F1172" s="305"/>
      <c r="G1172" s="305"/>
      <c r="H1172" s="305"/>
      <c r="I1172" s="305"/>
      <c r="J1172" s="305"/>
      <c r="K1172" s="305"/>
      <c r="L1172" s="305"/>
      <c r="M1172" s="305"/>
      <c r="N1172" s="305"/>
    </row>
    <row r="1173" spans="3:14" x14ac:dyDescent="0.25">
      <c r="C1173" s="305"/>
      <c r="D1173" s="305"/>
      <c r="E1173" s="305"/>
      <c r="F1173" s="305"/>
      <c r="G1173" s="305"/>
      <c r="H1173" s="305"/>
      <c r="I1173" s="305"/>
      <c r="J1173" s="305"/>
      <c r="K1173" s="305"/>
      <c r="L1173" s="305"/>
      <c r="M1173" s="305"/>
      <c r="N1173" s="305"/>
    </row>
    <row r="1174" spans="3:14" x14ac:dyDescent="0.25">
      <c r="C1174" s="305"/>
      <c r="D1174" s="305"/>
      <c r="E1174" s="305"/>
      <c r="F1174" s="305"/>
      <c r="G1174" s="305"/>
      <c r="H1174" s="305"/>
      <c r="I1174" s="305"/>
      <c r="J1174" s="305"/>
      <c r="K1174" s="305"/>
      <c r="L1174" s="305"/>
      <c r="M1174" s="305"/>
      <c r="N1174" s="305"/>
    </row>
    <row r="1175" spans="3:14" x14ac:dyDescent="0.25">
      <c r="C1175" s="305"/>
      <c r="D1175" s="305"/>
      <c r="E1175" s="305"/>
      <c r="F1175" s="305"/>
      <c r="G1175" s="305"/>
      <c r="H1175" s="305"/>
      <c r="I1175" s="305"/>
      <c r="J1175" s="305"/>
      <c r="K1175" s="305"/>
      <c r="L1175" s="305"/>
      <c r="M1175" s="305"/>
      <c r="N1175" s="305"/>
    </row>
    <row r="1176" spans="3:14" x14ac:dyDescent="0.25">
      <c r="C1176" s="305"/>
      <c r="D1176" s="305"/>
      <c r="E1176" s="305"/>
      <c r="F1176" s="305"/>
      <c r="G1176" s="305"/>
      <c r="H1176" s="305"/>
      <c r="I1176" s="305"/>
      <c r="J1176" s="305"/>
      <c r="K1176" s="305"/>
      <c r="L1176" s="305"/>
      <c r="M1176" s="305"/>
      <c r="N1176" s="305"/>
    </row>
    <row r="1177" spans="3:14" x14ac:dyDescent="0.25">
      <c r="C1177" s="305"/>
      <c r="D1177" s="305"/>
      <c r="E1177" s="305"/>
      <c r="F1177" s="305"/>
      <c r="G1177" s="305"/>
      <c r="H1177" s="305"/>
      <c r="I1177" s="305"/>
      <c r="J1177" s="305"/>
      <c r="K1177" s="305"/>
      <c r="L1177" s="305"/>
      <c r="M1177" s="305"/>
      <c r="N1177" s="305"/>
    </row>
    <row r="1178" spans="3:14" x14ac:dyDescent="0.25">
      <c r="C1178" s="305"/>
      <c r="D1178" s="305"/>
      <c r="E1178" s="305"/>
      <c r="F1178" s="305"/>
      <c r="G1178" s="305"/>
      <c r="H1178" s="305"/>
      <c r="I1178" s="305"/>
      <c r="J1178" s="305"/>
      <c r="K1178" s="305"/>
      <c r="L1178" s="305"/>
      <c r="M1178" s="305"/>
      <c r="N1178" s="305"/>
    </row>
    <row r="1179" spans="3:14" x14ac:dyDescent="0.25">
      <c r="C1179" s="305"/>
      <c r="D1179" s="305"/>
      <c r="E1179" s="305"/>
      <c r="F1179" s="305"/>
      <c r="G1179" s="305"/>
      <c r="H1179" s="305"/>
      <c r="I1179" s="305"/>
      <c r="J1179" s="305"/>
      <c r="K1179" s="305"/>
      <c r="L1179" s="305"/>
      <c r="M1179" s="305"/>
      <c r="N1179" s="305"/>
    </row>
    <row r="1180" spans="3:14" x14ac:dyDescent="0.25">
      <c r="C1180" s="305"/>
      <c r="D1180" s="305"/>
      <c r="E1180" s="305"/>
      <c r="F1180" s="305"/>
      <c r="G1180" s="305"/>
      <c r="H1180" s="305"/>
      <c r="I1180" s="305"/>
      <c r="J1180" s="305"/>
      <c r="K1180" s="305"/>
      <c r="L1180" s="305"/>
      <c r="M1180" s="305"/>
      <c r="N1180" s="305"/>
    </row>
    <row r="1181" spans="3:14" x14ac:dyDescent="0.25">
      <c r="C1181" s="305"/>
      <c r="D1181" s="305"/>
      <c r="E1181" s="305"/>
      <c r="F1181" s="305"/>
      <c r="G1181" s="305"/>
      <c r="H1181" s="305"/>
      <c r="I1181" s="305"/>
      <c r="J1181" s="305"/>
      <c r="K1181" s="305"/>
      <c r="L1181" s="305"/>
      <c r="M1181" s="305"/>
      <c r="N1181" s="305"/>
    </row>
    <row r="1182" spans="3:14" x14ac:dyDescent="0.25">
      <c r="C1182" s="305"/>
      <c r="D1182" s="305"/>
      <c r="E1182" s="305"/>
      <c r="F1182" s="305"/>
      <c r="G1182" s="305"/>
      <c r="H1182" s="305"/>
      <c r="I1182" s="305"/>
      <c r="J1182" s="305"/>
      <c r="K1182" s="305"/>
      <c r="L1182" s="305"/>
      <c r="M1182" s="305"/>
      <c r="N1182" s="305"/>
    </row>
    <row r="1183" spans="3:14" x14ac:dyDescent="0.25">
      <c r="C1183" s="305"/>
      <c r="D1183" s="305"/>
      <c r="E1183" s="305"/>
      <c r="F1183" s="305"/>
      <c r="G1183" s="305"/>
      <c r="H1183" s="305"/>
      <c r="I1183" s="305"/>
      <c r="J1183" s="305"/>
      <c r="K1183" s="305"/>
      <c r="L1183" s="305"/>
      <c r="M1183" s="305"/>
      <c r="N1183" s="305"/>
    </row>
    <row r="1184" spans="3:14" x14ac:dyDescent="0.25">
      <c r="C1184" s="305"/>
      <c r="D1184" s="305"/>
      <c r="E1184" s="305"/>
      <c r="F1184" s="305"/>
      <c r="G1184" s="305"/>
      <c r="H1184" s="305"/>
      <c r="I1184" s="305"/>
      <c r="J1184" s="305"/>
      <c r="K1184" s="305"/>
      <c r="L1184" s="305"/>
      <c r="M1184" s="305"/>
      <c r="N1184" s="305"/>
    </row>
    <row r="1185" spans="3:14" x14ac:dyDescent="0.25">
      <c r="C1185" s="305"/>
      <c r="D1185" s="305"/>
      <c r="E1185" s="305"/>
      <c r="F1185" s="305"/>
      <c r="G1185" s="305"/>
      <c r="H1185" s="305"/>
      <c r="I1185" s="305"/>
      <c r="J1185" s="305"/>
      <c r="K1185" s="305"/>
      <c r="L1185" s="305"/>
      <c r="M1185" s="305"/>
      <c r="N1185" s="305"/>
    </row>
    <row r="1186" spans="3:14" x14ac:dyDescent="0.25">
      <c r="C1186" s="305"/>
      <c r="D1186" s="305"/>
      <c r="E1186" s="305"/>
      <c r="F1186" s="305"/>
      <c r="G1186" s="305"/>
      <c r="H1186" s="305"/>
      <c r="I1186" s="305"/>
      <c r="J1186" s="305"/>
      <c r="K1186" s="305"/>
      <c r="L1186" s="305"/>
      <c r="M1186" s="305"/>
      <c r="N1186" s="305"/>
    </row>
    <row r="1187" spans="3:14" x14ac:dyDescent="0.25">
      <c r="C1187" s="305"/>
      <c r="D1187" s="305"/>
      <c r="E1187" s="305"/>
      <c r="F1187" s="305"/>
      <c r="G1187" s="305"/>
      <c r="H1187" s="305"/>
      <c r="I1187" s="305"/>
      <c r="J1187" s="305"/>
      <c r="K1187" s="305"/>
      <c r="L1187" s="305"/>
      <c r="M1187" s="305"/>
      <c r="N1187" s="305"/>
    </row>
    <row r="1188" spans="3:14" x14ac:dyDescent="0.25">
      <c r="C1188" s="305"/>
      <c r="D1188" s="305"/>
      <c r="E1188" s="305"/>
      <c r="F1188" s="305"/>
      <c r="G1188" s="305"/>
      <c r="H1188" s="305"/>
      <c r="I1188" s="305"/>
      <c r="J1188" s="305"/>
      <c r="K1188" s="305"/>
      <c r="L1188" s="305"/>
      <c r="M1188" s="305"/>
      <c r="N1188" s="305"/>
    </row>
    <row r="1189" spans="3:14" x14ac:dyDescent="0.25">
      <c r="C1189" s="305"/>
      <c r="D1189" s="305"/>
      <c r="E1189" s="305"/>
      <c r="F1189" s="305"/>
      <c r="G1189" s="305"/>
      <c r="H1189" s="305"/>
      <c r="I1189" s="305"/>
      <c r="J1189" s="305"/>
      <c r="K1189" s="305"/>
      <c r="L1189" s="305"/>
      <c r="M1189" s="305"/>
      <c r="N1189" s="305"/>
    </row>
    <row r="1190" spans="3:14" x14ac:dyDescent="0.25">
      <c r="C1190" s="305"/>
      <c r="D1190" s="305"/>
      <c r="E1190" s="305"/>
      <c r="F1190" s="305"/>
      <c r="G1190" s="305"/>
      <c r="H1190" s="305"/>
      <c r="I1190" s="305"/>
      <c r="J1190" s="305"/>
      <c r="K1190" s="305"/>
      <c r="L1190" s="305"/>
      <c r="M1190" s="305"/>
      <c r="N1190" s="305"/>
    </row>
    <row r="1191" spans="3:14" x14ac:dyDescent="0.25">
      <c r="C1191" s="305"/>
      <c r="D1191" s="305"/>
      <c r="E1191" s="305"/>
      <c r="F1191" s="305"/>
      <c r="G1191" s="305"/>
      <c r="H1191" s="305"/>
      <c r="I1191" s="305"/>
      <c r="J1191" s="305"/>
      <c r="K1191" s="305"/>
      <c r="L1191" s="305"/>
      <c r="M1191" s="305"/>
      <c r="N1191" s="305"/>
    </row>
    <row r="1192" spans="3:14" x14ac:dyDescent="0.25">
      <c r="C1192" s="305"/>
      <c r="D1192" s="305"/>
      <c r="E1192" s="305"/>
      <c r="F1192" s="305"/>
      <c r="G1192" s="305"/>
      <c r="H1192" s="305"/>
      <c r="I1192" s="305"/>
      <c r="J1192" s="305"/>
      <c r="K1192" s="305"/>
      <c r="L1192" s="305"/>
      <c r="M1192" s="305"/>
      <c r="N1192" s="305"/>
    </row>
    <row r="1193" spans="3:14" x14ac:dyDescent="0.25">
      <c r="C1193" s="305"/>
      <c r="D1193" s="305"/>
      <c r="E1193" s="305"/>
      <c r="F1193" s="305"/>
      <c r="G1193" s="305"/>
      <c r="H1193" s="305"/>
      <c r="I1193" s="305"/>
      <c r="J1193" s="305"/>
      <c r="K1193" s="305"/>
      <c r="L1193" s="305"/>
      <c r="M1193" s="305"/>
      <c r="N1193" s="305"/>
    </row>
    <row r="1194" spans="3:14" x14ac:dyDescent="0.25">
      <c r="C1194" s="305"/>
      <c r="D1194" s="305"/>
      <c r="E1194" s="305"/>
      <c r="F1194" s="305"/>
      <c r="G1194" s="305"/>
      <c r="H1194" s="305"/>
      <c r="I1194" s="305"/>
      <c r="J1194" s="305"/>
      <c r="K1194" s="305"/>
      <c r="L1194" s="305"/>
      <c r="M1194" s="305"/>
      <c r="N1194" s="305"/>
    </row>
    <row r="1195" spans="3:14" x14ac:dyDescent="0.25">
      <c r="C1195" s="305"/>
      <c r="D1195" s="305"/>
      <c r="E1195" s="305"/>
      <c r="F1195" s="305"/>
      <c r="G1195" s="305"/>
      <c r="H1195" s="305"/>
      <c r="I1195" s="305"/>
      <c r="J1195" s="305"/>
      <c r="K1195" s="305"/>
      <c r="L1195" s="305"/>
      <c r="M1195" s="305"/>
      <c r="N1195" s="305"/>
    </row>
    <row r="1196" spans="3:14" x14ac:dyDescent="0.25">
      <c r="C1196" s="305"/>
      <c r="D1196" s="305"/>
      <c r="E1196" s="305"/>
      <c r="F1196" s="305"/>
      <c r="G1196" s="305"/>
      <c r="H1196" s="305"/>
      <c r="I1196" s="305"/>
      <c r="J1196" s="305"/>
      <c r="K1196" s="305"/>
      <c r="L1196" s="305"/>
      <c r="M1196" s="305"/>
      <c r="N1196" s="305"/>
    </row>
    <row r="1197" spans="3:14" x14ac:dyDescent="0.25">
      <c r="C1197" s="305"/>
      <c r="D1197" s="305"/>
      <c r="E1197" s="305"/>
      <c r="F1197" s="305"/>
      <c r="G1197" s="305"/>
      <c r="H1197" s="305"/>
      <c r="I1197" s="305"/>
      <c r="J1197" s="305"/>
      <c r="K1197" s="305"/>
      <c r="L1197" s="305"/>
      <c r="M1197" s="305"/>
      <c r="N1197" s="305"/>
    </row>
    <row r="1198" spans="3:14" x14ac:dyDescent="0.25">
      <c r="C1198" s="305"/>
      <c r="D1198" s="305"/>
      <c r="E1198" s="305"/>
      <c r="F1198" s="305"/>
      <c r="G1198" s="305"/>
      <c r="H1198" s="305"/>
      <c r="I1198" s="305"/>
      <c r="J1198" s="305"/>
      <c r="K1198" s="305"/>
      <c r="L1198" s="305"/>
      <c r="M1198" s="305"/>
      <c r="N1198" s="305"/>
    </row>
    <row r="1199" spans="3:14" x14ac:dyDescent="0.25">
      <c r="C1199" s="305"/>
      <c r="D1199" s="305"/>
      <c r="E1199" s="305"/>
      <c r="F1199" s="305"/>
      <c r="G1199" s="305"/>
      <c r="H1199" s="305"/>
      <c r="I1199" s="305"/>
      <c r="J1199" s="305"/>
      <c r="K1199" s="305"/>
      <c r="L1199" s="305"/>
      <c r="M1199" s="305"/>
      <c r="N1199" s="305"/>
    </row>
    <row r="1200" spans="3:14" x14ac:dyDescent="0.25">
      <c r="C1200" s="305"/>
      <c r="D1200" s="305"/>
      <c r="E1200" s="305"/>
      <c r="F1200" s="305"/>
      <c r="G1200" s="305"/>
      <c r="H1200" s="305"/>
      <c r="I1200" s="305"/>
      <c r="J1200" s="305"/>
      <c r="K1200" s="305"/>
      <c r="L1200" s="305"/>
      <c r="M1200" s="305"/>
      <c r="N1200" s="305"/>
    </row>
    <row r="1201" spans="3:14" x14ac:dyDescent="0.25">
      <c r="C1201" s="305"/>
      <c r="D1201" s="305"/>
      <c r="E1201" s="305"/>
      <c r="F1201" s="305"/>
      <c r="G1201" s="305"/>
      <c r="H1201" s="305"/>
      <c r="I1201" s="305"/>
      <c r="J1201" s="305"/>
      <c r="K1201" s="305"/>
      <c r="L1201" s="305"/>
      <c r="M1201" s="305"/>
      <c r="N1201" s="305"/>
    </row>
    <row r="1202" spans="3:14" x14ac:dyDescent="0.25">
      <c r="C1202" s="305"/>
      <c r="D1202" s="305"/>
      <c r="E1202" s="305"/>
      <c r="F1202" s="305"/>
      <c r="G1202" s="305"/>
      <c r="H1202" s="305"/>
      <c r="I1202" s="305"/>
      <c r="J1202" s="305"/>
      <c r="K1202" s="305"/>
      <c r="L1202" s="305"/>
      <c r="M1202" s="305"/>
      <c r="N1202" s="305"/>
    </row>
    <row r="1203" spans="3:14" x14ac:dyDescent="0.25">
      <c r="C1203" s="305"/>
      <c r="D1203" s="305"/>
      <c r="E1203" s="305"/>
      <c r="F1203" s="305"/>
      <c r="G1203" s="305"/>
      <c r="H1203" s="305"/>
      <c r="I1203" s="305"/>
      <c r="J1203" s="305"/>
      <c r="K1203" s="305"/>
      <c r="L1203" s="305"/>
      <c r="M1203" s="305"/>
      <c r="N1203" s="305"/>
    </row>
    <row r="1204" spans="3:14" x14ac:dyDescent="0.25">
      <c r="C1204" s="305"/>
      <c r="D1204" s="305"/>
      <c r="E1204" s="305"/>
      <c r="F1204" s="305"/>
      <c r="G1204" s="305"/>
      <c r="H1204" s="305"/>
      <c r="I1204" s="305"/>
      <c r="J1204" s="305"/>
      <c r="K1204" s="305"/>
      <c r="L1204" s="305"/>
      <c r="M1204" s="305"/>
      <c r="N1204" s="305"/>
    </row>
    <row r="1205" spans="3:14" x14ac:dyDescent="0.25">
      <c r="C1205" s="305"/>
      <c r="D1205" s="305"/>
      <c r="E1205" s="305"/>
      <c r="F1205" s="305"/>
      <c r="G1205" s="305"/>
      <c r="H1205" s="305"/>
      <c r="I1205" s="305"/>
      <c r="J1205" s="305"/>
      <c r="K1205" s="305"/>
      <c r="L1205" s="305"/>
      <c r="M1205" s="305"/>
      <c r="N1205" s="305"/>
    </row>
    <row r="1206" spans="3:14" x14ac:dyDescent="0.25">
      <c r="C1206" s="305"/>
      <c r="D1206" s="305"/>
      <c r="E1206" s="305"/>
      <c r="F1206" s="305"/>
      <c r="G1206" s="305"/>
      <c r="H1206" s="305"/>
      <c r="I1206" s="305"/>
      <c r="J1206" s="305"/>
      <c r="K1206" s="305"/>
      <c r="L1206" s="305"/>
      <c r="M1206" s="305"/>
      <c r="N1206" s="305"/>
    </row>
    <row r="1207" spans="3:14" x14ac:dyDescent="0.25">
      <c r="C1207" s="305"/>
      <c r="D1207" s="305"/>
      <c r="E1207" s="305"/>
      <c r="F1207" s="305"/>
      <c r="G1207" s="305"/>
      <c r="H1207" s="305"/>
      <c r="I1207" s="305"/>
      <c r="J1207" s="305"/>
      <c r="K1207" s="305"/>
      <c r="L1207" s="305"/>
      <c r="M1207" s="305"/>
      <c r="N1207" s="305"/>
    </row>
    <row r="1208" spans="3:14" x14ac:dyDescent="0.25">
      <c r="C1208" s="305"/>
      <c r="D1208" s="305"/>
      <c r="E1208" s="305"/>
      <c r="F1208" s="305"/>
      <c r="G1208" s="305"/>
      <c r="H1208" s="305"/>
      <c r="I1208" s="305"/>
      <c r="J1208" s="305"/>
      <c r="K1208" s="305"/>
      <c r="L1208" s="305"/>
      <c r="M1208" s="305"/>
      <c r="N1208" s="305"/>
    </row>
    <row r="1209" spans="3:14" x14ac:dyDescent="0.25">
      <c r="C1209" s="305"/>
      <c r="D1209" s="305"/>
      <c r="E1209" s="305"/>
      <c r="F1209" s="305"/>
      <c r="G1209" s="305"/>
      <c r="H1209" s="305"/>
      <c r="I1209" s="305"/>
      <c r="J1209" s="305"/>
      <c r="K1209" s="305"/>
      <c r="L1209" s="305"/>
      <c r="M1209" s="305"/>
      <c r="N1209" s="305"/>
    </row>
    <row r="1210" spans="3:14" x14ac:dyDescent="0.25">
      <c r="C1210" s="305"/>
      <c r="D1210" s="305"/>
      <c r="E1210" s="305"/>
      <c r="F1210" s="305"/>
      <c r="G1210" s="305"/>
      <c r="H1210" s="305"/>
      <c r="I1210" s="305"/>
      <c r="J1210" s="305"/>
      <c r="K1210" s="305"/>
      <c r="L1210" s="305"/>
      <c r="M1210" s="305"/>
      <c r="N1210" s="305"/>
    </row>
    <row r="1211" spans="3:14" x14ac:dyDescent="0.25">
      <c r="C1211" s="305"/>
      <c r="D1211" s="305"/>
      <c r="E1211" s="305"/>
      <c r="F1211" s="305"/>
      <c r="G1211" s="305"/>
      <c r="H1211" s="305"/>
      <c r="I1211" s="305"/>
      <c r="J1211" s="305"/>
      <c r="K1211" s="305"/>
      <c r="L1211" s="305"/>
      <c r="M1211" s="305"/>
      <c r="N1211" s="305"/>
    </row>
    <row r="1212" spans="3:14" x14ac:dyDescent="0.25">
      <c r="C1212" s="305"/>
      <c r="D1212" s="305"/>
      <c r="E1212" s="305"/>
      <c r="F1212" s="305"/>
      <c r="G1212" s="305"/>
      <c r="H1212" s="305"/>
      <c r="I1212" s="305"/>
      <c r="J1212" s="305"/>
      <c r="K1212" s="305"/>
      <c r="L1212" s="305"/>
      <c r="M1212" s="305"/>
      <c r="N1212" s="305"/>
    </row>
    <row r="1213" spans="3:14" x14ac:dyDescent="0.25">
      <c r="C1213" s="305"/>
      <c r="D1213" s="305"/>
      <c r="E1213" s="305"/>
      <c r="F1213" s="305"/>
      <c r="G1213" s="305"/>
      <c r="H1213" s="305"/>
      <c r="I1213" s="305"/>
      <c r="J1213" s="305"/>
      <c r="K1213" s="305"/>
      <c r="L1213" s="305"/>
      <c r="M1213" s="305"/>
      <c r="N1213" s="305"/>
    </row>
    <row r="1214" spans="3:14" x14ac:dyDescent="0.25">
      <c r="C1214" s="305"/>
      <c r="D1214" s="305"/>
      <c r="E1214" s="305"/>
      <c r="F1214" s="305"/>
      <c r="G1214" s="305"/>
      <c r="H1214" s="305"/>
      <c r="I1214" s="305"/>
      <c r="J1214" s="305"/>
      <c r="K1214" s="305"/>
      <c r="L1214" s="305"/>
      <c r="M1214" s="305"/>
      <c r="N1214" s="305"/>
    </row>
    <row r="1215" spans="3:14" x14ac:dyDescent="0.25">
      <c r="C1215" s="305"/>
      <c r="D1215" s="305"/>
      <c r="E1215" s="305"/>
      <c r="F1215" s="305"/>
      <c r="G1215" s="305"/>
      <c r="H1215" s="305"/>
      <c r="I1215" s="305"/>
      <c r="J1215" s="305"/>
      <c r="K1215" s="305"/>
      <c r="L1215" s="305"/>
      <c r="M1215" s="305"/>
      <c r="N1215" s="305"/>
    </row>
    <row r="1216" spans="3:14" x14ac:dyDescent="0.25">
      <c r="C1216" s="305"/>
      <c r="D1216" s="305"/>
      <c r="E1216" s="305"/>
      <c r="F1216" s="305"/>
      <c r="G1216" s="305"/>
      <c r="H1216" s="305"/>
      <c r="I1216" s="305"/>
      <c r="J1216" s="305"/>
      <c r="K1216" s="305"/>
      <c r="L1216" s="305"/>
      <c r="M1216" s="305"/>
      <c r="N1216" s="305"/>
    </row>
    <row r="1217" spans="3:14" x14ac:dyDescent="0.25">
      <c r="C1217" s="305"/>
      <c r="D1217" s="305"/>
      <c r="E1217" s="305"/>
      <c r="F1217" s="305"/>
      <c r="G1217" s="305"/>
      <c r="H1217" s="305"/>
      <c r="I1217" s="305"/>
      <c r="J1217" s="305"/>
      <c r="K1217" s="305"/>
      <c r="L1217" s="305"/>
      <c r="M1217" s="305"/>
      <c r="N1217" s="305"/>
    </row>
    <row r="1218" spans="3:14" x14ac:dyDescent="0.25">
      <c r="C1218" s="305"/>
      <c r="D1218" s="305"/>
      <c r="E1218" s="305"/>
      <c r="F1218" s="305"/>
      <c r="G1218" s="305"/>
      <c r="H1218" s="305"/>
      <c r="I1218" s="305"/>
      <c r="J1218" s="305"/>
      <c r="K1218" s="305"/>
      <c r="L1218" s="305"/>
      <c r="M1218" s="305"/>
      <c r="N1218" s="305"/>
    </row>
    <row r="1219" spans="3:14" x14ac:dyDescent="0.25">
      <c r="C1219" s="305"/>
      <c r="D1219" s="305"/>
      <c r="E1219" s="305"/>
      <c r="F1219" s="305"/>
      <c r="G1219" s="305"/>
      <c r="H1219" s="305"/>
      <c r="I1219" s="305"/>
      <c r="J1219" s="305"/>
      <c r="K1219" s="305"/>
      <c r="L1219" s="305"/>
      <c r="M1219" s="305"/>
      <c r="N1219" s="305"/>
    </row>
    <row r="1220" spans="3:14" x14ac:dyDescent="0.25">
      <c r="C1220" s="305"/>
      <c r="D1220" s="305"/>
      <c r="E1220" s="305"/>
      <c r="F1220" s="305"/>
      <c r="G1220" s="305"/>
      <c r="H1220" s="305"/>
      <c r="I1220" s="305"/>
      <c r="J1220" s="305"/>
      <c r="K1220" s="305"/>
      <c r="L1220" s="305"/>
      <c r="M1220" s="305"/>
      <c r="N1220" s="305"/>
    </row>
    <row r="1221" spans="3:14" x14ac:dyDescent="0.25">
      <c r="C1221" s="305"/>
      <c r="D1221" s="305"/>
      <c r="E1221" s="305"/>
      <c r="F1221" s="305"/>
      <c r="G1221" s="305"/>
      <c r="H1221" s="305"/>
      <c r="I1221" s="305"/>
      <c r="J1221" s="305"/>
      <c r="K1221" s="305"/>
      <c r="L1221" s="305"/>
      <c r="M1221" s="305"/>
      <c r="N1221" s="305"/>
    </row>
    <row r="1222" spans="3:14" x14ac:dyDescent="0.25">
      <c r="C1222" s="305"/>
      <c r="D1222" s="305"/>
      <c r="E1222" s="305"/>
      <c r="F1222" s="305"/>
      <c r="G1222" s="305"/>
      <c r="H1222" s="305"/>
      <c r="I1222" s="305"/>
      <c r="J1222" s="305"/>
      <c r="K1222" s="305"/>
      <c r="L1222" s="305"/>
      <c r="M1222" s="305"/>
      <c r="N1222" s="305"/>
    </row>
    <row r="1223" spans="3:14" x14ac:dyDescent="0.25">
      <c r="C1223" s="305"/>
      <c r="D1223" s="305"/>
      <c r="E1223" s="305"/>
      <c r="F1223" s="305"/>
      <c r="G1223" s="305"/>
      <c r="H1223" s="305"/>
      <c r="I1223" s="305"/>
      <c r="J1223" s="305"/>
      <c r="K1223" s="305"/>
      <c r="L1223" s="305"/>
      <c r="M1223" s="305"/>
      <c r="N1223" s="305"/>
    </row>
    <row r="1224" spans="3:14" x14ac:dyDescent="0.25">
      <c r="C1224" s="305"/>
      <c r="D1224" s="305"/>
      <c r="E1224" s="305"/>
      <c r="F1224" s="305"/>
      <c r="G1224" s="305"/>
      <c r="H1224" s="305"/>
      <c r="I1224" s="305"/>
      <c r="J1224" s="305"/>
      <c r="K1224" s="305"/>
      <c r="L1224" s="305"/>
      <c r="M1224" s="305"/>
      <c r="N1224" s="305"/>
    </row>
    <row r="1225" spans="3:14" x14ac:dyDescent="0.25">
      <c r="C1225" s="305"/>
      <c r="D1225" s="305"/>
      <c r="E1225" s="305"/>
      <c r="F1225" s="305"/>
      <c r="G1225" s="305"/>
      <c r="H1225" s="305"/>
      <c r="I1225" s="305"/>
      <c r="J1225" s="305"/>
      <c r="K1225" s="305"/>
      <c r="L1225" s="305"/>
      <c r="M1225" s="305"/>
      <c r="N1225" s="305"/>
    </row>
    <row r="1226" spans="3:14" x14ac:dyDescent="0.25">
      <c r="C1226" s="305"/>
      <c r="D1226" s="305"/>
      <c r="E1226" s="305"/>
      <c r="F1226" s="305"/>
      <c r="G1226" s="305"/>
      <c r="H1226" s="305"/>
      <c r="I1226" s="305"/>
      <c r="J1226" s="305"/>
      <c r="K1226" s="305"/>
      <c r="L1226" s="305"/>
      <c r="M1226" s="305"/>
      <c r="N1226" s="305"/>
    </row>
    <row r="1227" spans="3:14" x14ac:dyDescent="0.25">
      <c r="C1227" s="305"/>
      <c r="D1227" s="305"/>
      <c r="E1227" s="305"/>
      <c r="F1227" s="305"/>
      <c r="G1227" s="305"/>
      <c r="H1227" s="305"/>
      <c r="I1227" s="305"/>
      <c r="J1227" s="305"/>
      <c r="K1227" s="305"/>
      <c r="L1227" s="305"/>
      <c r="M1227" s="305"/>
      <c r="N1227" s="305"/>
    </row>
    <row r="1228" spans="3:14" x14ac:dyDescent="0.25">
      <c r="C1228" s="305"/>
      <c r="D1228" s="305"/>
      <c r="E1228" s="305"/>
      <c r="F1228" s="305"/>
      <c r="G1228" s="305"/>
      <c r="H1228" s="305"/>
      <c r="I1228" s="305"/>
      <c r="J1228" s="305"/>
      <c r="K1228" s="305"/>
      <c r="L1228" s="305"/>
      <c r="M1228" s="305"/>
      <c r="N1228" s="305"/>
    </row>
    <row r="1229" spans="3:14" x14ac:dyDescent="0.25">
      <c r="C1229" s="305"/>
      <c r="D1229" s="305"/>
      <c r="E1229" s="305"/>
      <c r="F1229" s="305"/>
      <c r="G1229" s="305"/>
      <c r="H1229" s="305"/>
      <c r="I1229" s="305"/>
      <c r="J1229" s="305"/>
      <c r="K1229" s="305"/>
      <c r="L1229" s="305"/>
      <c r="M1229" s="305"/>
      <c r="N1229" s="305"/>
    </row>
    <row r="1230" spans="3:14" x14ac:dyDescent="0.25">
      <c r="C1230" s="305"/>
      <c r="D1230" s="305"/>
      <c r="E1230" s="305"/>
      <c r="F1230" s="305"/>
      <c r="G1230" s="305"/>
      <c r="H1230" s="305"/>
      <c r="I1230" s="305"/>
      <c r="J1230" s="305"/>
      <c r="K1230" s="305"/>
      <c r="L1230" s="305"/>
      <c r="M1230" s="305"/>
      <c r="N1230" s="305"/>
    </row>
    <row r="1231" spans="3:14" x14ac:dyDescent="0.25">
      <c r="C1231" s="305"/>
      <c r="D1231" s="305"/>
      <c r="E1231" s="305"/>
      <c r="F1231" s="305"/>
      <c r="G1231" s="305"/>
      <c r="H1231" s="305"/>
      <c r="I1231" s="305"/>
      <c r="J1231" s="305"/>
      <c r="K1231" s="305"/>
      <c r="L1231" s="305"/>
      <c r="M1231" s="305"/>
      <c r="N1231" s="305"/>
    </row>
    <row r="1232" spans="3:14" x14ac:dyDescent="0.25">
      <c r="C1232" s="305"/>
      <c r="D1232" s="305"/>
      <c r="E1232" s="305"/>
      <c r="F1232" s="305"/>
      <c r="G1232" s="305"/>
      <c r="H1232" s="305"/>
      <c r="I1232" s="305"/>
      <c r="J1232" s="305"/>
      <c r="K1232" s="305"/>
      <c r="L1232" s="305"/>
      <c r="M1232" s="305"/>
      <c r="N1232" s="305"/>
    </row>
    <row r="1233" spans="3:14" x14ac:dyDescent="0.25">
      <c r="C1233" s="305"/>
      <c r="D1233" s="305"/>
      <c r="E1233" s="305"/>
      <c r="F1233" s="305"/>
      <c r="G1233" s="305"/>
      <c r="H1233" s="305"/>
      <c r="I1233" s="305"/>
      <c r="J1233" s="305"/>
      <c r="K1233" s="305"/>
      <c r="L1233" s="305"/>
      <c r="M1233" s="305"/>
      <c r="N1233" s="305"/>
    </row>
    <row r="1234" spans="3:14" x14ac:dyDescent="0.25">
      <c r="C1234" s="305"/>
      <c r="D1234" s="305"/>
      <c r="E1234" s="305"/>
      <c r="F1234" s="305"/>
      <c r="G1234" s="305"/>
      <c r="H1234" s="305"/>
      <c r="I1234" s="305"/>
      <c r="J1234" s="305"/>
      <c r="K1234" s="305"/>
      <c r="L1234" s="305"/>
      <c r="M1234" s="305"/>
      <c r="N1234" s="305"/>
    </row>
    <row r="1235" spans="3:14" x14ac:dyDescent="0.25">
      <c r="C1235" s="305"/>
      <c r="D1235" s="305"/>
      <c r="E1235" s="305"/>
      <c r="F1235" s="305"/>
      <c r="G1235" s="305"/>
      <c r="H1235" s="305"/>
      <c r="I1235" s="305"/>
      <c r="J1235" s="305"/>
      <c r="K1235" s="305"/>
      <c r="L1235" s="305"/>
      <c r="M1235" s="305"/>
      <c r="N1235" s="305"/>
    </row>
    <row r="1236" spans="3:14" x14ac:dyDescent="0.25">
      <c r="C1236" s="305"/>
      <c r="D1236" s="305"/>
      <c r="E1236" s="305"/>
      <c r="F1236" s="305"/>
      <c r="G1236" s="305"/>
      <c r="H1236" s="305"/>
      <c r="I1236" s="305"/>
      <c r="J1236" s="305"/>
      <c r="K1236" s="305"/>
      <c r="L1236" s="305"/>
      <c r="M1236" s="305"/>
      <c r="N1236" s="305"/>
    </row>
    <row r="1237" spans="3:14" x14ac:dyDescent="0.25">
      <c r="C1237" s="305"/>
      <c r="D1237" s="305"/>
      <c r="E1237" s="305"/>
      <c r="F1237" s="305"/>
      <c r="G1237" s="305"/>
      <c r="H1237" s="305"/>
      <c r="I1237" s="305"/>
      <c r="J1237" s="305"/>
      <c r="K1237" s="305"/>
      <c r="L1237" s="305"/>
      <c r="M1237" s="305"/>
      <c r="N1237" s="305"/>
    </row>
    <row r="1238" spans="3:14" x14ac:dyDescent="0.25">
      <c r="C1238" s="305"/>
      <c r="D1238" s="305"/>
      <c r="E1238" s="305"/>
      <c r="F1238" s="305"/>
      <c r="G1238" s="305"/>
      <c r="H1238" s="305"/>
      <c r="I1238" s="305"/>
      <c r="J1238" s="305"/>
      <c r="K1238" s="305"/>
      <c r="L1238" s="305"/>
      <c r="M1238" s="305"/>
      <c r="N1238" s="305"/>
    </row>
    <row r="1239" spans="3:14" x14ac:dyDescent="0.25">
      <c r="C1239" s="305"/>
      <c r="D1239" s="305"/>
      <c r="E1239" s="305"/>
      <c r="F1239" s="305"/>
      <c r="G1239" s="305"/>
      <c r="H1239" s="305"/>
      <c r="I1239" s="305"/>
      <c r="J1239" s="305"/>
      <c r="K1239" s="305"/>
      <c r="L1239" s="305"/>
      <c r="M1239" s="305"/>
      <c r="N1239" s="305"/>
    </row>
    <row r="1240" spans="3:14" x14ac:dyDescent="0.25">
      <c r="C1240" s="305"/>
      <c r="D1240" s="305"/>
      <c r="E1240" s="305"/>
      <c r="F1240" s="305"/>
      <c r="G1240" s="305"/>
      <c r="H1240" s="305"/>
      <c r="I1240" s="305"/>
      <c r="J1240" s="305"/>
      <c r="K1240" s="305"/>
      <c r="L1240" s="305"/>
      <c r="M1240" s="305"/>
      <c r="N1240" s="305"/>
    </row>
    <row r="1241" spans="3:14" x14ac:dyDescent="0.25">
      <c r="C1241" s="305"/>
      <c r="D1241" s="305"/>
      <c r="E1241" s="305"/>
      <c r="F1241" s="305"/>
      <c r="G1241" s="305"/>
      <c r="H1241" s="305"/>
      <c r="I1241" s="305"/>
      <c r="J1241" s="305"/>
      <c r="K1241" s="305"/>
      <c r="L1241" s="305"/>
      <c r="M1241" s="305"/>
      <c r="N1241" s="305"/>
    </row>
    <row r="1242" spans="3:14" x14ac:dyDescent="0.25">
      <c r="C1242" s="305"/>
      <c r="D1242" s="305"/>
      <c r="E1242" s="305"/>
      <c r="F1242" s="305"/>
      <c r="G1242" s="305"/>
      <c r="H1242" s="305"/>
      <c r="I1242" s="305"/>
      <c r="J1242" s="305"/>
      <c r="K1242" s="305"/>
      <c r="L1242" s="305"/>
      <c r="M1242" s="305"/>
      <c r="N1242" s="305"/>
    </row>
    <row r="1243" spans="3:14" x14ac:dyDescent="0.25">
      <c r="C1243" s="305"/>
      <c r="D1243" s="305"/>
      <c r="E1243" s="305"/>
      <c r="F1243" s="305"/>
      <c r="G1243" s="305"/>
      <c r="H1243" s="305"/>
      <c r="I1243" s="305"/>
      <c r="J1243" s="305"/>
      <c r="K1243" s="305"/>
      <c r="L1243" s="305"/>
      <c r="M1243" s="305"/>
      <c r="N1243" s="305"/>
    </row>
    <row r="1244" spans="3:14" x14ac:dyDescent="0.25">
      <c r="C1244" s="305"/>
      <c r="D1244" s="305"/>
      <c r="E1244" s="305"/>
      <c r="F1244" s="305"/>
      <c r="G1244" s="305"/>
      <c r="H1244" s="305"/>
      <c r="I1244" s="305"/>
      <c r="J1244" s="305"/>
      <c r="K1244" s="305"/>
      <c r="L1244" s="305"/>
      <c r="M1244" s="305"/>
      <c r="N1244" s="305"/>
    </row>
    <row r="1245" spans="3:14" x14ac:dyDescent="0.25">
      <c r="C1245" s="305"/>
      <c r="D1245" s="305"/>
      <c r="E1245" s="305"/>
      <c r="F1245" s="305"/>
      <c r="G1245" s="305"/>
      <c r="H1245" s="305"/>
      <c r="I1245" s="305"/>
      <c r="J1245" s="305"/>
      <c r="K1245" s="305"/>
      <c r="L1245" s="305"/>
      <c r="M1245" s="305"/>
      <c r="N1245" s="305"/>
    </row>
    <row r="1246" spans="3:14" x14ac:dyDescent="0.25">
      <c r="C1246" s="305"/>
      <c r="D1246" s="305"/>
      <c r="E1246" s="305"/>
      <c r="F1246" s="305"/>
      <c r="G1246" s="305"/>
      <c r="H1246" s="305"/>
      <c r="I1246" s="305"/>
      <c r="J1246" s="305"/>
      <c r="K1246" s="305"/>
      <c r="L1246" s="305"/>
      <c r="M1246" s="305"/>
      <c r="N1246" s="305"/>
    </row>
    <row r="1247" spans="3:14" x14ac:dyDescent="0.25">
      <c r="C1247" s="305"/>
      <c r="D1247" s="305"/>
      <c r="E1247" s="305"/>
      <c r="F1247" s="305"/>
      <c r="G1247" s="305"/>
      <c r="H1247" s="305"/>
      <c r="I1247" s="305"/>
      <c r="J1247" s="305"/>
      <c r="K1247" s="305"/>
      <c r="L1247" s="305"/>
      <c r="M1247" s="305"/>
      <c r="N1247" s="305"/>
    </row>
    <row r="1248" spans="3:14" x14ac:dyDescent="0.25">
      <c r="C1248" s="305"/>
      <c r="D1248" s="305"/>
      <c r="E1248" s="305"/>
      <c r="F1248" s="305"/>
      <c r="G1248" s="305"/>
      <c r="H1248" s="305"/>
      <c r="I1248" s="305"/>
      <c r="J1248" s="305"/>
      <c r="K1248" s="305"/>
      <c r="L1248" s="305"/>
      <c r="M1248" s="305"/>
      <c r="N1248" s="305"/>
    </row>
    <row r="1249" spans="3:14" x14ac:dyDescent="0.25">
      <c r="C1249" s="305"/>
      <c r="D1249" s="305"/>
      <c r="E1249" s="305"/>
      <c r="F1249" s="305"/>
      <c r="G1249" s="305"/>
      <c r="H1249" s="305"/>
      <c r="I1249" s="305"/>
      <c r="J1249" s="305"/>
      <c r="K1249" s="305"/>
      <c r="L1249" s="305"/>
      <c r="M1249" s="305"/>
      <c r="N1249" s="305"/>
    </row>
    <row r="1250" spans="3:14" x14ac:dyDescent="0.25">
      <c r="C1250" s="305"/>
      <c r="D1250" s="305"/>
      <c r="E1250" s="305"/>
      <c r="F1250" s="305"/>
      <c r="G1250" s="305"/>
      <c r="H1250" s="305"/>
      <c r="I1250" s="305"/>
      <c r="J1250" s="305"/>
      <c r="K1250" s="305"/>
      <c r="L1250" s="305"/>
      <c r="M1250" s="305"/>
      <c r="N1250" s="305"/>
    </row>
    <row r="1251" spans="3:14" x14ac:dyDescent="0.25">
      <c r="C1251" s="305"/>
      <c r="D1251" s="305"/>
      <c r="E1251" s="305"/>
      <c r="F1251" s="305"/>
      <c r="G1251" s="305"/>
      <c r="H1251" s="305"/>
      <c r="I1251" s="305"/>
      <c r="J1251" s="305"/>
      <c r="K1251" s="305"/>
      <c r="L1251" s="305"/>
      <c r="M1251" s="305"/>
      <c r="N1251" s="305"/>
    </row>
    <row r="1252" spans="3:14" x14ac:dyDescent="0.25">
      <c r="C1252" s="305"/>
      <c r="D1252" s="305"/>
      <c r="E1252" s="305"/>
      <c r="F1252" s="305"/>
      <c r="G1252" s="305"/>
      <c r="H1252" s="305"/>
      <c r="I1252" s="305"/>
      <c r="J1252" s="305"/>
      <c r="K1252" s="305"/>
      <c r="L1252" s="305"/>
      <c r="M1252" s="305"/>
      <c r="N1252" s="305"/>
    </row>
    <row r="1253" spans="3:14" x14ac:dyDescent="0.25">
      <c r="C1253" s="305"/>
      <c r="D1253" s="305"/>
      <c r="E1253" s="305"/>
      <c r="F1253" s="305"/>
      <c r="G1253" s="305"/>
      <c r="H1253" s="305"/>
      <c r="I1253" s="305"/>
      <c r="J1253" s="305"/>
      <c r="K1253" s="305"/>
      <c r="L1253" s="305"/>
      <c r="M1253" s="305"/>
      <c r="N1253" s="305"/>
    </row>
    <row r="1254" spans="3:14" x14ac:dyDescent="0.25">
      <c r="C1254" s="305"/>
      <c r="D1254" s="305"/>
      <c r="E1254" s="305"/>
      <c r="F1254" s="305"/>
      <c r="G1254" s="305"/>
      <c r="H1254" s="305"/>
      <c r="I1254" s="305"/>
      <c r="J1254" s="305"/>
      <c r="K1254" s="305"/>
      <c r="L1254" s="305"/>
      <c r="M1254" s="305"/>
      <c r="N1254" s="305"/>
    </row>
    <row r="1255" spans="3:14" x14ac:dyDescent="0.25">
      <c r="C1255" s="305"/>
      <c r="D1255" s="305"/>
      <c r="E1255" s="305"/>
      <c r="F1255" s="305"/>
      <c r="G1255" s="305"/>
      <c r="H1255" s="305"/>
      <c r="I1255" s="305"/>
      <c r="J1255" s="305"/>
      <c r="K1255" s="305"/>
      <c r="L1255" s="305"/>
      <c r="M1255" s="305"/>
      <c r="N1255" s="305"/>
    </row>
    <row r="1256" spans="3:14" x14ac:dyDescent="0.25">
      <c r="C1256" s="305"/>
      <c r="D1256" s="305"/>
      <c r="E1256" s="305"/>
      <c r="F1256" s="305"/>
      <c r="G1256" s="305"/>
      <c r="H1256" s="305"/>
      <c r="I1256" s="305"/>
      <c r="J1256" s="305"/>
      <c r="K1256" s="305"/>
      <c r="L1256" s="305"/>
      <c r="M1256" s="305"/>
      <c r="N1256" s="305"/>
    </row>
    <row r="1257" spans="3:14" x14ac:dyDescent="0.25">
      <c r="C1257" s="305"/>
      <c r="D1257" s="305"/>
      <c r="E1257" s="305"/>
      <c r="F1257" s="305"/>
      <c r="G1257" s="305"/>
      <c r="H1257" s="305"/>
      <c r="I1257" s="305"/>
      <c r="J1257" s="305"/>
      <c r="K1257" s="305"/>
      <c r="L1257" s="305"/>
      <c r="M1257" s="305"/>
      <c r="N1257" s="305"/>
    </row>
    <row r="1258" spans="3:14" x14ac:dyDescent="0.25">
      <c r="C1258" s="305"/>
      <c r="D1258" s="305"/>
      <c r="E1258" s="305"/>
      <c r="F1258" s="305"/>
      <c r="G1258" s="305"/>
      <c r="H1258" s="305"/>
      <c r="I1258" s="305"/>
      <c r="J1258" s="305"/>
      <c r="K1258" s="305"/>
      <c r="L1258" s="305"/>
      <c r="M1258" s="305"/>
      <c r="N1258" s="305"/>
    </row>
    <row r="1259" spans="3:14" x14ac:dyDescent="0.25">
      <c r="C1259" s="305"/>
      <c r="D1259" s="305"/>
      <c r="E1259" s="305"/>
      <c r="F1259" s="305"/>
      <c r="G1259" s="305"/>
      <c r="H1259" s="305"/>
      <c r="I1259" s="305"/>
      <c r="J1259" s="305"/>
      <c r="K1259" s="305"/>
      <c r="L1259" s="305"/>
      <c r="M1259" s="305"/>
      <c r="N1259" s="305"/>
    </row>
    <row r="1260" spans="3:14" x14ac:dyDescent="0.25">
      <c r="C1260" s="305"/>
      <c r="D1260" s="305"/>
      <c r="E1260" s="305"/>
      <c r="F1260" s="305"/>
      <c r="G1260" s="305"/>
      <c r="H1260" s="305"/>
      <c r="I1260" s="305"/>
      <c r="J1260" s="305"/>
      <c r="K1260" s="305"/>
      <c r="L1260" s="305"/>
      <c r="M1260" s="305"/>
      <c r="N1260" s="305"/>
    </row>
    <row r="1261" spans="3:14" x14ac:dyDescent="0.25">
      <c r="C1261" s="305"/>
      <c r="D1261" s="305"/>
      <c r="E1261" s="305"/>
      <c r="F1261" s="305"/>
      <c r="G1261" s="305"/>
      <c r="H1261" s="305"/>
      <c r="I1261" s="305"/>
      <c r="J1261" s="305"/>
      <c r="K1261" s="305"/>
      <c r="L1261" s="305"/>
      <c r="M1261" s="305"/>
      <c r="N1261" s="305"/>
    </row>
    <row r="1262" spans="3:14" x14ac:dyDescent="0.25">
      <c r="C1262" s="305"/>
      <c r="D1262" s="305"/>
      <c r="E1262" s="305"/>
      <c r="F1262" s="305"/>
      <c r="G1262" s="305"/>
      <c r="H1262" s="305"/>
      <c r="I1262" s="305"/>
      <c r="J1262" s="305"/>
      <c r="K1262" s="305"/>
      <c r="L1262" s="305"/>
      <c r="M1262" s="305"/>
      <c r="N1262" s="305"/>
    </row>
    <row r="1263" spans="3:14" x14ac:dyDescent="0.25">
      <c r="C1263" s="305"/>
      <c r="D1263" s="305"/>
      <c r="E1263" s="305"/>
      <c r="F1263" s="305"/>
      <c r="G1263" s="305"/>
      <c r="H1263" s="305"/>
      <c r="I1263" s="305"/>
      <c r="J1263" s="305"/>
      <c r="K1263" s="305"/>
      <c r="L1263" s="305"/>
      <c r="M1263" s="305"/>
      <c r="N1263" s="305"/>
    </row>
    <row r="1264" spans="3:14" x14ac:dyDescent="0.25">
      <c r="C1264" s="305"/>
      <c r="D1264" s="305"/>
      <c r="E1264" s="305"/>
      <c r="F1264" s="305"/>
      <c r="G1264" s="305"/>
      <c r="H1264" s="305"/>
      <c r="I1264" s="305"/>
      <c r="J1264" s="305"/>
      <c r="K1264" s="305"/>
      <c r="L1264" s="305"/>
      <c r="M1264" s="305"/>
      <c r="N1264" s="305"/>
    </row>
    <row r="1265" spans="3:14" x14ac:dyDescent="0.25">
      <c r="C1265" s="305"/>
      <c r="D1265" s="305"/>
      <c r="E1265" s="305"/>
      <c r="F1265" s="305"/>
      <c r="G1265" s="305"/>
      <c r="H1265" s="305"/>
      <c r="I1265" s="305"/>
      <c r="J1265" s="305"/>
      <c r="K1265" s="305"/>
      <c r="L1265" s="305"/>
      <c r="M1265" s="305"/>
      <c r="N1265" s="305"/>
    </row>
    <row r="1266" spans="3:14" x14ac:dyDescent="0.25">
      <c r="C1266" s="305"/>
      <c r="D1266" s="305"/>
      <c r="E1266" s="305"/>
      <c r="F1266" s="305"/>
      <c r="G1266" s="305"/>
      <c r="H1266" s="305"/>
      <c r="I1266" s="305"/>
      <c r="J1266" s="305"/>
      <c r="K1266" s="305"/>
      <c r="L1266" s="305"/>
      <c r="M1266" s="305"/>
      <c r="N1266" s="305"/>
    </row>
    <row r="1267" spans="3:14" x14ac:dyDescent="0.25">
      <c r="C1267" s="305"/>
      <c r="D1267" s="305"/>
      <c r="E1267" s="305"/>
      <c r="F1267" s="305"/>
      <c r="G1267" s="305"/>
      <c r="H1267" s="305"/>
      <c r="I1267" s="305"/>
      <c r="J1267" s="305"/>
      <c r="K1267" s="305"/>
      <c r="L1267" s="305"/>
      <c r="M1267" s="305"/>
      <c r="N1267" s="305"/>
    </row>
    <row r="1268" spans="3:14" x14ac:dyDescent="0.25">
      <c r="C1268" s="305"/>
      <c r="D1268" s="305"/>
      <c r="E1268" s="305"/>
      <c r="F1268" s="305"/>
      <c r="G1268" s="305"/>
      <c r="H1268" s="305"/>
      <c r="I1268" s="305"/>
      <c r="J1268" s="305"/>
      <c r="K1268" s="305"/>
      <c r="L1268" s="305"/>
      <c r="M1268" s="305"/>
      <c r="N1268" s="305"/>
    </row>
    <row r="1269" spans="3:14" x14ac:dyDescent="0.25">
      <c r="C1269" s="305"/>
      <c r="D1269" s="305"/>
      <c r="E1269" s="305"/>
      <c r="F1269" s="305"/>
      <c r="G1269" s="305"/>
      <c r="H1269" s="305"/>
      <c r="I1269" s="305"/>
      <c r="J1269" s="305"/>
      <c r="K1269" s="305"/>
      <c r="L1269" s="305"/>
      <c r="M1269" s="305"/>
      <c r="N1269" s="305"/>
    </row>
    <row r="1270" spans="3:14" x14ac:dyDescent="0.25">
      <c r="C1270" s="305"/>
      <c r="D1270" s="305"/>
      <c r="E1270" s="305"/>
      <c r="F1270" s="305"/>
      <c r="G1270" s="305"/>
      <c r="H1270" s="305"/>
      <c r="I1270" s="305"/>
      <c r="J1270" s="305"/>
      <c r="K1270" s="305"/>
      <c r="L1270" s="305"/>
      <c r="M1270" s="305"/>
      <c r="N1270" s="305"/>
    </row>
    <row r="1271" spans="3:14" x14ac:dyDescent="0.25">
      <c r="C1271" s="305"/>
      <c r="D1271" s="305"/>
      <c r="E1271" s="305"/>
      <c r="F1271" s="305"/>
      <c r="G1271" s="305"/>
      <c r="H1271" s="305"/>
      <c r="I1271" s="305"/>
      <c r="J1271" s="305"/>
      <c r="K1271" s="305"/>
      <c r="L1271" s="305"/>
      <c r="M1271" s="305"/>
      <c r="N1271" s="305"/>
    </row>
    <row r="1272" spans="3:14" x14ac:dyDescent="0.25">
      <c r="C1272" s="305"/>
      <c r="D1272" s="305"/>
      <c r="E1272" s="305"/>
      <c r="F1272" s="305"/>
      <c r="G1272" s="305"/>
      <c r="H1272" s="305"/>
      <c r="I1272" s="305"/>
      <c r="J1272" s="305"/>
      <c r="K1272" s="305"/>
      <c r="L1272" s="305"/>
      <c r="M1272" s="305"/>
      <c r="N1272" s="305"/>
    </row>
    <row r="1273" spans="3:14" x14ac:dyDescent="0.25">
      <c r="C1273" s="305"/>
      <c r="D1273" s="305"/>
      <c r="E1273" s="305"/>
      <c r="F1273" s="305"/>
      <c r="G1273" s="305"/>
      <c r="H1273" s="305"/>
      <c r="I1273" s="305"/>
      <c r="J1273" s="305"/>
      <c r="K1273" s="305"/>
      <c r="L1273" s="305"/>
      <c r="M1273" s="305"/>
      <c r="N1273" s="305"/>
    </row>
    <row r="1274" spans="3:14" x14ac:dyDescent="0.25">
      <c r="C1274" s="305"/>
      <c r="D1274" s="305"/>
      <c r="E1274" s="305"/>
      <c r="F1274" s="305"/>
      <c r="G1274" s="305"/>
      <c r="H1274" s="305"/>
      <c r="I1274" s="305"/>
      <c r="J1274" s="305"/>
      <c r="K1274" s="305"/>
      <c r="L1274" s="305"/>
      <c r="M1274" s="305"/>
      <c r="N1274" s="305"/>
    </row>
    <row r="1275" spans="3:14" x14ac:dyDescent="0.25">
      <c r="C1275" s="305"/>
      <c r="D1275" s="305"/>
      <c r="E1275" s="305"/>
      <c r="F1275" s="305"/>
      <c r="G1275" s="305"/>
      <c r="H1275" s="305"/>
      <c r="I1275" s="305"/>
      <c r="J1275" s="305"/>
      <c r="K1275" s="305"/>
      <c r="L1275" s="305"/>
      <c r="M1275" s="305"/>
      <c r="N1275" s="305"/>
    </row>
    <row r="1276" spans="3:14" x14ac:dyDescent="0.25">
      <c r="C1276" s="305"/>
      <c r="D1276" s="305"/>
      <c r="E1276" s="305"/>
      <c r="F1276" s="305"/>
      <c r="G1276" s="305"/>
      <c r="H1276" s="305"/>
      <c r="I1276" s="305"/>
      <c r="J1276" s="305"/>
      <c r="K1276" s="305"/>
      <c r="L1276" s="305"/>
      <c r="M1276" s="305"/>
      <c r="N1276" s="305"/>
    </row>
    <row r="1277" spans="3:14" x14ac:dyDescent="0.25">
      <c r="C1277" s="305"/>
      <c r="D1277" s="305"/>
      <c r="E1277" s="305"/>
      <c r="F1277" s="305"/>
      <c r="G1277" s="305"/>
      <c r="H1277" s="305"/>
      <c r="I1277" s="305"/>
      <c r="J1277" s="305"/>
      <c r="K1277" s="305"/>
      <c r="L1277" s="305"/>
      <c r="M1277" s="305"/>
      <c r="N1277" s="305"/>
    </row>
    <row r="1278" spans="3:14" x14ac:dyDescent="0.25">
      <c r="C1278" s="305"/>
      <c r="D1278" s="305"/>
      <c r="E1278" s="305"/>
      <c r="F1278" s="305"/>
      <c r="G1278" s="305"/>
      <c r="H1278" s="305"/>
      <c r="I1278" s="305"/>
      <c r="J1278" s="305"/>
      <c r="K1278" s="305"/>
      <c r="L1278" s="305"/>
      <c r="M1278" s="305"/>
      <c r="N1278" s="305"/>
    </row>
    <row r="1279" spans="3:14" x14ac:dyDescent="0.25">
      <c r="C1279" s="305"/>
      <c r="D1279" s="305"/>
      <c r="E1279" s="305"/>
      <c r="F1279" s="305"/>
      <c r="G1279" s="305"/>
      <c r="H1279" s="305"/>
      <c r="I1279" s="305"/>
      <c r="J1279" s="305"/>
      <c r="K1279" s="305"/>
      <c r="L1279" s="305"/>
      <c r="M1279" s="305"/>
      <c r="N1279" s="305"/>
    </row>
    <row r="1280" spans="3:14" x14ac:dyDescent="0.25">
      <c r="C1280" s="305"/>
      <c r="D1280" s="305"/>
      <c r="E1280" s="305"/>
      <c r="F1280" s="305"/>
      <c r="G1280" s="305"/>
      <c r="H1280" s="305"/>
      <c r="I1280" s="305"/>
      <c r="J1280" s="305"/>
      <c r="K1280" s="305"/>
      <c r="L1280" s="305"/>
      <c r="M1280" s="305"/>
      <c r="N1280" s="305"/>
    </row>
    <row r="1281" spans="3:14" x14ac:dyDescent="0.25">
      <c r="C1281" s="305"/>
      <c r="D1281" s="305"/>
      <c r="E1281" s="305"/>
      <c r="F1281" s="305"/>
      <c r="G1281" s="305"/>
      <c r="H1281" s="305"/>
      <c r="I1281" s="305"/>
      <c r="J1281" s="305"/>
      <c r="K1281" s="305"/>
      <c r="L1281" s="305"/>
      <c r="M1281" s="305"/>
      <c r="N1281" s="305"/>
    </row>
    <row r="1282" spans="3:14" x14ac:dyDescent="0.25">
      <c r="C1282" s="305"/>
      <c r="D1282" s="305"/>
      <c r="E1282" s="305"/>
      <c r="F1282" s="305"/>
      <c r="G1282" s="305"/>
      <c r="H1282" s="305"/>
      <c r="I1282" s="305"/>
      <c r="J1282" s="305"/>
      <c r="K1282" s="305"/>
      <c r="L1282" s="305"/>
      <c r="M1282" s="305"/>
      <c r="N1282" s="305"/>
    </row>
    <row r="1283" spans="3:14" x14ac:dyDescent="0.25">
      <c r="C1283" s="305"/>
      <c r="D1283" s="305"/>
      <c r="E1283" s="305"/>
      <c r="F1283" s="305"/>
      <c r="G1283" s="305"/>
      <c r="H1283" s="305"/>
      <c r="I1283" s="305"/>
      <c r="J1283" s="305"/>
      <c r="K1283" s="305"/>
      <c r="L1283" s="305"/>
      <c r="M1283" s="305"/>
      <c r="N1283" s="305"/>
    </row>
    <row r="1284" spans="3:14" x14ac:dyDescent="0.25">
      <c r="C1284" s="305"/>
      <c r="D1284" s="305"/>
      <c r="E1284" s="305"/>
      <c r="F1284" s="305"/>
      <c r="G1284" s="305"/>
      <c r="H1284" s="305"/>
      <c r="I1284" s="305"/>
      <c r="J1284" s="305"/>
      <c r="K1284" s="305"/>
      <c r="L1284" s="305"/>
      <c r="M1284" s="305"/>
      <c r="N1284" s="305"/>
    </row>
    <row r="1285" spans="3:14" x14ac:dyDescent="0.25">
      <c r="C1285" s="305"/>
      <c r="D1285" s="305"/>
      <c r="E1285" s="305"/>
      <c r="F1285" s="305"/>
      <c r="G1285" s="305"/>
      <c r="H1285" s="305"/>
      <c r="I1285" s="305"/>
      <c r="J1285" s="305"/>
      <c r="K1285" s="305"/>
      <c r="L1285" s="305"/>
      <c r="M1285" s="305"/>
      <c r="N1285" s="305"/>
    </row>
    <row r="1286" spans="3:14" x14ac:dyDescent="0.25">
      <c r="C1286" s="305"/>
      <c r="D1286" s="305"/>
      <c r="E1286" s="305"/>
      <c r="F1286" s="305"/>
      <c r="G1286" s="305"/>
      <c r="H1286" s="305"/>
      <c r="I1286" s="305"/>
      <c r="J1286" s="305"/>
      <c r="K1286" s="305"/>
      <c r="L1286" s="305"/>
      <c r="M1286" s="305"/>
      <c r="N1286" s="305"/>
    </row>
    <row r="1287" spans="3:14" x14ac:dyDescent="0.25">
      <c r="C1287" s="305"/>
      <c r="D1287" s="305"/>
      <c r="E1287" s="305"/>
      <c r="F1287" s="305"/>
      <c r="G1287" s="305"/>
      <c r="H1287" s="305"/>
      <c r="I1287" s="305"/>
      <c r="J1287" s="305"/>
      <c r="K1287" s="305"/>
      <c r="L1287" s="305"/>
      <c r="M1287" s="305"/>
      <c r="N1287" s="305"/>
    </row>
    <row r="1288" spans="3:14" x14ac:dyDescent="0.25">
      <c r="C1288" s="305"/>
      <c r="D1288" s="305"/>
      <c r="E1288" s="305"/>
      <c r="F1288" s="305"/>
      <c r="G1288" s="305"/>
      <c r="H1288" s="305"/>
      <c r="I1288" s="305"/>
      <c r="J1288" s="305"/>
      <c r="K1288" s="305"/>
      <c r="L1288" s="305"/>
      <c r="M1288" s="305"/>
      <c r="N1288" s="305"/>
    </row>
    <row r="1289" spans="3:14" x14ac:dyDescent="0.25">
      <c r="C1289" s="305"/>
      <c r="D1289" s="305"/>
      <c r="E1289" s="305"/>
      <c r="F1289" s="305"/>
      <c r="G1289" s="305"/>
      <c r="H1289" s="305"/>
      <c r="I1289" s="305"/>
      <c r="J1289" s="305"/>
      <c r="K1289" s="305"/>
      <c r="L1289" s="305"/>
      <c r="M1289" s="305"/>
      <c r="N1289" s="305"/>
    </row>
    <row r="1290" spans="3:14" x14ac:dyDescent="0.25">
      <c r="C1290" s="305"/>
      <c r="D1290" s="305"/>
      <c r="E1290" s="305"/>
      <c r="F1290" s="305"/>
      <c r="G1290" s="305"/>
      <c r="H1290" s="305"/>
      <c r="I1290" s="305"/>
      <c r="J1290" s="305"/>
      <c r="K1290" s="305"/>
      <c r="L1290" s="305"/>
      <c r="M1290" s="305"/>
      <c r="N1290" s="305"/>
    </row>
    <row r="1291" spans="3:14" x14ac:dyDescent="0.25">
      <c r="C1291" s="305"/>
      <c r="D1291" s="305"/>
      <c r="E1291" s="305"/>
      <c r="F1291" s="305"/>
      <c r="G1291" s="305"/>
      <c r="H1291" s="305"/>
      <c r="I1291" s="305"/>
      <c r="J1291" s="305"/>
      <c r="K1291" s="305"/>
      <c r="L1291" s="305"/>
      <c r="M1291" s="305"/>
      <c r="N1291" s="305"/>
    </row>
    <row r="1292" spans="3:14" x14ac:dyDescent="0.25">
      <c r="C1292" s="305"/>
      <c r="D1292" s="305"/>
      <c r="E1292" s="305"/>
      <c r="F1292" s="305"/>
      <c r="G1292" s="305"/>
      <c r="H1292" s="305"/>
      <c r="I1292" s="305"/>
      <c r="J1292" s="305"/>
      <c r="K1292" s="305"/>
      <c r="L1292" s="305"/>
      <c r="M1292" s="305"/>
      <c r="N1292" s="305"/>
    </row>
    <row r="1293" spans="3:14" x14ac:dyDescent="0.25">
      <c r="C1293" s="305"/>
      <c r="D1293" s="305"/>
      <c r="E1293" s="305"/>
      <c r="F1293" s="305"/>
      <c r="G1293" s="305"/>
      <c r="H1293" s="305"/>
      <c r="I1293" s="305"/>
      <c r="J1293" s="305"/>
      <c r="K1293" s="305"/>
      <c r="L1293" s="305"/>
      <c r="M1293" s="305"/>
      <c r="N1293" s="305"/>
    </row>
    <row r="1294" spans="3:14" x14ac:dyDescent="0.25">
      <c r="C1294" s="305"/>
      <c r="D1294" s="305"/>
      <c r="E1294" s="305"/>
      <c r="F1294" s="305"/>
      <c r="G1294" s="305"/>
      <c r="H1294" s="305"/>
      <c r="I1294" s="305"/>
      <c r="J1294" s="305"/>
      <c r="K1294" s="305"/>
      <c r="L1294" s="305"/>
      <c r="M1294" s="305"/>
      <c r="N1294" s="305"/>
    </row>
    <row r="1295" spans="3:14" x14ac:dyDescent="0.25">
      <c r="C1295" s="305"/>
      <c r="D1295" s="305"/>
      <c r="E1295" s="305"/>
      <c r="F1295" s="305"/>
      <c r="G1295" s="305"/>
      <c r="H1295" s="305"/>
      <c r="I1295" s="305"/>
      <c r="J1295" s="305"/>
      <c r="K1295" s="305"/>
      <c r="L1295" s="305"/>
      <c r="M1295" s="305"/>
      <c r="N1295" s="305"/>
    </row>
    <row r="1296" spans="3:14" x14ac:dyDescent="0.25">
      <c r="C1296" s="305"/>
      <c r="D1296" s="305"/>
      <c r="E1296" s="305"/>
      <c r="F1296" s="305"/>
      <c r="G1296" s="305"/>
      <c r="H1296" s="305"/>
      <c r="I1296" s="305"/>
      <c r="J1296" s="305"/>
      <c r="K1296" s="305"/>
      <c r="L1296" s="305"/>
      <c r="M1296" s="305"/>
      <c r="N1296" s="305"/>
    </row>
    <row r="1297" spans="3:14" x14ac:dyDescent="0.25">
      <c r="C1297" s="305"/>
      <c r="D1297" s="305"/>
      <c r="E1297" s="305"/>
      <c r="F1297" s="305"/>
      <c r="G1297" s="305"/>
      <c r="H1297" s="305"/>
      <c r="I1297" s="305"/>
      <c r="J1297" s="305"/>
      <c r="K1297" s="305"/>
      <c r="L1297" s="305"/>
      <c r="M1297" s="305"/>
      <c r="N1297" s="305"/>
    </row>
    <row r="1298" spans="3:14" x14ac:dyDescent="0.25">
      <c r="C1298" s="305"/>
      <c r="D1298" s="305"/>
      <c r="E1298" s="305"/>
      <c r="F1298" s="305"/>
      <c r="G1298" s="305"/>
      <c r="H1298" s="305"/>
      <c r="I1298" s="305"/>
      <c r="J1298" s="305"/>
      <c r="K1298" s="305"/>
      <c r="L1298" s="305"/>
      <c r="M1298" s="305"/>
      <c r="N1298" s="305"/>
    </row>
    <row r="1299" spans="3:14" x14ac:dyDescent="0.25">
      <c r="C1299" s="305"/>
      <c r="D1299" s="305"/>
      <c r="E1299" s="305"/>
      <c r="F1299" s="305"/>
      <c r="G1299" s="305"/>
      <c r="H1299" s="305"/>
      <c r="I1299" s="305"/>
      <c r="J1299" s="305"/>
      <c r="K1299" s="305"/>
      <c r="L1299" s="305"/>
      <c r="M1299" s="305"/>
      <c r="N1299" s="305"/>
    </row>
    <row r="1300" spans="3:14" x14ac:dyDescent="0.25">
      <c r="C1300" s="305"/>
      <c r="D1300" s="305"/>
      <c r="E1300" s="305"/>
      <c r="F1300" s="305"/>
      <c r="G1300" s="305"/>
      <c r="H1300" s="305"/>
      <c r="I1300" s="305"/>
      <c r="J1300" s="305"/>
      <c r="K1300" s="305"/>
      <c r="L1300" s="305"/>
      <c r="M1300" s="305"/>
      <c r="N1300" s="305"/>
    </row>
    <row r="1301" spans="3:14" x14ac:dyDescent="0.25">
      <c r="C1301" s="305"/>
      <c r="D1301" s="305"/>
      <c r="E1301" s="305"/>
      <c r="F1301" s="305"/>
      <c r="G1301" s="305"/>
      <c r="H1301" s="305"/>
      <c r="I1301" s="305"/>
      <c r="J1301" s="305"/>
      <c r="K1301" s="305"/>
      <c r="L1301" s="305"/>
      <c r="M1301" s="305"/>
      <c r="N1301" s="305"/>
    </row>
    <row r="1302" spans="3:14" x14ac:dyDescent="0.25">
      <c r="C1302" s="305"/>
      <c r="D1302" s="305"/>
      <c r="E1302" s="305"/>
      <c r="F1302" s="305"/>
      <c r="G1302" s="305"/>
      <c r="H1302" s="305"/>
      <c r="I1302" s="305"/>
      <c r="J1302" s="305"/>
      <c r="K1302" s="305"/>
      <c r="L1302" s="305"/>
      <c r="M1302" s="305"/>
      <c r="N1302" s="305"/>
    </row>
    <row r="1303" spans="3:14" x14ac:dyDescent="0.25">
      <c r="C1303" s="305"/>
      <c r="D1303" s="305"/>
      <c r="E1303" s="305"/>
      <c r="F1303" s="305"/>
      <c r="G1303" s="305"/>
      <c r="H1303" s="305"/>
      <c r="I1303" s="305"/>
      <c r="J1303" s="305"/>
      <c r="K1303" s="305"/>
      <c r="L1303" s="305"/>
      <c r="M1303" s="305"/>
      <c r="N1303" s="305"/>
    </row>
    <row r="1304" spans="3:14" x14ac:dyDescent="0.25">
      <c r="C1304" s="305"/>
      <c r="D1304" s="305"/>
      <c r="E1304" s="305"/>
      <c r="F1304" s="305"/>
      <c r="G1304" s="305"/>
      <c r="H1304" s="305"/>
      <c r="I1304" s="305"/>
      <c r="J1304" s="305"/>
      <c r="K1304" s="305"/>
      <c r="L1304" s="305"/>
      <c r="M1304" s="305"/>
      <c r="N1304" s="305"/>
    </row>
    <row r="1305" spans="3:14" x14ac:dyDescent="0.25">
      <c r="C1305" s="305"/>
      <c r="D1305" s="305"/>
      <c r="E1305" s="305"/>
      <c r="F1305" s="305"/>
      <c r="G1305" s="305"/>
      <c r="H1305" s="305"/>
      <c r="I1305" s="305"/>
      <c r="J1305" s="305"/>
      <c r="K1305" s="305"/>
      <c r="L1305" s="305"/>
      <c r="M1305" s="305"/>
      <c r="N1305" s="305"/>
    </row>
    <row r="1306" spans="3:14" x14ac:dyDescent="0.25">
      <c r="C1306" s="305"/>
      <c r="D1306" s="305"/>
      <c r="E1306" s="305"/>
      <c r="F1306" s="305"/>
      <c r="G1306" s="305"/>
      <c r="H1306" s="305"/>
      <c r="I1306" s="305"/>
      <c r="J1306" s="305"/>
      <c r="K1306" s="305"/>
      <c r="L1306" s="305"/>
      <c r="M1306" s="305"/>
      <c r="N1306" s="305"/>
    </row>
    <row r="1307" spans="3:14" x14ac:dyDescent="0.25">
      <c r="C1307" s="305"/>
      <c r="D1307" s="305"/>
      <c r="E1307" s="305"/>
      <c r="F1307" s="305"/>
      <c r="G1307" s="305"/>
      <c r="H1307" s="305"/>
      <c r="I1307" s="305"/>
      <c r="J1307" s="305"/>
      <c r="K1307" s="305"/>
      <c r="L1307" s="305"/>
      <c r="M1307" s="305"/>
      <c r="N1307" s="305"/>
    </row>
    <row r="1308" spans="3:14" x14ac:dyDescent="0.25">
      <c r="C1308" s="305"/>
      <c r="D1308" s="305"/>
      <c r="E1308" s="305"/>
      <c r="F1308" s="305"/>
      <c r="G1308" s="305"/>
      <c r="H1308" s="305"/>
      <c r="I1308" s="305"/>
      <c r="J1308" s="305"/>
      <c r="K1308" s="305"/>
      <c r="L1308" s="305"/>
      <c r="M1308" s="305"/>
      <c r="N1308" s="305"/>
    </row>
    <row r="1309" spans="3:14" x14ac:dyDescent="0.25">
      <c r="C1309" s="305"/>
      <c r="D1309" s="305"/>
      <c r="E1309" s="305"/>
      <c r="F1309" s="305"/>
      <c r="G1309" s="305"/>
      <c r="H1309" s="305"/>
      <c r="I1309" s="305"/>
      <c r="J1309" s="305"/>
      <c r="K1309" s="305"/>
      <c r="L1309" s="305"/>
      <c r="M1309" s="305"/>
      <c r="N1309" s="305"/>
    </row>
    <row r="1310" spans="3:14" x14ac:dyDescent="0.25">
      <c r="C1310" s="305"/>
      <c r="D1310" s="305"/>
      <c r="E1310" s="305"/>
      <c r="F1310" s="305"/>
      <c r="G1310" s="305"/>
      <c r="H1310" s="305"/>
      <c r="I1310" s="305"/>
      <c r="J1310" s="305"/>
      <c r="K1310" s="305"/>
      <c r="L1310" s="305"/>
      <c r="M1310" s="305"/>
      <c r="N1310" s="305"/>
    </row>
    <row r="1311" spans="3:14" x14ac:dyDescent="0.25">
      <c r="C1311" s="305"/>
      <c r="D1311" s="305"/>
      <c r="E1311" s="305"/>
      <c r="F1311" s="305"/>
      <c r="G1311" s="305"/>
      <c r="H1311" s="305"/>
      <c r="I1311" s="305"/>
      <c r="J1311" s="305"/>
      <c r="K1311" s="305"/>
      <c r="L1311" s="305"/>
      <c r="M1311" s="305"/>
      <c r="N1311" s="305"/>
    </row>
    <row r="1312" spans="3:14" x14ac:dyDescent="0.25">
      <c r="C1312" s="305"/>
      <c r="D1312" s="305"/>
      <c r="E1312" s="305"/>
      <c r="F1312" s="305"/>
      <c r="G1312" s="305"/>
      <c r="H1312" s="305"/>
      <c r="I1312" s="305"/>
      <c r="J1312" s="305"/>
      <c r="K1312" s="305"/>
      <c r="L1312" s="305"/>
      <c r="M1312" s="305"/>
      <c r="N1312" s="305"/>
    </row>
    <row r="1313" spans="3:14" x14ac:dyDescent="0.25">
      <c r="C1313" s="305"/>
      <c r="D1313" s="305"/>
      <c r="E1313" s="305"/>
      <c r="F1313" s="305"/>
      <c r="G1313" s="305"/>
      <c r="H1313" s="305"/>
      <c r="I1313" s="305"/>
      <c r="J1313" s="305"/>
      <c r="K1313" s="305"/>
      <c r="L1313" s="305"/>
      <c r="M1313" s="305"/>
      <c r="N1313" s="305"/>
    </row>
    <row r="1314" spans="3:14" x14ac:dyDescent="0.25">
      <c r="C1314" s="305"/>
      <c r="D1314" s="305"/>
      <c r="E1314" s="305"/>
      <c r="F1314" s="305"/>
      <c r="G1314" s="305"/>
      <c r="H1314" s="305"/>
      <c r="I1314" s="305"/>
      <c r="J1314" s="305"/>
      <c r="K1314" s="305"/>
      <c r="L1314" s="305"/>
      <c r="M1314" s="305"/>
      <c r="N1314" s="305"/>
    </row>
    <row r="1315" spans="3:14" x14ac:dyDescent="0.25">
      <c r="C1315" s="305"/>
      <c r="D1315" s="305"/>
      <c r="E1315" s="305"/>
      <c r="F1315" s="305"/>
      <c r="G1315" s="305"/>
      <c r="H1315" s="305"/>
      <c r="I1315" s="305"/>
      <c r="J1315" s="305"/>
      <c r="K1315" s="305"/>
      <c r="L1315" s="305"/>
      <c r="M1315" s="305"/>
      <c r="N1315" s="305"/>
    </row>
    <row r="1316" spans="3:14" x14ac:dyDescent="0.25">
      <c r="C1316" s="305"/>
      <c r="D1316" s="305"/>
      <c r="E1316" s="305"/>
      <c r="F1316" s="305"/>
      <c r="G1316" s="305"/>
      <c r="H1316" s="305"/>
      <c r="I1316" s="305"/>
      <c r="J1316" s="305"/>
      <c r="K1316" s="305"/>
      <c r="L1316" s="305"/>
      <c r="M1316" s="305"/>
      <c r="N1316" s="305"/>
    </row>
    <row r="1317" spans="3:14" x14ac:dyDescent="0.25">
      <c r="C1317" s="305"/>
      <c r="D1317" s="305"/>
      <c r="E1317" s="305"/>
      <c r="F1317" s="305"/>
      <c r="G1317" s="305"/>
      <c r="H1317" s="305"/>
      <c r="I1317" s="305"/>
      <c r="J1317" s="305"/>
      <c r="K1317" s="305"/>
      <c r="L1317" s="305"/>
      <c r="M1317" s="305"/>
      <c r="N1317" s="305"/>
    </row>
    <row r="1318" spans="3:14" x14ac:dyDescent="0.25">
      <c r="C1318" s="305"/>
      <c r="D1318" s="305"/>
      <c r="E1318" s="305"/>
      <c r="F1318" s="305"/>
      <c r="G1318" s="305"/>
      <c r="H1318" s="305"/>
      <c r="I1318" s="305"/>
      <c r="J1318" s="305"/>
      <c r="K1318" s="305"/>
      <c r="L1318" s="305"/>
      <c r="M1318" s="305"/>
      <c r="N1318" s="305"/>
    </row>
    <row r="1319" spans="3:14" x14ac:dyDescent="0.25">
      <c r="C1319" s="305"/>
      <c r="D1319" s="305"/>
      <c r="E1319" s="305"/>
      <c r="F1319" s="305"/>
      <c r="G1319" s="305"/>
      <c r="H1319" s="305"/>
      <c r="I1319" s="305"/>
      <c r="J1319" s="305"/>
      <c r="K1319" s="305"/>
      <c r="L1319" s="305"/>
      <c r="M1319" s="305"/>
      <c r="N1319" s="305"/>
    </row>
    <row r="1320" spans="3:14" x14ac:dyDescent="0.25">
      <c r="C1320" s="305"/>
      <c r="D1320" s="305"/>
      <c r="E1320" s="305"/>
      <c r="F1320" s="305"/>
      <c r="G1320" s="305"/>
      <c r="H1320" s="305"/>
      <c r="I1320" s="305"/>
      <c r="J1320" s="305"/>
      <c r="K1320" s="305"/>
      <c r="L1320" s="305"/>
      <c r="M1320" s="305"/>
      <c r="N1320" s="305"/>
    </row>
    <row r="1321" spans="3:14" x14ac:dyDescent="0.25">
      <c r="C1321" s="305"/>
      <c r="D1321" s="305"/>
      <c r="E1321" s="305"/>
      <c r="F1321" s="305"/>
      <c r="G1321" s="305"/>
      <c r="H1321" s="305"/>
      <c r="I1321" s="305"/>
      <c r="J1321" s="305"/>
      <c r="K1321" s="305"/>
      <c r="L1321" s="305"/>
      <c r="M1321" s="305"/>
      <c r="N1321" s="305"/>
    </row>
    <row r="1322" spans="3:14" x14ac:dyDescent="0.25">
      <c r="C1322" s="305"/>
      <c r="D1322" s="305"/>
      <c r="E1322" s="305"/>
      <c r="F1322" s="305"/>
      <c r="G1322" s="305"/>
      <c r="H1322" s="305"/>
      <c r="I1322" s="305"/>
      <c r="J1322" s="305"/>
      <c r="K1322" s="305"/>
      <c r="L1322" s="305"/>
      <c r="M1322" s="305"/>
      <c r="N1322" s="305"/>
    </row>
    <row r="1323" spans="3:14" x14ac:dyDescent="0.25">
      <c r="C1323" s="305"/>
      <c r="D1323" s="305"/>
      <c r="E1323" s="305"/>
      <c r="F1323" s="305"/>
      <c r="G1323" s="305"/>
      <c r="H1323" s="305"/>
      <c r="I1323" s="305"/>
      <c r="J1323" s="305"/>
      <c r="K1323" s="305"/>
      <c r="L1323" s="305"/>
      <c r="M1323" s="305"/>
      <c r="N1323" s="305"/>
    </row>
    <row r="1324" spans="3:14" x14ac:dyDescent="0.25">
      <c r="C1324" s="305"/>
      <c r="D1324" s="305"/>
      <c r="E1324" s="305"/>
      <c r="F1324" s="305"/>
      <c r="G1324" s="305"/>
      <c r="H1324" s="305"/>
      <c r="I1324" s="305"/>
      <c r="J1324" s="305"/>
      <c r="K1324" s="305"/>
      <c r="L1324" s="305"/>
      <c r="M1324" s="305"/>
      <c r="N1324" s="305"/>
    </row>
    <row r="1325" spans="3:14" x14ac:dyDescent="0.25">
      <c r="C1325" s="305"/>
      <c r="D1325" s="305"/>
      <c r="E1325" s="305"/>
      <c r="F1325" s="305"/>
      <c r="G1325" s="305"/>
      <c r="H1325" s="305"/>
      <c r="I1325" s="305"/>
      <c r="J1325" s="305"/>
      <c r="K1325" s="305"/>
      <c r="L1325" s="305"/>
      <c r="M1325" s="305"/>
      <c r="N1325" s="305"/>
    </row>
    <row r="1326" spans="3:14" x14ac:dyDescent="0.25">
      <c r="C1326" s="305"/>
      <c r="D1326" s="305"/>
      <c r="E1326" s="305"/>
      <c r="F1326" s="305"/>
      <c r="G1326" s="305"/>
      <c r="H1326" s="305"/>
      <c r="I1326" s="305"/>
      <c r="J1326" s="305"/>
      <c r="K1326" s="305"/>
      <c r="L1326" s="305"/>
      <c r="M1326" s="305"/>
      <c r="N1326" s="305"/>
    </row>
    <row r="1327" spans="3:14" x14ac:dyDescent="0.25">
      <c r="C1327" s="305"/>
      <c r="D1327" s="305"/>
      <c r="E1327" s="305"/>
      <c r="F1327" s="305"/>
      <c r="G1327" s="305"/>
      <c r="H1327" s="305"/>
      <c r="I1327" s="305"/>
      <c r="J1327" s="305"/>
      <c r="K1327" s="305"/>
      <c r="L1327" s="305"/>
      <c r="M1327" s="305"/>
      <c r="N1327" s="305"/>
    </row>
    <row r="1328" spans="3:14" x14ac:dyDescent="0.25">
      <c r="C1328" s="305"/>
      <c r="D1328" s="305"/>
      <c r="E1328" s="305"/>
      <c r="F1328" s="305"/>
      <c r="G1328" s="305"/>
      <c r="H1328" s="305"/>
      <c r="I1328" s="305"/>
      <c r="J1328" s="305"/>
      <c r="K1328" s="305"/>
      <c r="L1328" s="305"/>
      <c r="M1328" s="305"/>
      <c r="N1328" s="305"/>
    </row>
    <row r="1329" spans="3:14" x14ac:dyDescent="0.25">
      <c r="C1329" s="305"/>
      <c r="D1329" s="305"/>
      <c r="E1329" s="305"/>
      <c r="F1329" s="305"/>
      <c r="G1329" s="305"/>
      <c r="H1329" s="305"/>
      <c r="I1329" s="305"/>
      <c r="J1329" s="305"/>
      <c r="K1329" s="305"/>
      <c r="L1329" s="305"/>
      <c r="M1329" s="305"/>
      <c r="N1329" s="305"/>
    </row>
    <row r="1330" spans="3:14" x14ac:dyDescent="0.25">
      <c r="C1330" s="305"/>
      <c r="D1330" s="305"/>
      <c r="E1330" s="305"/>
      <c r="F1330" s="305"/>
      <c r="G1330" s="305"/>
      <c r="H1330" s="305"/>
      <c r="I1330" s="305"/>
      <c r="J1330" s="305"/>
      <c r="K1330" s="305"/>
      <c r="L1330" s="305"/>
      <c r="M1330" s="305"/>
      <c r="N1330" s="305"/>
    </row>
    <row r="1331" spans="3:14" x14ac:dyDescent="0.25">
      <c r="C1331" s="305"/>
      <c r="D1331" s="305"/>
      <c r="E1331" s="305"/>
      <c r="F1331" s="305"/>
      <c r="G1331" s="305"/>
      <c r="H1331" s="305"/>
      <c r="I1331" s="305"/>
      <c r="J1331" s="305"/>
      <c r="K1331" s="305"/>
      <c r="L1331" s="305"/>
      <c r="M1331" s="305"/>
      <c r="N1331" s="305"/>
    </row>
    <row r="1332" spans="3:14" x14ac:dyDescent="0.25">
      <c r="C1332" s="305"/>
      <c r="D1332" s="305"/>
      <c r="E1332" s="305"/>
      <c r="F1332" s="305"/>
      <c r="G1332" s="305"/>
      <c r="H1332" s="305"/>
      <c r="I1332" s="305"/>
      <c r="J1332" s="305"/>
      <c r="K1332" s="305"/>
      <c r="L1332" s="305"/>
      <c r="M1332" s="305"/>
      <c r="N1332" s="305"/>
    </row>
    <row r="1333" spans="3:14" x14ac:dyDescent="0.25">
      <c r="C1333" s="305"/>
      <c r="D1333" s="305"/>
      <c r="E1333" s="305"/>
      <c r="F1333" s="305"/>
      <c r="G1333" s="305"/>
      <c r="H1333" s="305"/>
      <c r="I1333" s="305"/>
      <c r="J1333" s="305"/>
      <c r="K1333" s="305"/>
      <c r="L1333" s="305"/>
      <c r="M1333" s="305"/>
      <c r="N1333" s="305"/>
    </row>
    <row r="1334" spans="3:14" x14ac:dyDescent="0.25">
      <c r="C1334" s="305"/>
      <c r="D1334" s="305"/>
      <c r="E1334" s="305"/>
      <c r="F1334" s="305"/>
      <c r="G1334" s="305"/>
      <c r="H1334" s="305"/>
      <c r="I1334" s="305"/>
      <c r="J1334" s="305"/>
      <c r="K1334" s="305"/>
      <c r="L1334" s="305"/>
      <c r="M1334" s="305"/>
      <c r="N1334" s="305"/>
    </row>
    <row r="1335" spans="3:14" x14ac:dyDescent="0.25">
      <c r="C1335" s="305"/>
      <c r="D1335" s="305"/>
      <c r="E1335" s="305"/>
      <c r="F1335" s="305"/>
      <c r="G1335" s="305"/>
      <c r="H1335" s="305"/>
      <c r="I1335" s="305"/>
      <c r="J1335" s="305"/>
      <c r="K1335" s="305"/>
      <c r="L1335" s="305"/>
      <c r="M1335" s="305"/>
      <c r="N1335" s="305"/>
    </row>
    <row r="1336" spans="3:14" x14ac:dyDescent="0.25">
      <c r="C1336" s="305"/>
      <c r="D1336" s="305"/>
      <c r="E1336" s="305"/>
      <c r="F1336" s="305"/>
      <c r="G1336" s="305"/>
      <c r="H1336" s="305"/>
      <c r="I1336" s="305"/>
      <c r="J1336" s="305"/>
      <c r="K1336" s="305"/>
      <c r="L1336" s="305"/>
      <c r="M1336" s="305"/>
      <c r="N1336" s="305"/>
    </row>
    <row r="1337" spans="3:14" x14ac:dyDescent="0.25">
      <c r="C1337" s="305"/>
      <c r="D1337" s="305"/>
      <c r="E1337" s="305"/>
      <c r="F1337" s="305"/>
      <c r="G1337" s="305"/>
      <c r="H1337" s="305"/>
      <c r="I1337" s="305"/>
      <c r="J1337" s="305"/>
      <c r="K1337" s="305"/>
      <c r="L1337" s="305"/>
      <c r="M1337" s="305"/>
      <c r="N1337" s="305"/>
    </row>
    <row r="1338" spans="3:14" x14ac:dyDescent="0.25">
      <c r="C1338" s="305"/>
      <c r="D1338" s="305"/>
      <c r="E1338" s="305"/>
      <c r="F1338" s="305"/>
      <c r="G1338" s="305"/>
      <c r="H1338" s="305"/>
      <c r="I1338" s="305"/>
      <c r="J1338" s="305"/>
      <c r="K1338" s="305"/>
      <c r="L1338" s="305"/>
      <c r="M1338" s="305"/>
      <c r="N1338" s="305"/>
    </row>
    <row r="1339" spans="3:14" x14ac:dyDescent="0.25">
      <c r="C1339" s="305"/>
      <c r="D1339" s="305"/>
      <c r="E1339" s="305"/>
      <c r="F1339" s="305"/>
      <c r="G1339" s="305"/>
      <c r="H1339" s="305"/>
      <c r="I1339" s="305"/>
      <c r="J1339" s="305"/>
      <c r="K1339" s="305"/>
      <c r="L1339" s="305"/>
      <c r="M1339" s="305"/>
      <c r="N1339" s="305"/>
    </row>
    <row r="1340" spans="3:14" x14ac:dyDescent="0.25">
      <c r="C1340" s="305"/>
      <c r="D1340" s="305"/>
      <c r="E1340" s="305"/>
      <c r="F1340" s="305"/>
      <c r="G1340" s="305"/>
      <c r="H1340" s="305"/>
      <c r="I1340" s="305"/>
      <c r="J1340" s="305"/>
      <c r="K1340" s="305"/>
      <c r="L1340" s="305"/>
      <c r="M1340" s="305"/>
      <c r="N1340" s="305"/>
    </row>
    <row r="1341" spans="3:14" x14ac:dyDescent="0.25">
      <c r="C1341" s="305"/>
      <c r="D1341" s="305"/>
      <c r="E1341" s="305"/>
      <c r="F1341" s="305"/>
      <c r="G1341" s="305"/>
      <c r="H1341" s="305"/>
      <c r="I1341" s="305"/>
      <c r="J1341" s="305"/>
      <c r="K1341" s="305"/>
      <c r="L1341" s="305"/>
      <c r="M1341" s="305"/>
      <c r="N1341" s="305"/>
    </row>
    <row r="1342" spans="3:14" x14ac:dyDescent="0.25">
      <c r="C1342" s="305"/>
      <c r="D1342" s="305"/>
      <c r="E1342" s="305"/>
      <c r="F1342" s="305"/>
      <c r="G1342" s="305"/>
      <c r="H1342" s="305"/>
      <c r="I1342" s="305"/>
      <c r="J1342" s="305"/>
      <c r="K1342" s="305"/>
      <c r="L1342" s="305"/>
      <c r="M1342" s="305"/>
      <c r="N1342" s="305"/>
    </row>
    <row r="1343" spans="3:14" x14ac:dyDescent="0.25">
      <c r="C1343" s="305"/>
      <c r="D1343" s="305"/>
      <c r="E1343" s="305"/>
      <c r="F1343" s="305"/>
      <c r="G1343" s="305"/>
      <c r="H1343" s="305"/>
      <c r="I1343" s="305"/>
      <c r="J1343" s="305"/>
      <c r="K1343" s="305"/>
      <c r="L1343" s="305"/>
      <c r="M1343" s="305"/>
      <c r="N1343" s="305"/>
    </row>
    <row r="1344" spans="3:14" x14ac:dyDescent="0.25">
      <c r="C1344" s="305"/>
      <c r="D1344" s="305"/>
      <c r="E1344" s="305"/>
      <c r="F1344" s="305"/>
      <c r="G1344" s="305"/>
      <c r="H1344" s="305"/>
      <c r="I1344" s="305"/>
      <c r="J1344" s="305"/>
      <c r="K1344" s="305"/>
      <c r="L1344" s="305"/>
      <c r="M1344" s="305"/>
      <c r="N1344" s="305"/>
    </row>
    <row r="1345" spans="3:14" x14ac:dyDescent="0.25">
      <c r="C1345" s="305"/>
      <c r="D1345" s="305"/>
      <c r="E1345" s="305"/>
      <c r="F1345" s="305"/>
      <c r="G1345" s="305"/>
      <c r="H1345" s="305"/>
      <c r="I1345" s="305"/>
      <c r="J1345" s="305"/>
      <c r="K1345" s="305"/>
      <c r="L1345" s="305"/>
      <c r="M1345" s="305"/>
      <c r="N1345" s="305"/>
    </row>
    <row r="1346" spans="3:14" x14ac:dyDescent="0.25">
      <c r="C1346" s="305"/>
      <c r="D1346" s="305"/>
      <c r="E1346" s="305"/>
      <c r="F1346" s="305"/>
      <c r="G1346" s="305"/>
      <c r="H1346" s="305"/>
      <c r="I1346" s="305"/>
      <c r="J1346" s="305"/>
      <c r="K1346" s="305"/>
      <c r="L1346" s="305"/>
      <c r="M1346" s="305"/>
      <c r="N1346" s="305"/>
    </row>
    <row r="1347" spans="3:14" x14ac:dyDescent="0.25">
      <c r="C1347" s="305"/>
      <c r="D1347" s="305"/>
      <c r="E1347" s="305"/>
      <c r="F1347" s="305"/>
      <c r="G1347" s="305"/>
      <c r="H1347" s="305"/>
      <c r="I1347" s="305"/>
      <c r="J1347" s="305"/>
      <c r="K1347" s="305"/>
      <c r="L1347" s="305"/>
      <c r="M1347" s="305"/>
      <c r="N1347" s="305"/>
    </row>
    <row r="1348" spans="3:14" x14ac:dyDescent="0.25">
      <c r="C1348" s="305"/>
      <c r="D1348" s="305"/>
      <c r="E1348" s="305"/>
      <c r="F1348" s="305"/>
      <c r="G1348" s="305"/>
      <c r="H1348" s="305"/>
      <c r="I1348" s="305"/>
      <c r="J1348" s="305"/>
      <c r="K1348" s="305"/>
      <c r="L1348" s="305"/>
      <c r="M1348" s="305"/>
      <c r="N1348" s="305"/>
    </row>
    <row r="1349" spans="3:14" x14ac:dyDescent="0.25">
      <c r="C1349" s="305"/>
      <c r="D1349" s="305"/>
      <c r="E1349" s="305"/>
      <c r="F1349" s="305"/>
      <c r="G1349" s="305"/>
      <c r="H1349" s="305"/>
      <c r="I1349" s="305"/>
      <c r="J1349" s="305"/>
      <c r="K1349" s="305"/>
      <c r="L1349" s="305"/>
      <c r="M1349" s="305"/>
      <c r="N1349" s="305"/>
    </row>
    <row r="1350" spans="3:14" x14ac:dyDescent="0.25">
      <c r="C1350" s="305"/>
      <c r="D1350" s="305"/>
      <c r="E1350" s="305"/>
      <c r="F1350" s="305"/>
      <c r="G1350" s="305"/>
      <c r="H1350" s="305"/>
      <c r="I1350" s="305"/>
      <c r="J1350" s="305"/>
      <c r="K1350" s="305"/>
      <c r="L1350" s="305"/>
      <c r="M1350" s="305"/>
      <c r="N1350" s="305"/>
    </row>
    <row r="1351" spans="3:14" x14ac:dyDescent="0.25">
      <c r="C1351" s="305"/>
      <c r="D1351" s="305"/>
      <c r="E1351" s="305"/>
      <c r="F1351" s="305"/>
      <c r="G1351" s="305"/>
      <c r="H1351" s="305"/>
      <c r="I1351" s="305"/>
      <c r="J1351" s="305"/>
      <c r="K1351" s="305"/>
      <c r="L1351" s="305"/>
      <c r="M1351" s="305"/>
      <c r="N1351" s="305"/>
    </row>
    <row r="1352" spans="3:14" x14ac:dyDescent="0.25">
      <c r="C1352" s="305"/>
      <c r="D1352" s="305"/>
      <c r="E1352" s="305"/>
      <c r="F1352" s="305"/>
      <c r="G1352" s="305"/>
      <c r="H1352" s="305"/>
      <c r="I1352" s="305"/>
      <c r="J1352" s="305"/>
      <c r="K1352" s="305"/>
      <c r="L1352" s="305"/>
      <c r="M1352" s="305"/>
      <c r="N1352" s="305"/>
    </row>
    <row r="1353" spans="3:14" x14ac:dyDescent="0.25">
      <c r="C1353" s="305"/>
      <c r="D1353" s="305"/>
      <c r="E1353" s="305"/>
      <c r="F1353" s="305"/>
      <c r="G1353" s="305"/>
      <c r="H1353" s="305"/>
      <c r="I1353" s="305"/>
      <c r="J1353" s="305"/>
      <c r="K1353" s="305"/>
      <c r="L1353" s="305"/>
      <c r="M1353" s="305"/>
      <c r="N1353" s="305"/>
    </row>
    <row r="1354" spans="3:14" x14ac:dyDescent="0.25">
      <c r="C1354" s="305"/>
      <c r="D1354" s="305"/>
      <c r="E1354" s="305"/>
      <c r="F1354" s="305"/>
      <c r="G1354" s="305"/>
      <c r="H1354" s="305"/>
      <c r="I1354" s="305"/>
      <c r="J1354" s="305"/>
      <c r="K1354" s="305"/>
      <c r="L1354" s="305"/>
      <c r="M1354" s="305"/>
      <c r="N1354" s="305"/>
    </row>
    <row r="1355" spans="3:14" x14ac:dyDescent="0.25">
      <c r="C1355" s="305"/>
      <c r="D1355" s="305"/>
      <c r="E1355" s="305"/>
      <c r="F1355" s="305"/>
      <c r="G1355" s="305"/>
      <c r="H1355" s="305"/>
      <c r="I1355" s="305"/>
      <c r="J1355" s="305"/>
      <c r="K1355" s="305"/>
      <c r="L1355" s="305"/>
      <c r="M1355" s="305"/>
      <c r="N1355" s="305"/>
    </row>
    <row r="1356" spans="3:14" x14ac:dyDescent="0.25">
      <c r="C1356" s="305"/>
      <c r="D1356" s="305"/>
      <c r="E1356" s="305"/>
      <c r="F1356" s="305"/>
      <c r="G1356" s="305"/>
      <c r="H1356" s="305"/>
      <c r="I1356" s="305"/>
      <c r="J1356" s="305"/>
      <c r="K1356" s="305"/>
      <c r="L1356" s="305"/>
      <c r="M1356" s="305"/>
      <c r="N1356" s="305"/>
    </row>
    <row r="1357" spans="3:14" x14ac:dyDescent="0.25">
      <c r="C1357" s="305"/>
      <c r="D1357" s="305"/>
      <c r="E1357" s="305"/>
      <c r="F1357" s="305"/>
      <c r="G1357" s="305"/>
      <c r="H1357" s="305"/>
      <c r="I1357" s="305"/>
      <c r="J1357" s="305"/>
      <c r="K1357" s="305"/>
      <c r="L1357" s="305"/>
      <c r="M1357" s="305"/>
      <c r="N1357" s="305"/>
    </row>
    <row r="1358" spans="3:14" x14ac:dyDescent="0.25">
      <c r="C1358" s="305"/>
      <c r="D1358" s="305"/>
      <c r="E1358" s="305"/>
      <c r="F1358" s="305"/>
      <c r="G1358" s="305"/>
      <c r="H1358" s="305"/>
      <c r="I1358" s="305"/>
      <c r="J1358" s="305"/>
      <c r="K1358" s="305"/>
      <c r="L1358" s="305"/>
      <c r="M1358" s="305"/>
      <c r="N1358" s="305"/>
    </row>
    <row r="1359" spans="3:14" x14ac:dyDescent="0.25">
      <c r="C1359" s="305"/>
      <c r="D1359" s="305"/>
      <c r="E1359" s="305"/>
      <c r="F1359" s="305"/>
      <c r="G1359" s="305"/>
      <c r="H1359" s="305"/>
      <c r="I1359" s="305"/>
      <c r="J1359" s="305"/>
      <c r="K1359" s="305"/>
      <c r="L1359" s="305"/>
      <c r="M1359" s="305"/>
      <c r="N1359" s="305"/>
    </row>
    <row r="1360" spans="3:14" x14ac:dyDescent="0.25">
      <c r="C1360" s="305"/>
      <c r="D1360" s="305"/>
      <c r="E1360" s="305"/>
      <c r="F1360" s="305"/>
      <c r="G1360" s="305"/>
      <c r="H1360" s="305"/>
      <c r="I1360" s="305"/>
      <c r="J1360" s="305"/>
      <c r="K1360" s="305"/>
      <c r="L1360" s="305"/>
      <c r="M1360" s="305"/>
      <c r="N1360" s="305"/>
    </row>
    <row r="1361" spans="3:14" x14ac:dyDescent="0.25">
      <c r="C1361" s="305"/>
      <c r="D1361" s="305"/>
      <c r="E1361" s="305"/>
      <c r="F1361" s="305"/>
      <c r="G1361" s="305"/>
      <c r="H1361" s="305"/>
      <c r="I1361" s="305"/>
      <c r="J1361" s="305"/>
      <c r="K1361" s="305"/>
      <c r="L1361" s="305"/>
      <c r="M1361" s="305"/>
      <c r="N1361" s="305"/>
    </row>
    <row r="1362" spans="3:14" x14ac:dyDescent="0.25">
      <c r="C1362" s="305"/>
      <c r="D1362" s="305"/>
      <c r="E1362" s="305"/>
      <c r="F1362" s="305"/>
      <c r="G1362" s="305"/>
      <c r="H1362" s="305"/>
      <c r="I1362" s="305"/>
      <c r="J1362" s="305"/>
      <c r="K1362" s="305"/>
      <c r="L1362" s="305"/>
      <c r="M1362" s="305"/>
      <c r="N1362" s="305"/>
    </row>
    <row r="1363" spans="3:14" x14ac:dyDescent="0.25">
      <c r="C1363" s="305"/>
      <c r="D1363" s="305"/>
      <c r="E1363" s="305"/>
      <c r="F1363" s="305"/>
      <c r="G1363" s="305"/>
      <c r="H1363" s="305"/>
      <c r="I1363" s="305"/>
      <c r="J1363" s="305"/>
      <c r="K1363" s="305"/>
      <c r="L1363" s="305"/>
      <c r="M1363" s="305"/>
      <c r="N1363" s="305"/>
    </row>
    <row r="1364" spans="3:14" x14ac:dyDescent="0.25">
      <c r="C1364" s="305"/>
      <c r="D1364" s="305"/>
      <c r="E1364" s="305"/>
      <c r="F1364" s="305"/>
      <c r="G1364" s="305"/>
      <c r="H1364" s="305"/>
      <c r="I1364" s="305"/>
      <c r="J1364" s="305"/>
      <c r="K1364" s="305"/>
      <c r="L1364" s="305"/>
      <c r="M1364" s="305"/>
      <c r="N1364" s="305"/>
    </row>
    <row r="1365" spans="3:14" x14ac:dyDescent="0.25">
      <c r="C1365" s="305"/>
      <c r="D1365" s="305"/>
      <c r="E1365" s="305"/>
      <c r="F1365" s="305"/>
      <c r="G1365" s="305"/>
      <c r="H1365" s="305"/>
      <c r="I1365" s="305"/>
      <c r="J1365" s="305"/>
      <c r="K1365" s="305"/>
      <c r="L1365" s="305"/>
      <c r="M1365" s="305"/>
      <c r="N1365" s="305"/>
    </row>
    <row r="1366" spans="3:14" x14ac:dyDescent="0.25">
      <c r="C1366" s="305"/>
      <c r="D1366" s="305"/>
      <c r="E1366" s="305"/>
      <c r="F1366" s="305"/>
      <c r="G1366" s="305"/>
      <c r="H1366" s="305"/>
      <c r="I1366" s="305"/>
      <c r="J1366" s="305"/>
      <c r="K1366" s="305"/>
      <c r="L1366" s="305"/>
      <c r="M1366" s="305"/>
      <c r="N1366" s="305"/>
    </row>
    <row r="1367" spans="3:14" x14ac:dyDescent="0.25">
      <c r="C1367" s="305"/>
      <c r="D1367" s="305"/>
      <c r="E1367" s="305"/>
      <c r="F1367" s="305"/>
      <c r="G1367" s="305"/>
      <c r="H1367" s="305"/>
      <c r="I1367" s="305"/>
      <c r="J1367" s="305"/>
      <c r="K1367" s="305"/>
      <c r="L1367" s="305"/>
      <c r="M1367" s="305"/>
      <c r="N1367" s="305"/>
    </row>
    <row r="1368" spans="3:14" x14ac:dyDescent="0.25">
      <c r="C1368" s="305"/>
      <c r="D1368" s="305"/>
      <c r="E1368" s="305"/>
      <c r="F1368" s="305"/>
      <c r="G1368" s="305"/>
      <c r="H1368" s="305"/>
      <c r="I1368" s="305"/>
      <c r="J1368" s="305"/>
      <c r="K1368" s="305"/>
      <c r="L1368" s="305"/>
      <c r="M1368" s="305"/>
      <c r="N1368" s="305"/>
    </row>
    <row r="1369" spans="3:14" x14ac:dyDescent="0.25">
      <c r="C1369" s="305"/>
      <c r="D1369" s="305"/>
      <c r="E1369" s="305"/>
      <c r="F1369" s="305"/>
      <c r="G1369" s="305"/>
      <c r="H1369" s="305"/>
      <c r="I1369" s="305"/>
      <c r="J1369" s="305"/>
      <c r="K1369" s="305"/>
      <c r="L1369" s="305"/>
      <c r="M1369" s="305"/>
      <c r="N1369" s="305"/>
    </row>
    <row r="1370" spans="3:14" x14ac:dyDescent="0.25">
      <c r="C1370" s="305"/>
      <c r="D1370" s="305"/>
      <c r="E1370" s="305"/>
      <c r="F1370" s="305"/>
      <c r="G1370" s="305"/>
      <c r="H1370" s="305"/>
      <c r="I1370" s="305"/>
      <c r="J1370" s="305"/>
      <c r="K1370" s="305"/>
      <c r="L1370" s="305"/>
      <c r="M1370" s="305"/>
      <c r="N1370" s="305"/>
    </row>
    <row r="1371" spans="3:14" x14ac:dyDescent="0.25">
      <c r="C1371" s="305"/>
      <c r="D1371" s="305"/>
      <c r="E1371" s="305"/>
      <c r="F1371" s="305"/>
      <c r="G1371" s="305"/>
      <c r="H1371" s="305"/>
      <c r="I1371" s="305"/>
      <c r="J1371" s="305"/>
      <c r="K1371" s="305"/>
      <c r="L1371" s="305"/>
      <c r="M1371" s="305"/>
      <c r="N1371" s="305"/>
    </row>
    <row r="1372" spans="3:14" x14ac:dyDescent="0.25">
      <c r="C1372" s="305"/>
      <c r="D1372" s="305"/>
      <c r="E1372" s="305"/>
      <c r="F1372" s="305"/>
      <c r="G1372" s="305"/>
      <c r="H1372" s="305"/>
      <c r="I1372" s="305"/>
      <c r="J1372" s="305"/>
      <c r="K1372" s="305"/>
      <c r="L1372" s="305"/>
      <c r="M1372" s="305"/>
      <c r="N1372" s="305"/>
    </row>
    <row r="1373" spans="3:14" x14ac:dyDescent="0.25">
      <c r="C1373" s="305"/>
      <c r="D1373" s="305"/>
      <c r="E1373" s="305"/>
      <c r="F1373" s="305"/>
      <c r="G1373" s="305"/>
      <c r="H1373" s="305"/>
      <c r="I1373" s="305"/>
      <c r="J1373" s="305"/>
      <c r="K1373" s="305"/>
      <c r="L1373" s="305"/>
      <c r="M1373" s="305"/>
      <c r="N1373" s="305"/>
    </row>
    <row r="1374" spans="3:14" x14ac:dyDescent="0.25">
      <c r="C1374" s="305"/>
      <c r="D1374" s="305"/>
      <c r="E1374" s="305"/>
      <c r="F1374" s="305"/>
      <c r="G1374" s="305"/>
      <c r="H1374" s="305"/>
      <c r="I1374" s="305"/>
      <c r="J1374" s="305"/>
      <c r="K1374" s="305"/>
      <c r="L1374" s="305"/>
      <c r="M1374" s="305"/>
      <c r="N1374" s="305"/>
    </row>
    <row r="1375" spans="3:14" x14ac:dyDescent="0.25">
      <c r="C1375" s="305"/>
      <c r="D1375" s="305"/>
      <c r="E1375" s="305"/>
      <c r="F1375" s="305"/>
      <c r="G1375" s="305"/>
      <c r="H1375" s="305"/>
      <c r="I1375" s="305"/>
      <c r="J1375" s="305"/>
      <c r="K1375" s="305"/>
      <c r="L1375" s="305"/>
      <c r="M1375" s="305"/>
      <c r="N1375" s="305"/>
    </row>
    <row r="1376" spans="3:14" x14ac:dyDescent="0.25">
      <c r="C1376" s="305"/>
      <c r="D1376" s="305"/>
      <c r="E1376" s="305"/>
      <c r="F1376" s="305"/>
      <c r="G1376" s="305"/>
      <c r="H1376" s="305"/>
      <c r="I1376" s="305"/>
      <c r="J1376" s="305"/>
      <c r="K1376" s="305"/>
      <c r="L1376" s="305"/>
      <c r="M1376" s="305"/>
      <c r="N1376" s="305"/>
    </row>
    <row r="1377" spans="3:14" x14ac:dyDescent="0.25">
      <c r="C1377" s="305"/>
      <c r="D1377" s="305"/>
      <c r="E1377" s="305"/>
      <c r="F1377" s="305"/>
      <c r="G1377" s="305"/>
      <c r="H1377" s="305"/>
      <c r="I1377" s="305"/>
      <c r="J1377" s="305"/>
      <c r="K1377" s="305"/>
      <c r="L1377" s="305"/>
      <c r="M1377" s="305"/>
      <c r="N1377" s="305"/>
    </row>
    <row r="1378" spans="3:14" x14ac:dyDescent="0.25">
      <c r="C1378" s="305"/>
      <c r="D1378" s="305"/>
      <c r="E1378" s="305"/>
      <c r="F1378" s="305"/>
      <c r="G1378" s="305"/>
      <c r="H1378" s="305"/>
      <c r="I1378" s="305"/>
      <c r="J1378" s="305"/>
      <c r="K1378" s="305"/>
      <c r="L1378" s="305"/>
      <c r="M1378" s="305"/>
      <c r="N1378" s="305"/>
    </row>
    <row r="1379" spans="3:14" x14ac:dyDescent="0.25">
      <c r="C1379" s="305"/>
      <c r="D1379" s="305"/>
      <c r="E1379" s="305"/>
      <c r="F1379" s="305"/>
      <c r="G1379" s="305"/>
      <c r="H1379" s="305"/>
      <c r="I1379" s="305"/>
      <c r="J1379" s="305"/>
      <c r="K1379" s="305"/>
      <c r="L1379" s="305"/>
      <c r="M1379" s="305"/>
      <c r="N1379" s="305"/>
    </row>
    <row r="1380" spans="3:14" x14ac:dyDescent="0.25">
      <c r="C1380" s="305"/>
      <c r="D1380" s="305"/>
      <c r="E1380" s="305"/>
      <c r="F1380" s="305"/>
      <c r="G1380" s="305"/>
      <c r="H1380" s="305"/>
      <c r="I1380" s="305"/>
      <c r="J1380" s="305"/>
      <c r="K1380" s="305"/>
      <c r="L1380" s="305"/>
      <c r="M1380" s="305"/>
      <c r="N1380" s="305"/>
    </row>
    <row r="1381" spans="3:14" x14ac:dyDescent="0.25">
      <c r="C1381" s="305"/>
      <c r="D1381" s="305"/>
      <c r="E1381" s="305"/>
      <c r="F1381" s="305"/>
      <c r="G1381" s="305"/>
      <c r="H1381" s="305"/>
      <c r="I1381" s="305"/>
      <c r="J1381" s="305"/>
      <c r="K1381" s="305"/>
      <c r="L1381" s="305"/>
      <c r="M1381" s="305"/>
      <c r="N1381" s="305"/>
    </row>
    <row r="1382" spans="3:14" x14ac:dyDescent="0.25">
      <c r="C1382" s="305"/>
      <c r="D1382" s="305"/>
      <c r="E1382" s="305"/>
      <c r="F1382" s="305"/>
      <c r="G1382" s="305"/>
      <c r="H1382" s="305"/>
      <c r="I1382" s="305"/>
      <c r="J1382" s="305"/>
      <c r="K1382" s="305"/>
      <c r="L1382" s="305"/>
      <c r="M1382" s="305"/>
      <c r="N1382" s="305"/>
    </row>
    <row r="1383" spans="3:14" x14ac:dyDescent="0.25">
      <c r="C1383" s="305"/>
      <c r="D1383" s="305"/>
      <c r="E1383" s="305"/>
      <c r="F1383" s="305"/>
      <c r="G1383" s="305"/>
      <c r="H1383" s="305"/>
      <c r="I1383" s="305"/>
      <c r="J1383" s="305"/>
      <c r="K1383" s="305"/>
      <c r="L1383" s="305"/>
      <c r="M1383" s="305"/>
      <c r="N1383" s="305"/>
    </row>
    <row r="1384" spans="3:14" x14ac:dyDescent="0.25">
      <c r="C1384" s="305"/>
      <c r="D1384" s="305"/>
      <c r="E1384" s="305"/>
      <c r="F1384" s="305"/>
      <c r="G1384" s="305"/>
      <c r="H1384" s="305"/>
      <c r="I1384" s="305"/>
      <c r="J1384" s="305"/>
      <c r="K1384" s="305"/>
      <c r="L1384" s="305"/>
      <c r="M1384" s="305"/>
      <c r="N1384" s="305"/>
    </row>
    <row r="1385" spans="3:14" x14ac:dyDescent="0.25">
      <c r="C1385" s="305"/>
      <c r="D1385" s="305"/>
      <c r="E1385" s="305"/>
      <c r="F1385" s="305"/>
      <c r="G1385" s="305"/>
      <c r="H1385" s="305"/>
      <c r="I1385" s="305"/>
      <c r="J1385" s="305"/>
      <c r="K1385" s="305"/>
      <c r="L1385" s="305"/>
      <c r="M1385" s="305"/>
      <c r="N1385" s="305"/>
    </row>
    <row r="1386" spans="3:14" x14ac:dyDescent="0.25">
      <c r="C1386" s="305"/>
      <c r="D1386" s="305"/>
      <c r="E1386" s="305"/>
      <c r="F1386" s="305"/>
      <c r="G1386" s="305"/>
      <c r="H1386" s="305"/>
      <c r="I1386" s="305"/>
      <c r="J1386" s="305"/>
      <c r="K1386" s="305"/>
      <c r="L1386" s="305"/>
      <c r="M1386" s="305"/>
      <c r="N1386" s="305"/>
    </row>
    <row r="1387" spans="3:14" x14ac:dyDescent="0.25">
      <c r="C1387" s="305"/>
      <c r="D1387" s="305"/>
      <c r="E1387" s="305"/>
      <c r="F1387" s="305"/>
      <c r="G1387" s="305"/>
      <c r="H1387" s="305"/>
      <c r="I1387" s="305"/>
      <c r="J1387" s="305"/>
      <c r="K1387" s="305"/>
      <c r="L1387" s="305"/>
      <c r="M1387" s="305"/>
      <c r="N1387" s="305"/>
    </row>
    <row r="1388" spans="3:14" x14ac:dyDescent="0.25">
      <c r="C1388" s="305"/>
      <c r="D1388" s="305"/>
      <c r="E1388" s="305"/>
      <c r="F1388" s="305"/>
      <c r="G1388" s="305"/>
      <c r="H1388" s="305"/>
      <c r="I1388" s="305"/>
      <c r="J1388" s="305"/>
      <c r="K1388" s="305"/>
      <c r="L1388" s="305"/>
      <c r="M1388" s="305"/>
      <c r="N1388" s="305"/>
    </row>
    <row r="1389" spans="3:14" x14ac:dyDescent="0.25">
      <c r="C1389" s="305"/>
      <c r="D1389" s="305"/>
      <c r="E1389" s="305"/>
      <c r="F1389" s="305"/>
      <c r="G1389" s="305"/>
      <c r="H1389" s="305"/>
      <c r="I1389" s="305"/>
      <c r="J1389" s="305"/>
      <c r="K1389" s="305"/>
      <c r="L1389" s="305"/>
      <c r="M1389" s="305"/>
      <c r="N1389" s="305"/>
    </row>
    <row r="1390" spans="3:14" x14ac:dyDescent="0.25">
      <c r="C1390" s="305"/>
      <c r="D1390" s="305"/>
      <c r="E1390" s="305"/>
      <c r="F1390" s="305"/>
      <c r="G1390" s="305"/>
      <c r="H1390" s="305"/>
      <c r="I1390" s="305"/>
      <c r="J1390" s="305"/>
      <c r="K1390" s="305"/>
      <c r="L1390" s="305"/>
      <c r="M1390" s="305"/>
      <c r="N1390" s="305"/>
    </row>
    <row r="1391" spans="3:14" x14ac:dyDescent="0.25">
      <c r="C1391" s="305"/>
      <c r="D1391" s="305"/>
      <c r="E1391" s="305"/>
      <c r="F1391" s="305"/>
      <c r="G1391" s="305"/>
      <c r="H1391" s="305"/>
      <c r="I1391" s="305"/>
      <c r="J1391" s="305"/>
      <c r="K1391" s="305"/>
      <c r="L1391" s="305"/>
      <c r="M1391" s="305"/>
      <c r="N1391" s="305"/>
    </row>
    <row r="1392" spans="3:14" x14ac:dyDescent="0.25">
      <c r="C1392" s="305"/>
      <c r="D1392" s="305"/>
      <c r="E1392" s="305"/>
      <c r="F1392" s="305"/>
      <c r="G1392" s="305"/>
      <c r="H1392" s="305"/>
      <c r="I1392" s="305"/>
      <c r="J1392" s="305"/>
      <c r="K1392" s="305"/>
      <c r="L1392" s="305"/>
      <c r="M1392" s="305"/>
      <c r="N1392" s="305"/>
    </row>
    <row r="1393" spans="3:14" x14ac:dyDescent="0.25">
      <c r="C1393" s="305"/>
      <c r="D1393" s="305"/>
      <c r="E1393" s="305"/>
      <c r="F1393" s="305"/>
      <c r="G1393" s="305"/>
      <c r="H1393" s="305"/>
      <c r="I1393" s="305"/>
      <c r="J1393" s="305"/>
      <c r="K1393" s="305"/>
      <c r="L1393" s="305"/>
      <c r="M1393" s="305"/>
      <c r="N1393" s="305"/>
    </row>
    <row r="1394" spans="3:14" x14ac:dyDescent="0.25">
      <c r="C1394" s="305"/>
      <c r="D1394" s="305"/>
      <c r="E1394" s="305"/>
      <c r="F1394" s="305"/>
      <c r="G1394" s="305"/>
      <c r="H1394" s="305"/>
      <c r="I1394" s="305"/>
      <c r="J1394" s="305"/>
      <c r="K1394" s="305"/>
      <c r="L1394" s="305"/>
      <c r="M1394" s="305"/>
      <c r="N1394" s="305"/>
    </row>
    <row r="1395" spans="3:14" x14ac:dyDescent="0.25">
      <c r="C1395" s="305"/>
      <c r="D1395" s="305"/>
      <c r="E1395" s="305"/>
      <c r="F1395" s="305"/>
      <c r="G1395" s="305"/>
      <c r="H1395" s="305"/>
      <c r="I1395" s="305"/>
      <c r="J1395" s="305"/>
      <c r="K1395" s="305"/>
      <c r="L1395" s="305"/>
      <c r="M1395" s="305"/>
      <c r="N1395" s="305"/>
    </row>
    <row r="1396" spans="3:14" x14ac:dyDescent="0.25">
      <c r="C1396" s="305"/>
      <c r="D1396" s="305"/>
      <c r="E1396" s="305"/>
      <c r="F1396" s="305"/>
      <c r="G1396" s="305"/>
      <c r="H1396" s="305"/>
      <c r="I1396" s="305"/>
      <c r="J1396" s="305"/>
      <c r="K1396" s="305"/>
      <c r="L1396" s="305"/>
      <c r="M1396" s="305"/>
      <c r="N1396" s="305"/>
    </row>
    <row r="1397" spans="3:14" x14ac:dyDescent="0.25">
      <c r="C1397" s="305"/>
      <c r="D1397" s="305"/>
      <c r="E1397" s="305"/>
      <c r="F1397" s="305"/>
      <c r="G1397" s="305"/>
      <c r="H1397" s="305"/>
      <c r="I1397" s="305"/>
      <c r="J1397" s="305"/>
      <c r="K1397" s="305"/>
      <c r="L1397" s="305"/>
      <c r="M1397" s="305"/>
      <c r="N1397" s="305"/>
    </row>
    <row r="1398" spans="3:14" x14ac:dyDescent="0.25">
      <c r="C1398" s="305"/>
      <c r="D1398" s="305"/>
      <c r="E1398" s="305"/>
      <c r="F1398" s="305"/>
      <c r="G1398" s="305"/>
      <c r="H1398" s="305"/>
      <c r="I1398" s="305"/>
      <c r="J1398" s="305"/>
      <c r="K1398" s="305"/>
      <c r="L1398" s="305"/>
      <c r="M1398" s="305"/>
      <c r="N1398" s="305"/>
    </row>
    <row r="1399" spans="3:14" x14ac:dyDescent="0.25">
      <c r="C1399" s="305"/>
      <c r="D1399" s="305"/>
      <c r="E1399" s="305"/>
      <c r="F1399" s="305"/>
      <c r="G1399" s="305"/>
      <c r="H1399" s="305"/>
      <c r="I1399" s="305"/>
      <c r="J1399" s="305"/>
      <c r="K1399" s="305"/>
      <c r="L1399" s="305"/>
      <c r="M1399" s="305"/>
      <c r="N1399" s="305"/>
    </row>
    <row r="1400" spans="3:14" x14ac:dyDescent="0.25">
      <c r="C1400" s="305"/>
      <c r="D1400" s="305"/>
      <c r="E1400" s="305"/>
      <c r="F1400" s="305"/>
      <c r="G1400" s="305"/>
      <c r="H1400" s="305"/>
      <c r="I1400" s="305"/>
      <c r="J1400" s="305"/>
      <c r="K1400" s="305"/>
      <c r="L1400" s="305"/>
      <c r="M1400" s="305"/>
      <c r="N1400" s="305"/>
    </row>
    <row r="1401" spans="3:14" x14ac:dyDescent="0.25">
      <c r="C1401" s="305"/>
      <c r="D1401" s="305"/>
      <c r="E1401" s="305"/>
      <c r="F1401" s="305"/>
      <c r="G1401" s="305"/>
      <c r="H1401" s="305"/>
      <c r="I1401" s="305"/>
      <c r="J1401" s="305"/>
      <c r="K1401" s="305"/>
      <c r="L1401" s="305"/>
      <c r="M1401" s="305"/>
      <c r="N1401" s="305"/>
    </row>
    <row r="1402" spans="3:14" x14ac:dyDescent="0.25">
      <c r="C1402" s="305"/>
      <c r="D1402" s="305"/>
      <c r="E1402" s="305"/>
      <c r="F1402" s="305"/>
      <c r="G1402" s="305"/>
      <c r="H1402" s="305"/>
      <c r="I1402" s="305"/>
      <c r="J1402" s="305"/>
      <c r="K1402" s="305"/>
      <c r="L1402" s="305"/>
      <c r="M1402" s="305"/>
      <c r="N1402" s="305"/>
    </row>
    <row r="1403" spans="3:14" x14ac:dyDescent="0.25">
      <c r="C1403" s="305"/>
      <c r="D1403" s="305"/>
      <c r="E1403" s="305"/>
      <c r="F1403" s="305"/>
      <c r="G1403" s="305"/>
      <c r="H1403" s="305"/>
      <c r="I1403" s="305"/>
      <c r="J1403" s="305"/>
      <c r="K1403" s="305"/>
      <c r="L1403" s="305"/>
      <c r="M1403" s="305"/>
      <c r="N1403" s="305"/>
    </row>
    <row r="1404" spans="3:14" x14ac:dyDescent="0.25">
      <c r="C1404" s="305"/>
      <c r="D1404" s="305"/>
      <c r="E1404" s="305"/>
      <c r="F1404" s="305"/>
      <c r="G1404" s="305"/>
      <c r="H1404" s="305"/>
      <c r="I1404" s="305"/>
      <c r="J1404" s="305"/>
      <c r="K1404" s="305"/>
      <c r="L1404" s="305"/>
      <c r="M1404" s="305"/>
      <c r="N1404" s="305"/>
    </row>
    <row r="1405" spans="3:14" x14ac:dyDescent="0.25">
      <c r="C1405" s="305"/>
      <c r="D1405" s="305"/>
      <c r="E1405" s="305"/>
      <c r="F1405" s="305"/>
      <c r="G1405" s="305"/>
      <c r="H1405" s="305"/>
      <c r="I1405" s="305"/>
      <c r="J1405" s="305"/>
      <c r="K1405" s="305"/>
      <c r="L1405" s="305"/>
      <c r="M1405" s="305"/>
      <c r="N1405" s="305"/>
    </row>
    <row r="1406" spans="3:14" x14ac:dyDescent="0.25">
      <c r="C1406" s="305"/>
      <c r="D1406" s="305"/>
      <c r="E1406" s="305"/>
      <c r="F1406" s="305"/>
      <c r="G1406" s="305"/>
      <c r="H1406" s="305"/>
      <c r="I1406" s="305"/>
      <c r="J1406" s="305"/>
      <c r="K1406" s="305"/>
      <c r="L1406" s="305"/>
      <c r="M1406" s="305"/>
      <c r="N1406" s="305"/>
    </row>
    <row r="1407" spans="3:14" x14ac:dyDescent="0.25">
      <c r="C1407" s="305"/>
      <c r="D1407" s="305"/>
      <c r="E1407" s="305"/>
      <c r="F1407" s="305"/>
      <c r="G1407" s="305"/>
      <c r="H1407" s="305"/>
      <c r="I1407" s="305"/>
      <c r="J1407" s="305"/>
      <c r="K1407" s="305"/>
      <c r="L1407" s="305"/>
      <c r="M1407" s="305"/>
      <c r="N1407" s="305"/>
    </row>
    <row r="1408" spans="3:14" x14ac:dyDescent="0.25">
      <c r="C1408" s="305"/>
      <c r="D1408" s="305"/>
      <c r="E1408" s="305"/>
      <c r="F1408" s="305"/>
      <c r="G1408" s="305"/>
      <c r="H1408" s="305"/>
      <c r="I1408" s="305"/>
      <c r="J1408" s="305"/>
      <c r="K1408" s="305"/>
      <c r="L1408" s="305"/>
      <c r="M1408" s="305"/>
      <c r="N1408" s="305"/>
    </row>
    <row r="1409" spans="3:14" x14ac:dyDescent="0.25">
      <c r="C1409" s="305"/>
      <c r="D1409" s="305"/>
      <c r="E1409" s="305"/>
      <c r="F1409" s="305"/>
      <c r="G1409" s="305"/>
      <c r="H1409" s="305"/>
      <c r="I1409" s="305"/>
      <c r="J1409" s="305"/>
      <c r="K1409" s="305"/>
      <c r="L1409" s="305"/>
      <c r="M1409" s="305"/>
      <c r="N1409" s="305"/>
    </row>
    <row r="1410" spans="3:14" x14ac:dyDescent="0.25">
      <c r="C1410" s="305"/>
      <c r="D1410" s="305"/>
      <c r="E1410" s="305"/>
      <c r="F1410" s="305"/>
      <c r="G1410" s="305"/>
      <c r="H1410" s="305"/>
      <c r="I1410" s="305"/>
      <c r="J1410" s="305"/>
      <c r="K1410" s="305"/>
      <c r="L1410" s="305"/>
      <c r="M1410" s="305"/>
      <c r="N1410" s="305"/>
    </row>
    <row r="1411" spans="3:14" x14ac:dyDescent="0.25">
      <c r="C1411" s="305"/>
      <c r="D1411" s="305"/>
      <c r="E1411" s="305"/>
      <c r="F1411" s="305"/>
      <c r="G1411" s="305"/>
      <c r="H1411" s="305"/>
      <c r="I1411" s="305"/>
      <c r="J1411" s="305"/>
      <c r="K1411" s="305"/>
      <c r="L1411" s="305"/>
      <c r="M1411" s="305"/>
      <c r="N1411" s="305"/>
    </row>
    <row r="1412" spans="3:14" x14ac:dyDescent="0.25">
      <c r="C1412" s="305"/>
      <c r="D1412" s="305"/>
      <c r="E1412" s="305"/>
      <c r="F1412" s="305"/>
      <c r="G1412" s="305"/>
      <c r="H1412" s="305"/>
      <c r="I1412" s="305"/>
      <c r="J1412" s="305"/>
      <c r="K1412" s="305"/>
      <c r="L1412" s="305"/>
      <c r="M1412" s="305"/>
      <c r="N1412" s="305"/>
    </row>
    <row r="1413" spans="3:14" x14ac:dyDescent="0.25">
      <c r="C1413" s="305"/>
      <c r="D1413" s="305"/>
      <c r="E1413" s="305"/>
      <c r="F1413" s="305"/>
      <c r="G1413" s="305"/>
      <c r="H1413" s="305"/>
      <c r="I1413" s="305"/>
      <c r="J1413" s="305"/>
      <c r="K1413" s="305"/>
      <c r="L1413" s="305"/>
      <c r="M1413" s="305"/>
      <c r="N1413" s="305"/>
    </row>
    <row r="1414" spans="3:14" x14ac:dyDescent="0.25">
      <c r="C1414" s="305"/>
      <c r="D1414" s="305"/>
      <c r="E1414" s="305"/>
      <c r="F1414" s="305"/>
      <c r="G1414" s="305"/>
      <c r="H1414" s="305"/>
      <c r="I1414" s="305"/>
      <c r="J1414" s="305"/>
      <c r="K1414" s="305"/>
      <c r="L1414" s="305"/>
      <c r="M1414" s="305"/>
      <c r="N1414" s="305"/>
    </row>
    <row r="1415" spans="3:14" x14ac:dyDescent="0.25">
      <c r="C1415" s="305"/>
      <c r="D1415" s="305"/>
      <c r="E1415" s="305"/>
      <c r="F1415" s="305"/>
      <c r="G1415" s="305"/>
      <c r="H1415" s="305"/>
      <c r="I1415" s="305"/>
      <c r="J1415" s="305"/>
      <c r="K1415" s="305"/>
      <c r="L1415" s="305"/>
      <c r="M1415" s="305"/>
      <c r="N1415" s="305"/>
    </row>
    <row r="1416" spans="3:14" x14ac:dyDescent="0.25">
      <c r="C1416" s="305"/>
      <c r="D1416" s="305"/>
      <c r="E1416" s="305"/>
      <c r="F1416" s="305"/>
      <c r="G1416" s="305"/>
      <c r="H1416" s="305"/>
      <c r="I1416" s="305"/>
      <c r="J1416" s="305"/>
      <c r="K1416" s="305"/>
      <c r="L1416" s="305"/>
      <c r="M1416" s="305"/>
      <c r="N1416" s="305"/>
    </row>
    <row r="1417" spans="3:14" x14ac:dyDescent="0.25">
      <c r="C1417" s="305"/>
      <c r="D1417" s="305"/>
      <c r="E1417" s="305"/>
      <c r="F1417" s="305"/>
      <c r="G1417" s="305"/>
      <c r="H1417" s="305"/>
      <c r="I1417" s="305"/>
      <c r="J1417" s="305"/>
      <c r="K1417" s="305"/>
      <c r="L1417" s="305"/>
      <c r="M1417" s="305"/>
      <c r="N1417" s="305"/>
    </row>
    <row r="1418" spans="3:14" x14ac:dyDescent="0.25">
      <c r="C1418" s="305"/>
      <c r="D1418" s="305"/>
      <c r="E1418" s="305"/>
      <c r="F1418" s="305"/>
      <c r="G1418" s="305"/>
      <c r="H1418" s="305"/>
      <c r="I1418" s="305"/>
      <c r="J1418" s="305"/>
      <c r="K1418" s="305"/>
      <c r="L1418" s="305"/>
      <c r="M1418" s="305"/>
      <c r="N1418" s="305"/>
    </row>
    <row r="1419" spans="3:14" x14ac:dyDescent="0.25">
      <c r="C1419" s="305"/>
      <c r="D1419" s="305"/>
      <c r="E1419" s="305"/>
      <c r="F1419" s="305"/>
      <c r="G1419" s="305"/>
      <c r="H1419" s="305"/>
      <c r="I1419" s="305"/>
      <c r="J1419" s="305"/>
      <c r="K1419" s="305"/>
      <c r="L1419" s="305"/>
      <c r="M1419" s="305"/>
      <c r="N1419" s="305"/>
    </row>
    <row r="1420" spans="3:14" x14ac:dyDescent="0.25">
      <c r="C1420" s="305"/>
      <c r="D1420" s="305"/>
      <c r="E1420" s="305"/>
      <c r="F1420" s="305"/>
      <c r="G1420" s="305"/>
      <c r="H1420" s="305"/>
      <c r="I1420" s="305"/>
      <c r="J1420" s="305"/>
      <c r="K1420" s="305"/>
      <c r="L1420" s="305"/>
      <c r="M1420" s="305"/>
      <c r="N1420" s="305"/>
    </row>
    <row r="1421" spans="3:14" x14ac:dyDescent="0.25">
      <c r="C1421" s="305"/>
      <c r="D1421" s="305"/>
      <c r="E1421" s="305"/>
      <c r="F1421" s="305"/>
      <c r="G1421" s="305"/>
      <c r="H1421" s="305"/>
      <c r="I1421" s="305"/>
      <c r="J1421" s="305"/>
      <c r="K1421" s="305"/>
      <c r="L1421" s="305"/>
      <c r="M1421" s="305"/>
      <c r="N1421" s="305"/>
    </row>
    <row r="1422" spans="3:14" x14ac:dyDescent="0.25">
      <c r="C1422" s="305"/>
      <c r="D1422" s="305"/>
      <c r="E1422" s="305"/>
      <c r="F1422" s="305"/>
      <c r="G1422" s="305"/>
      <c r="H1422" s="305"/>
      <c r="I1422" s="305"/>
      <c r="J1422" s="305"/>
      <c r="K1422" s="305"/>
      <c r="L1422" s="305"/>
      <c r="M1422" s="305"/>
      <c r="N1422" s="305"/>
    </row>
    <row r="1423" spans="3:14" x14ac:dyDescent="0.25">
      <c r="C1423" s="305"/>
      <c r="D1423" s="305"/>
      <c r="E1423" s="305"/>
      <c r="F1423" s="305"/>
      <c r="G1423" s="305"/>
      <c r="H1423" s="305"/>
      <c r="I1423" s="305"/>
      <c r="J1423" s="305"/>
      <c r="K1423" s="305"/>
      <c r="L1423" s="305"/>
      <c r="M1423" s="305"/>
      <c r="N1423" s="305"/>
    </row>
    <row r="1424" spans="3:14" x14ac:dyDescent="0.25">
      <c r="C1424" s="305"/>
      <c r="D1424" s="305"/>
      <c r="E1424" s="305"/>
      <c r="F1424" s="305"/>
      <c r="G1424" s="305"/>
      <c r="H1424" s="305"/>
      <c r="I1424" s="305"/>
      <c r="J1424" s="305"/>
      <c r="K1424" s="305"/>
      <c r="L1424" s="305"/>
      <c r="M1424" s="305"/>
      <c r="N1424" s="305"/>
    </row>
    <row r="1425" spans="3:14" x14ac:dyDescent="0.25">
      <c r="C1425" s="305"/>
      <c r="D1425" s="305"/>
      <c r="E1425" s="305"/>
      <c r="F1425" s="305"/>
      <c r="G1425" s="305"/>
      <c r="H1425" s="305"/>
      <c r="I1425" s="305"/>
      <c r="J1425" s="305"/>
      <c r="K1425" s="305"/>
      <c r="L1425" s="305"/>
      <c r="M1425" s="305"/>
      <c r="N1425" s="305"/>
    </row>
    <row r="1426" spans="3:14" x14ac:dyDescent="0.25">
      <c r="C1426" s="305"/>
      <c r="D1426" s="305"/>
      <c r="E1426" s="305"/>
      <c r="F1426" s="305"/>
      <c r="G1426" s="305"/>
      <c r="H1426" s="305"/>
      <c r="I1426" s="305"/>
      <c r="J1426" s="305"/>
      <c r="K1426" s="305"/>
      <c r="L1426" s="305"/>
      <c r="M1426" s="305"/>
      <c r="N1426" s="305"/>
    </row>
    <row r="1427" spans="3:14" x14ac:dyDescent="0.25">
      <c r="C1427" s="305"/>
      <c r="D1427" s="305"/>
      <c r="E1427" s="305"/>
      <c r="F1427" s="305"/>
      <c r="G1427" s="305"/>
      <c r="H1427" s="305"/>
      <c r="I1427" s="305"/>
      <c r="J1427" s="305"/>
      <c r="K1427" s="305"/>
      <c r="L1427" s="305"/>
      <c r="M1427" s="305"/>
      <c r="N1427" s="305"/>
    </row>
    <row r="1428" spans="3:14" x14ac:dyDescent="0.25">
      <c r="C1428" s="305"/>
      <c r="D1428" s="305"/>
      <c r="E1428" s="305"/>
      <c r="F1428" s="305"/>
      <c r="G1428" s="305"/>
      <c r="H1428" s="305"/>
      <c r="I1428" s="305"/>
      <c r="J1428" s="305"/>
      <c r="K1428" s="305"/>
      <c r="L1428" s="305"/>
      <c r="M1428" s="305"/>
      <c r="N1428" s="305"/>
    </row>
    <row r="1429" spans="3:14" x14ac:dyDescent="0.25">
      <c r="C1429" s="305"/>
      <c r="D1429" s="305"/>
      <c r="E1429" s="305"/>
      <c r="F1429" s="305"/>
      <c r="G1429" s="305"/>
      <c r="H1429" s="305"/>
      <c r="I1429" s="305"/>
      <c r="J1429" s="305"/>
      <c r="K1429" s="305"/>
      <c r="L1429" s="305"/>
      <c r="M1429" s="305"/>
      <c r="N1429" s="305"/>
    </row>
    <row r="1430" spans="3:14" x14ac:dyDescent="0.25">
      <c r="C1430" s="305"/>
      <c r="D1430" s="305"/>
      <c r="E1430" s="305"/>
      <c r="F1430" s="305"/>
      <c r="G1430" s="305"/>
      <c r="H1430" s="305"/>
      <c r="I1430" s="305"/>
      <c r="J1430" s="305"/>
      <c r="K1430" s="305"/>
      <c r="L1430" s="305"/>
      <c r="M1430" s="305"/>
      <c r="N1430" s="305"/>
    </row>
    <row r="1431" spans="3:14" x14ac:dyDescent="0.25">
      <c r="C1431" s="305"/>
      <c r="D1431" s="305"/>
      <c r="E1431" s="305"/>
      <c r="F1431" s="305"/>
      <c r="G1431" s="305"/>
      <c r="H1431" s="305"/>
      <c r="I1431" s="305"/>
      <c r="J1431" s="305"/>
      <c r="K1431" s="305"/>
      <c r="L1431" s="305"/>
      <c r="M1431" s="305"/>
      <c r="N1431" s="305"/>
    </row>
    <row r="1432" spans="3:14" x14ac:dyDescent="0.25">
      <c r="C1432" s="305"/>
      <c r="D1432" s="305"/>
      <c r="E1432" s="305"/>
      <c r="F1432" s="305"/>
      <c r="G1432" s="305"/>
      <c r="H1432" s="305"/>
      <c r="I1432" s="305"/>
      <c r="J1432" s="305"/>
      <c r="K1432" s="305"/>
      <c r="L1432" s="305"/>
      <c r="M1432" s="305"/>
      <c r="N1432" s="305"/>
    </row>
    <row r="1433" spans="3:14" x14ac:dyDescent="0.25">
      <c r="C1433" s="305"/>
      <c r="D1433" s="305"/>
      <c r="E1433" s="305"/>
      <c r="F1433" s="305"/>
      <c r="G1433" s="305"/>
      <c r="H1433" s="305"/>
      <c r="I1433" s="305"/>
      <c r="J1433" s="305"/>
      <c r="K1433" s="305"/>
      <c r="L1433" s="305"/>
      <c r="M1433" s="305"/>
      <c r="N1433" s="305"/>
    </row>
    <row r="1434" spans="3:14" x14ac:dyDescent="0.25">
      <c r="C1434" s="305"/>
      <c r="D1434" s="305"/>
      <c r="E1434" s="305"/>
      <c r="F1434" s="305"/>
      <c r="G1434" s="305"/>
      <c r="H1434" s="305"/>
      <c r="I1434" s="305"/>
      <c r="J1434" s="305"/>
      <c r="K1434" s="305"/>
      <c r="L1434" s="305"/>
      <c r="M1434" s="305"/>
      <c r="N1434" s="305"/>
    </row>
    <row r="1435" spans="3:14" x14ac:dyDescent="0.25">
      <c r="C1435" s="305"/>
      <c r="D1435" s="305"/>
      <c r="E1435" s="305"/>
      <c r="F1435" s="305"/>
      <c r="G1435" s="305"/>
      <c r="H1435" s="305"/>
      <c r="I1435" s="305"/>
      <c r="J1435" s="305"/>
      <c r="K1435" s="305"/>
      <c r="L1435" s="305"/>
      <c r="M1435" s="305"/>
      <c r="N1435" s="305"/>
    </row>
    <row r="1436" spans="3:14" x14ac:dyDescent="0.25">
      <c r="C1436" s="305"/>
      <c r="D1436" s="305"/>
      <c r="E1436" s="305"/>
      <c r="F1436" s="305"/>
      <c r="G1436" s="305"/>
      <c r="H1436" s="305"/>
      <c r="I1436" s="305"/>
      <c r="J1436" s="305"/>
      <c r="K1436" s="305"/>
      <c r="L1436" s="305"/>
      <c r="M1436" s="305"/>
      <c r="N1436" s="305"/>
    </row>
    <row r="1437" spans="3:14" x14ac:dyDescent="0.25">
      <c r="C1437" s="305"/>
      <c r="D1437" s="305"/>
      <c r="E1437" s="305"/>
      <c r="F1437" s="305"/>
      <c r="G1437" s="305"/>
      <c r="H1437" s="305"/>
      <c r="I1437" s="305"/>
      <c r="J1437" s="305"/>
      <c r="K1437" s="305"/>
      <c r="L1437" s="305"/>
      <c r="M1437" s="305"/>
      <c r="N1437" s="305"/>
    </row>
    <row r="1438" spans="3:14" x14ac:dyDescent="0.25">
      <c r="C1438" s="305"/>
      <c r="D1438" s="305"/>
      <c r="E1438" s="305"/>
      <c r="F1438" s="305"/>
      <c r="G1438" s="305"/>
      <c r="H1438" s="305"/>
      <c r="I1438" s="305"/>
      <c r="J1438" s="305"/>
      <c r="K1438" s="305"/>
      <c r="L1438" s="305"/>
      <c r="M1438" s="305"/>
      <c r="N1438" s="305"/>
    </row>
    <row r="1439" spans="3:14" x14ac:dyDescent="0.25">
      <c r="C1439" s="305"/>
      <c r="D1439" s="305"/>
      <c r="E1439" s="305"/>
      <c r="F1439" s="305"/>
      <c r="G1439" s="305"/>
      <c r="H1439" s="305"/>
      <c r="I1439" s="305"/>
      <c r="J1439" s="305"/>
      <c r="K1439" s="305"/>
      <c r="L1439" s="305"/>
      <c r="M1439" s="305"/>
      <c r="N1439" s="305"/>
    </row>
    <row r="1440" spans="3:14" x14ac:dyDescent="0.25">
      <c r="C1440" s="305"/>
      <c r="D1440" s="305"/>
      <c r="E1440" s="305"/>
      <c r="F1440" s="305"/>
      <c r="G1440" s="305"/>
      <c r="H1440" s="305"/>
      <c r="I1440" s="305"/>
      <c r="J1440" s="305"/>
      <c r="K1440" s="305"/>
      <c r="L1440" s="305"/>
      <c r="M1440" s="305"/>
      <c r="N1440" s="305"/>
    </row>
    <row r="1441" spans="3:14" x14ac:dyDescent="0.25">
      <c r="C1441" s="305"/>
      <c r="D1441" s="305"/>
      <c r="E1441" s="305"/>
      <c r="F1441" s="305"/>
      <c r="G1441" s="305"/>
      <c r="H1441" s="305"/>
      <c r="I1441" s="305"/>
      <c r="J1441" s="305"/>
      <c r="K1441" s="305"/>
      <c r="L1441" s="305"/>
      <c r="M1441" s="305"/>
      <c r="N1441" s="305"/>
    </row>
    <row r="1442" spans="3:14" x14ac:dyDescent="0.25">
      <c r="C1442" s="305"/>
      <c r="D1442" s="305"/>
      <c r="E1442" s="305"/>
      <c r="F1442" s="305"/>
      <c r="G1442" s="305"/>
      <c r="H1442" s="305"/>
      <c r="I1442" s="305"/>
      <c r="J1442" s="305"/>
      <c r="K1442" s="305"/>
      <c r="L1442" s="305"/>
      <c r="M1442" s="305"/>
      <c r="N1442" s="305"/>
    </row>
    <row r="1443" spans="3:14" x14ac:dyDescent="0.25">
      <c r="C1443" s="305"/>
      <c r="D1443" s="305"/>
      <c r="E1443" s="305"/>
      <c r="F1443" s="305"/>
      <c r="G1443" s="305"/>
      <c r="H1443" s="305"/>
      <c r="I1443" s="305"/>
      <c r="J1443" s="305"/>
      <c r="K1443" s="305"/>
      <c r="L1443" s="305"/>
      <c r="M1443" s="305"/>
      <c r="N1443" s="305"/>
    </row>
    <row r="1444" spans="3:14" x14ac:dyDescent="0.25">
      <c r="C1444" s="305"/>
      <c r="D1444" s="305"/>
      <c r="E1444" s="305"/>
      <c r="F1444" s="305"/>
      <c r="G1444" s="305"/>
      <c r="H1444" s="305"/>
      <c r="I1444" s="305"/>
      <c r="J1444" s="305"/>
      <c r="K1444" s="305"/>
      <c r="L1444" s="305"/>
      <c r="M1444" s="305"/>
      <c r="N1444" s="305"/>
    </row>
    <row r="1445" spans="3:14" x14ac:dyDescent="0.25">
      <c r="C1445" s="305"/>
      <c r="D1445" s="305"/>
      <c r="E1445" s="305"/>
      <c r="F1445" s="305"/>
      <c r="G1445" s="305"/>
      <c r="H1445" s="305"/>
      <c r="I1445" s="305"/>
      <c r="J1445" s="305"/>
      <c r="K1445" s="305"/>
      <c r="L1445" s="305"/>
      <c r="M1445" s="305"/>
      <c r="N1445" s="305"/>
    </row>
    <row r="1446" spans="3:14" x14ac:dyDescent="0.25">
      <c r="C1446" s="305"/>
      <c r="D1446" s="305"/>
      <c r="E1446" s="305"/>
      <c r="F1446" s="305"/>
      <c r="G1446" s="305"/>
      <c r="H1446" s="305"/>
      <c r="I1446" s="305"/>
      <c r="J1446" s="305"/>
      <c r="K1446" s="305"/>
      <c r="L1446" s="305"/>
      <c r="M1446" s="305"/>
      <c r="N1446" s="305"/>
    </row>
    <row r="1447" spans="3:14" x14ac:dyDescent="0.25">
      <c r="C1447" s="305"/>
      <c r="D1447" s="305"/>
      <c r="E1447" s="305"/>
      <c r="F1447" s="305"/>
      <c r="G1447" s="305"/>
      <c r="H1447" s="305"/>
      <c r="I1447" s="305"/>
      <c r="J1447" s="305"/>
      <c r="K1447" s="305"/>
      <c r="L1447" s="305"/>
      <c r="M1447" s="305"/>
      <c r="N1447" s="305"/>
    </row>
    <row r="1448" spans="3:14" x14ac:dyDescent="0.25">
      <c r="C1448" s="305"/>
      <c r="D1448" s="305"/>
      <c r="E1448" s="305"/>
      <c r="F1448" s="305"/>
      <c r="G1448" s="305"/>
      <c r="H1448" s="305"/>
      <c r="I1448" s="305"/>
      <c r="J1448" s="305"/>
      <c r="K1448" s="305"/>
      <c r="L1448" s="305"/>
      <c r="M1448" s="305"/>
      <c r="N1448" s="305"/>
    </row>
    <row r="1449" spans="3:14" x14ac:dyDescent="0.25">
      <c r="C1449" s="305"/>
      <c r="D1449" s="305"/>
      <c r="E1449" s="305"/>
      <c r="F1449" s="305"/>
      <c r="G1449" s="305"/>
      <c r="H1449" s="305"/>
      <c r="I1449" s="305"/>
      <c r="J1449" s="305"/>
      <c r="K1449" s="305"/>
      <c r="L1449" s="305"/>
      <c r="M1449" s="305"/>
      <c r="N1449" s="305"/>
    </row>
    <row r="1450" spans="3:14" x14ac:dyDescent="0.25">
      <c r="C1450" s="305"/>
      <c r="D1450" s="305"/>
      <c r="E1450" s="305"/>
      <c r="F1450" s="305"/>
      <c r="G1450" s="305"/>
      <c r="H1450" s="305"/>
      <c r="I1450" s="305"/>
      <c r="J1450" s="305"/>
      <c r="K1450" s="305"/>
      <c r="L1450" s="305"/>
      <c r="M1450" s="305"/>
      <c r="N1450" s="305"/>
    </row>
    <row r="1451" spans="3:14" x14ac:dyDescent="0.25">
      <c r="C1451" s="305"/>
      <c r="D1451" s="305"/>
      <c r="E1451" s="305"/>
      <c r="F1451" s="305"/>
      <c r="G1451" s="305"/>
      <c r="H1451" s="305"/>
      <c r="I1451" s="305"/>
      <c r="J1451" s="305"/>
      <c r="K1451" s="305"/>
      <c r="L1451" s="305"/>
      <c r="M1451" s="305"/>
      <c r="N1451" s="305"/>
    </row>
    <row r="1452" spans="3:14" x14ac:dyDescent="0.25">
      <c r="C1452" s="305"/>
      <c r="D1452" s="305"/>
      <c r="E1452" s="305"/>
      <c r="F1452" s="305"/>
      <c r="G1452" s="305"/>
      <c r="H1452" s="305"/>
      <c r="I1452" s="305"/>
      <c r="J1452" s="305"/>
      <c r="K1452" s="305"/>
      <c r="L1452" s="305"/>
      <c r="M1452" s="305"/>
      <c r="N1452" s="305"/>
    </row>
    <row r="1453" spans="3:14" x14ac:dyDescent="0.25">
      <c r="C1453" s="305"/>
      <c r="D1453" s="305"/>
      <c r="E1453" s="305"/>
      <c r="F1453" s="305"/>
      <c r="G1453" s="305"/>
      <c r="H1453" s="305"/>
      <c r="I1453" s="305"/>
      <c r="J1453" s="305"/>
      <c r="K1453" s="305"/>
      <c r="L1453" s="305"/>
      <c r="M1453" s="305"/>
      <c r="N1453" s="305"/>
    </row>
    <row r="1454" spans="3:14" x14ac:dyDescent="0.25">
      <c r="C1454" s="305"/>
      <c r="D1454" s="305"/>
      <c r="E1454" s="305"/>
      <c r="F1454" s="305"/>
      <c r="G1454" s="305"/>
      <c r="H1454" s="305"/>
      <c r="I1454" s="305"/>
      <c r="J1454" s="305"/>
      <c r="K1454" s="305"/>
      <c r="L1454" s="305"/>
      <c r="M1454" s="305"/>
      <c r="N1454" s="305"/>
    </row>
    <row r="1455" spans="3:14" x14ac:dyDescent="0.25">
      <c r="C1455" s="305"/>
      <c r="D1455" s="305"/>
      <c r="E1455" s="305"/>
      <c r="F1455" s="305"/>
      <c r="G1455" s="305"/>
      <c r="H1455" s="305"/>
      <c r="I1455" s="305"/>
      <c r="J1455" s="305"/>
      <c r="K1455" s="305"/>
      <c r="L1455" s="305"/>
      <c r="M1455" s="305"/>
      <c r="N1455" s="305"/>
    </row>
    <row r="1456" spans="3:14" x14ac:dyDescent="0.25">
      <c r="C1456" s="305"/>
      <c r="D1456" s="305"/>
      <c r="E1456" s="305"/>
      <c r="F1456" s="305"/>
      <c r="G1456" s="305"/>
      <c r="H1456" s="305"/>
      <c r="I1456" s="305"/>
      <c r="J1456" s="305"/>
      <c r="K1456" s="305"/>
      <c r="L1456" s="305"/>
      <c r="M1456" s="305"/>
      <c r="N1456" s="305"/>
    </row>
    <row r="1457" spans="3:14" x14ac:dyDescent="0.25">
      <c r="C1457" s="305"/>
      <c r="D1457" s="305"/>
      <c r="E1457" s="305"/>
      <c r="F1457" s="305"/>
      <c r="G1457" s="305"/>
      <c r="H1457" s="305"/>
      <c r="I1457" s="305"/>
      <c r="J1457" s="305"/>
      <c r="K1457" s="305"/>
      <c r="L1457" s="305"/>
      <c r="M1457" s="305"/>
      <c r="N1457" s="305"/>
    </row>
    <row r="1458" spans="3:14" x14ac:dyDescent="0.25">
      <c r="C1458" s="305"/>
      <c r="D1458" s="305"/>
      <c r="E1458" s="305"/>
      <c r="F1458" s="305"/>
      <c r="G1458" s="305"/>
      <c r="H1458" s="305"/>
      <c r="I1458" s="305"/>
      <c r="J1458" s="305"/>
      <c r="K1458" s="305"/>
      <c r="L1458" s="305"/>
      <c r="M1458" s="305"/>
      <c r="N1458" s="305"/>
    </row>
    <row r="1459" spans="3:14" x14ac:dyDescent="0.25">
      <c r="C1459" s="305"/>
      <c r="D1459" s="305"/>
      <c r="E1459" s="305"/>
      <c r="F1459" s="305"/>
      <c r="G1459" s="305"/>
      <c r="H1459" s="305"/>
      <c r="I1459" s="305"/>
      <c r="J1459" s="305"/>
      <c r="K1459" s="305"/>
      <c r="L1459" s="305"/>
      <c r="M1459" s="305"/>
      <c r="N1459" s="305"/>
    </row>
    <row r="1460" spans="3:14" x14ac:dyDescent="0.25">
      <c r="C1460" s="305"/>
      <c r="D1460" s="305"/>
      <c r="E1460" s="305"/>
      <c r="F1460" s="305"/>
      <c r="G1460" s="305"/>
      <c r="H1460" s="305"/>
      <c r="I1460" s="305"/>
      <c r="J1460" s="305"/>
      <c r="K1460" s="305"/>
      <c r="L1460" s="305"/>
      <c r="M1460" s="305"/>
      <c r="N1460" s="305"/>
    </row>
    <row r="1461" spans="3:14" x14ac:dyDescent="0.25">
      <c r="C1461" s="305"/>
      <c r="D1461" s="305"/>
      <c r="E1461" s="305"/>
      <c r="F1461" s="305"/>
      <c r="G1461" s="305"/>
      <c r="H1461" s="305"/>
      <c r="I1461" s="305"/>
      <c r="J1461" s="305"/>
      <c r="K1461" s="305"/>
      <c r="L1461" s="305"/>
      <c r="M1461" s="305"/>
      <c r="N1461" s="305"/>
    </row>
    <row r="1462" spans="3:14" x14ac:dyDescent="0.25">
      <c r="C1462" s="305"/>
      <c r="D1462" s="305"/>
      <c r="E1462" s="305"/>
      <c r="F1462" s="305"/>
      <c r="G1462" s="305"/>
      <c r="H1462" s="305"/>
      <c r="I1462" s="305"/>
      <c r="J1462" s="305"/>
      <c r="K1462" s="305"/>
      <c r="L1462" s="305"/>
      <c r="M1462" s="305"/>
      <c r="N1462" s="305"/>
    </row>
    <row r="1463" spans="3:14" x14ac:dyDescent="0.25">
      <c r="C1463" s="305"/>
      <c r="D1463" s="305"/>
      <c r="E1463" s="305"/>
      <c r="F1463" s="305"/>
      <c r="G1463" s="305"/>
      <c r="H1463" s="305"/>
      <c r="I1463" s="305"/>
      <c r="J1463" s="305"/>
      <c r="K1463" s="305"/>
      <c r="L1463" s="305"/>
      <c r="M1463" s="305"/>
      <c r="N1463" s="305"/>
    </row>
    <row r="1464" spans="3:14" x14ac:dyDescent="0.25">
      <c r="C1464" s="305"/>
      <c r="D1464" s="305"/>
      <c r="E1464" s="305"/>
      <c r="F1464" s="305"/>
      <c r="G1464" s="305"/>
      <c r="H1464" s="305"/>
      <c r="I1464" s="305"/>
      <c r="J1464" s="305"/>
      <c r="K1464" s="305"/>
      <c r="L1464" s="305"/>
      <c r="M1464" s="305"/>
      <c r="N1464" s="305"/>
    </row>
    <row r="1465" spans="3:14" x14ac:dyDescent="0.25">
      <c r="C1465" s="305"/>
      <c r="D1465" s="305"/>
      <c r="E1465" s="305"/>
      <c r="F1465" s="305"/>
      <c r="G1465" s="305"/>
      <c r="H1465" s="305"/>
      <c r="I1465" s="305"/>
      <c r="J1465" s="305"/>
      <c r="K1465" s="305"/>
      <c r="L1465" s="305"/>
      <c r="M1465" s="305"/>
      <c r="N1465" s="305"/>
    </row>
    <row r="1466" spans="3:14" x14ac:dyDescent="0.25">
      <c r="C1466" s="305"/>
      <c r="D1466" s="305"/>
      <c r="E1466" s="305"/>
      <c r="F1466" s="305"/>
      <c r="G1466" s="305"/>
      <c r="H1466" s="305"/>
      <c r="I1466" s="305"/>
      <c r="J1466" s="305"/>
      <c r="K1466" s="305"/>
      <c r="L1466" s="305"/>
      <c r="M1466" s="305"/>
      <c r="N1466" s="305"/>
    </row>
    <row r="1467" spans="3:14" x14ac:dyDescent="0.25">
      <c r="C1467" s="305"/>
      <c r="D1467" s="305"/>
      <c r="E1467" s="305"/>
      <c r="F1467" s="305"/>
      <c r="G1467" s="305"/>
      <c r="H1467" s="305"/>
      <c r="I1467" s="305"/>
      <c r="J1467" s="305"/>
      <c r="K1467" s="305"/>
      <c r="L1467" s="305"/>
      <c r="M1467" s="305"/>
      <c r="N1467" s="305"/>
    </row>
    <row r="1468" spans="3:14" x14ac:dyDescent="0.25">
      <c r="C1468" s="305"/>
      <c r="D1468" s="305"/>
      <c r="E1468" s="305"/>
      <c r="F1468" s="305"/>
      <c r="G1468" s="305"/>
      <c r="H1468" s="305"/>
      <c r="I1468" s="305"/>
      <c r="J1468" s="305"/>
      <c r="K1468" s="305"/>
      <c r="L1468" s="305"/>
      <c r="M1468" s="305"/>
      <c r="N1468" s="305"/>
    </row>
    <row r="1469" spans="3:14" x14ac:dyDescent="0.25">
      <c r="C1469" s="305"/>
      <c r="D1469" s="305"/>
      <c r="E1469" s="305"/>
      <c r="F1469" s="305"/>
      <c r="G1469" s="305"/>
      <c r="H1469" s="305"/>
      <c r="I1469" s="305"/>
      <c r="J1469" s="305"/>
      <c r="K1469" s="305"/>
      <c r="L1469" s="305"/>
      <c r="M1469" s="305"/>
      <c r="N1469" s="305"/>
    </row>
    <row r="1470" spans="3:14" x14ac:dyDescent="0.25">
      <c r="C1470" s="305"/>
      <c r="D1470" s="305"/>
      <c r="E1470" s="305"/>
      <c r="F1470" s="305"/>
      <c r="G1470" s="305"/>
      <c r="H1470" s="305"/>
      <c r="I1470" s="305"/>
      <c r="J1470" s="305"/>
      <c r="K1470" s="305"/>
      <c r="L1470" s="305"/>
      <c r="M1470" s="305"/>
      <c r="N1470" s="305"/>
    </row>
    <row r="1471" spans="3:14" x14ac:dyDescent="0.25">
      <c r="C1471" s="305"/>
      <c r="D1471" s="305"/>
      <c r="E1471" s="305"/>
      <c r="F1471" s="305"/>
      <c r="G1471" s="305"/>
      <c r="H1471" s="305"/>
      <c r="I1471" s="305"/>
      <c r="J1471" s="305"/>
      <c r="K1471" s="305"/>
      <c r="L1471" s="305"/>
      <c r="M1471" s="305"/>
      <c r="N1471" s="305"/>
    </row>
    <row r="1472" spans="3:14" x14ac:dyDescent="0.25">
      <c r="C1472" s="305"/>
      <c r="D1472" s="305"/>
      <c r="E1472" s="305"/>
      <c r="F1472" s="305"/>
      <c r="G1472" s="305"/>
      <c r="H1472" s="305"/>
      <c r="I1472" s="305"/>
      <c r="J1472" s="305"/>
      <c r="K1472" s="305"/>
      <c r="L1472" s="305"/>
      <c r="M1472" s="305"/>
      <c r="N1472" s="305"/>
    </row>
    <row r="1473" spans="3:14" x14ac:dyDescent="0.25">
      <c r="C1473" s="305"/>
      <c r="D1473" s="305"/>
      <c r="E1473" s="305"/>
      <c r="F1473" s="305"/>
      <c r="G1473" s="305"/>
      <c r="H1473" s="305"/>
      <c r="I1473" s="305"/>
      <c r="J1473" s="305"/>
      <c r="K1473" s="305"/>
      <c r="L1473" s="305"/>
      <c r="M1473" s="305"/>
      <c r="N1473" s="305"/>
    </row>
    <row r="1474" spans="3:14" x14ac:dyDescent="0.25">
      <c r="C1474" s="305"/>
      <c r="D1474" s="305"/>
      <c r="E1474" s="305"/>
      <c r="F1474" s="305"/>
      <c r="G1474" s="305"/>
      <c r="H1474" s="305"/>
      <c r="I1474" s="305"/>
      <c r="J1474" s="305"/>
      <c r="K1474" s="305"/>
      <c r="L1474" s="305"/>
      <c r="M1474" s="305"/>
      <c r="N1474" s="305"/>
    </row>
    <row r="1475" spans="3:14" x14ac:dyDescent="0.25">
      <c r="C1475" s="305"/>
      <c r="D1475" s="305"/>
      <c r="E1475" s="305"/>
      <c r="F1475" s="305"/>
      <c r="G1475" s="305"/>
      <c r="H1475" s="305"/>
      <c r="I1475" s="305"/>
      <c r="J1475" s="305"/>
      <c r="K1475" s="305"/>
      <c r="L1475" s="305"/>
      <c r="M1475" s="305"/>
      <c r="N1475" s="305"/>
    </row>
    <row r="1476" spans="3:14" x14ac:dyDescent="0.25">
      <c r="C1476" s="305"/>
      <c r="D1476" s="305"/>
      <c r="E1476" s="305"/>
      <c r="F1476" s="305"/>
      <c r="G1476" s="305"/>
      <c r="H1476" s="305"/>
      <c r="I1476" s="305"/>
      <c r="J1476" s="305"/>
      <c r="K1476" s="305"/>
      <c r="L1476" s="305"/>
      <c r="M1476" s="305"/>
      <c r="N1476" s="305"/>
    </row>
    <row r="1477" spans="3:14" x14ac:dyDescent="0.25">
      <c r="C1477" s="305"/>
      <c r="D1477" s="305"/>
      <c r="E1477" s="305"/>
      <c r="F1477" s="305"/>
      <c r="G1477" s="305"/>
      <c r="H1477" s="305"/>
      <c r="I1477" s="305"/>
      <c r="J1477" s="305"/>
      <c r="K1477" s="305"/>
      <c r="L1477" s="305"/>
      <c r="M1477" s="305"/>
      <c r="N1477" s="305"/>
    </row>
    <row r="1478" spans="3:14" x14ac:dyDescent="0.25">
      <c r="C1478" s="305"/>
      <c r="D1478" s="305"/>
      <c r="E1478" s="305"/>
      <c r="F1478" s="305"/>
      <c r="G1478" s="305"/>
      <c r="H1478" s="305"/>
      <c r="I1478" s="305"/>
      <c r="J1478" s="305"/>
      <c r="K1478" s="305"/>
      <c r="L1478" s="305"/>
      <c r="M1478" s="305"/>
      <c r="N1478" s="305"/>
    </row>
    <row r="1479" spans="3:14" x14ac:dyDescent="0.25">
      <c r="C1479" s="305"/>
      <c r="D1479" s="305"/>
      <c r="E1479" s="305"/>
      <c r="F1479" s="305"/>
      <c r="G1479" s="305"/>
      <c r="H1479" s="305"/>
      <c r="I1479" s="305"/>
      <c r="J1479" s="305"/>
      <c r="K1479" s="305"/>
      <c r="L1479" s="305"/>
      <c r="M1479" s="305"/>
      <c r="N1479" s="305"/>
    </row>
    <row r="1480" spans="3:14" x14ac:dyDescent="0.25">
      <c r="C1480" s="305"/>
      <c r="D1480" s="305"/>
      <c r="E1480" s="305"/>
      <c r="F1480" s="305"/>
      <c r="G1480" s="305"/>
      <c r="H1480" s="305"/>
      <c r="I1480" s="305"/>
      <c r="J1480" s="305"/>
      <c r="K1480" s="305"/>
      <c r="L1480" s="305"/>
      <c r="M1480" s="305"/>
      <c r="N1480" s="305"/>
    </row>
    <row r="1481" spans="3:14" x14ac:dyDescent="0.25">
      <c r="C1481" s="305"/>
      <c r="D1481" s="305"/>
      <c r="E1481" s="305"/>
      <c r="F1481" s="305"/>
      <c r="G1481" s="305"/>
      <c r="H1481" s="305"/>
      <c r="I1481" s="305"/>
      <c r="J1481" s="305"/>
      <c r="K1481" s="305"/>
      <c r="L1481" s="305"/>
      <c r="M1481" s="305"/>
      <c r="N1481" s="305"/>
    </row>
    <row r="1482" spans="3:14" x14ac:dyDescent="0.25">
      <c r="C1482" s="305"/>
      <c r="D1482" s="305"/>
      <c r="E1482" s="305"/>
      <c r="F1482" s="305"/>
      <c r="G1482" s="305"/>
      <c r="H1482" s="305"/>
      <c r="I1482" s="305"/>
      <c r="J1482" s="305"/>
      <c r="K1482" s="305"/>
      <c r="L1482" s="305"/>
      <c r="M1482" s="305"/>
      <c r="N1482" s="305"/>
    </row>
    <row r="1483" spans="3:14" x14ac:dyDescent="0.25">
      <c r="C1483" s="305"/>
      <c r="D1483" s="305"/>
      <c r="E1483" s="305"/>
      <c r="F1483" s="305"/>
      <c r="G1483" s="305"/>
      <c r="H1483" s="305"/>
      <c r="I1483" s="305"/>
      <c r="J1483" s="305"/>
      <c r="K1483" s="305"/>
      <c r="L1483" s="305"/>
      <c r="M1483" s="305"/>
      <c r="N1483" s="305"/>
    </row>
    <row r="1484" spans="3:14" x14ac:dyDescent="0.25">
      <c r="C1484" s="305"/>
      <c r="D1484" s="305"/>
      <c r="E1484" s="305"/>
      <c r="F1484" s="305"/>
      <c r="G1484" s="305"/>
      <c r="H1484" s="305"/>
      <c r="I1484" s="305"/>
      <c r="J1484" s="305"/>
      <c r="K1484" s="305"/>
      <c r="L1484" s="305"/>
      <c r="M1484" s="305"/>
      <c r="N1484" s="305"/>
    </row>
    <row r="1485" spans="3:14" x14ac:dyDescent="0.25">
      <c r="C1485" s="305"/>
      <c r="D1485" s="305"/>
      <c r="E1485" s="305"/>
      <c r="F1485" s="305"/>
      <c r="G1485" s="305"/>
      <c r="H1485" s="305"/>
      <c r="I1485" s="305"/>
      <c r="J1485" s="305"/>
      <c r="K1485" s="305"/>
      <c r="L1485" s="305"/>
      <c r="M1485" s="305"/>
      <c r="N1485" s="305"/>
    </row>
    <row r="1486" spans="3:14" x14ac:dyDescent="0.25">
      <c r="C1486" s="305"/>
      <c r="D1486" s="305"/>
      <c r="E1486" s="305"/>
      <c r="F1486" s="305"/>
      <c r="G1486" s="305"/>
      <c r="H1486" s="305"/>
      <c r="I1486" s="305"/>
      <c r="J1486" s="305"/>
      <c r="K1486" s="305"/>
      <c r="L1486" s="305"/>
      <c r="M1486" s="305"/>
      <c r="N1486" s="305"/>
    </row>
    <row r="1487" spans="3:14" x14ac:dyDescent="0.25">
      <c r="C1487" s="305"/>
      <c r="D1487" s="305"/>
      <c r="E1487" s="305"/>
      <c r="F1487" s="305"/>
      <c r="G1487" s="305"/>
      <c r="H1487" s="305"/>
      <c r="I1487" s="305"/>
      <c r="J1487" s="305"/>
      <c r="K1487" s="305"/>
      <c r="L1487" s="305"/>
      <c r="M1487" s="305"/>
      <c r="N1487" s="305"/>
    </row>
    <row r="1488" spans="3:14" x14ac:dyDescent="0.25">
      <c r="C1488" s="305"/>
      <c r="D1488" s="305"/>
      <c r="E1488" s="305"/>
      <c r="F1488" s="305"/>
      <c r="G1488" s="305"/>
      <c r="H1488" s="305"/>
      <c r="I1488" s="305"/>
      <c r="J1488" s="305"/>
      <c r="K1488" s="305"/>
      <c r="L1488" s="305"/>
      <c r="M1488" s="305"/>
      <c r="N1488" s="305"/>
    </row>
    <row r="1489" spans="3:14" x14ac:dyDescent="0.25">
      <c r="C1489" s="305"/>
      <c r="D1489" s="305"/>
      <c r="E1489" s="305"/>
      <c r="F1489" s="305"/>
      <c r="G1489" s="305"/>
      <c r="H1489" s="305"/>
      <c r="I1489" s="305"/>
      <c r="J1489" s="305"/>
      <c r="K1489" s="305"/>
      <c r="L1489" s="305"/>
      <c r="M1489" s="305"/>
      <c r="N1489" s="305"/>
    </row>
    <row r="1490" spans="3:14" x14ac:dyDescent="0.25">
      <c r="C1490" s="305"/>
      <c r="D1490" s="305"/>
      <c r="E1490" s="305"/>
      <c r="F1490" s="305"/>
      <c r="G1490" s="305"/>
      <c r="H1490" s="305"/>
      <c r="I1490" s="305"/>
      <c r="J1490" s="305"/>
      <c r="K1490" s="305"/>
      <c r="L1490" s="305"/>
      <c r="M1490" s="305"/>
      <c r="N1490" s="305"/>
    </row>
    <row r="1491" spans="3:14" x14ac:dyDescent="0.25">
      <c r="C1491" s="305"/>
      <c r="D1491" s="305"/>
      <c r="E1491" s="305"/>
      <c r="F1491" s="305"/>
      <c r="G1491" s="305"/>
      <c r="H1491" s="305"/>
      <c r="I1491" s="305"/>
      <c r="J1491" s="305"/>
      <c r="K1491" s="305"/>
      <c r="L1491" s="305"/>
      <c r="M1491" s="305"/>
      <c r="N1491" s="305"/>
    </row>
    <row r="1492" spans="3:14" x14ac:dyDescent="0.25">
      <c r="C1492" s="305"/>
      <c r="D1492" s="305"/>
      <c r="E1492" s="305"/>
      <c r="F1492" s="305"/>
      <c r="G1492" s="305"/>
      <c r="H1492" s="305"/>
      <c r="I1492" s="305"/>
      <c r="J1492" s="305"/>
      <c r="K1492" s="305"/>
      <c r="L1492" s="305"/>
      <c r="M1492" s="305"/>
      <c r="N1492" s="305"/>
    </row>
    <row r="1493" spans="3:14" x14ac:dyDescent="0.25">
      <c r="C1493" s="305"/>
      <c r="D1493" s="305"/>
      <c r="E1493" s="305"/>
      <c r="F1493" s="305"/>
      <c r="G1493" s="305"/>
      <c r="H1493" s="305"/>
      <c r="I1493" s="305"/>
      <c r="J1493" s="305"/>
      <c r="K1493" s="305"/>
      <c r="L1493" s="305"/>
      <c r="M1493" s="305"/>
      <c r="N1493" s="305"/>
    </row>
    <row r="1494" spans="3:14" x14ac:dyDescent="0.25">
      <c r="C1494" s="305"/>
      <c r="D1494" s="305"/>
      <c r="E1494" s="305"/>
      <c r="F1494" s="305"/>
      <c r="G1494" s="305"/>
      <c r="H1494" s="305"/>
      <c r="I1494" s="305"/>
      <c r="J1494" s="305"/>
      <c r="K1494" s="305"/>
      <c r="L1494" s="305"/>
      <c r="M1494" s="305"/>
      <c r="N1494" s="305"/>
    </row>
    <row r="1495" spans="3:14" x14ac:dyDescent="0.25">
      <c r="C1495" s="305"/>
      <c r="D1495" s="305"/>
      <c r="E1495" s="305"/>
      <c r="F1495" s="305"/>
      <c r="G1495" s="305"/>
      <c r="H1495" s="305"/>
      <c r="I1495" s="305"/>
      <c r="J1495" s="305"/>
      <c r="K1495" s="305"/>
      <c r="L1495" s="305"/>
      <c r="M1495" s="305"/>
      <c r="N1495" s="305"/>
    </row>
    <row r="1496" spans="3:14" x14ac:dyDescent="0.25">
      <c r="C1496" s="305"/>
      <c r="D1496" s="305"/>
      <c r="E1496" s="305"/>
      <c r="F1496" s="305"/>
      <c r="G1496" s="305"/>
      <c r="H1496" s="305"/>
      <c r="I1496" s="305"/>
      <c r="J1496" s="305"/>
      <c r="K1496" s="305"/>
      <c r="L1496" s="305"/>
      <c r="M1496" s="305"/>
      <c r="N1496" s="305"/>
    </row>
    <row r="1497" spans="3:14" x14ac:dyDescent="0.25">
      <c r="C1497" s="305"/>
      <c r="D1497" s="305"/>
      <c r="E1497" s="305"/>
      <c r="F1497" s="305"/>
      <c r="G1497" s="305"/>
      <c r="H1497" s="305"/>
      <c r="I1497" s="305"/>
      <c r="J1497" s="305"/>
      <c r="K1497" s="305"/>
      <c r="L1497" s="305"/>
      <c r="M1497" s="305"/>
      <c r="N1497" s="305"/>
    </row>
    <row r="1498" spans="3:14" x14ac:dyDescent="0.25">
      <c r="C1498" s="305"/>
      <c r="D1498" s="305"/>
      <c r="E1498" s="305"/>
      <c r="F1498" s="305"/>
      <c r="G1498" s="305"/>
      <c r="H1498" s="305"/>
      <c r="I1498" s="305"/>
      <c r="J1498" s="305"/>
      <c r="K1498" s="305"/>
      <c r="L1498" s="305"/>
      <c r="M1498" s="305"/>
      <c r="N1498" s="305"/>
    </row>
    <row r="1499" spans="3:14" x14ac:dyDescent="0.25">
      <c r="C1499" s="305"/>
      <c r="D1499" s="305"/>
      <c r="E1499" s="305"/>
      <c r="F1499" s="305"/>
      <c r="G1499" s="305"/>
      <c r="H1499" s="305"/>
      <c r="I1499" s="305"/>
      <c r="J1499" s="305"/>
      <c r="K1499" s="305"/>
      <c r="L1499" s="305"/>
      <c r="M1499" s="305"/>
      <c r="N1499" s="305"/>
    </row>
    <row r="1500" spans="3:14" x14ac:dyDescent="0.25">
      <c r="C1500" s="305"/>
      <c r="D1500" s="305"/>
      <c r="E1500" s="305"/>
      <c r="F1500" s="305"/>
      <c r="G1500" s="305"/>
      <c r="H1500" s="305"/>
      <c r="I1500" s="305"/>
      <c r="J1500" s="305"/>
      <c r="K1500" s="305"/>
      <c r="L1500" s="305"/>
      <c r="M1500" s="305"/>
      <c r="N1500" s="305"/>
    </row>
    <row r="1501" spans="3:14" x14ac:dyDescent="0.25">
      <c r="C1501" s="305"/>
      <c r="D1501" s="305"/>
      <c r="E1501" s="305"/>
      <c r="F1501" s="305"/>
      <c r="G1501" s="305"/>
      <c r="H1501" s="305"/>
      <c r="I1501" s="305"/>
      <c r="J1501" s="305"/>
      <c r="K1501" s="305"/>
      <c r="L1501" s="305"/>
      <c r="M1501" s="305"/>
      <c r="N1501" s="305"/>
    </row>
    <row r="1502" spans="3:14" x14ac:dyDescent="0.25">
      <c r="C1502" s="305"/>
      <c r="D1502" s="305"/>
      <c r="E1502" s="305"/>
      <c r="F1502" s="305"/>
      <c r="G1502" s="305"/>
      <c r="H1502" s="305"/>
      <c r="I1502" s="305"/>
      <c r="J1502" s="305"/>
      <c r="K1502" s="305"/>
      <c r="L1502" s="305"/>
      <c r="M1502" s="305"/>
      <c r="N1502" s="305"/>
    </row>
    <row r="1503" spans="3:14" x14ac:dyDescent="0.25">
      <c r="C1503" s="305"/>
      <c r="D1503" s="305"/>
      <c r="E1503" s="305"/>
      <c r="F1503" s="305"/>
      <c r="G1503" s="305"/>
      <c r="H1503" s="305"/>
      <c r="I1503" s="305"/>
      <c r="J1503" s="305"/>
      <c r="K1503" s="305"/>
      <c r="L1503" s="305"/>
      <c r="M1503" s="305"/>
      <c r="N1503" s="305"/>
    </row>
    <row r="1504" spans="3:14" x14ac:dyDescent="0.25">
      <c r="C1504" s="305"/>
      <c r="D1504" s="305"/>
      <c r="E1504" s="305"/>
      <c r="F1504" s="305"/>
      <c r="G1504" s="305"/>
      <c r="H1504" s="305"/>
      <c r="I1504" s="305"/>
      <c r="J1504" s="305"/>
      <c r="K1504" s="305"/>
      <c r="L1504" s="305"/>
      <c r="M1504" s="305"/>
      <c r="N1504" s="305"/>
    </row>
    <row r="1505" spans="3:14" x14ac:dyDescent="0.25">
      <c r="C1505" s="305"/>
      <c r="D1505" s="305"/>
      <c r="E1505" s="305"/>
      <c r="F1505" s="305"/>
      <c r="G1505" s="305"/>
      <c r="H1505" s="305"/>
      <c r="I1505" s="305"/>
      <c r="J1505" s="305"/>
      <c r="K1505" s="305"/>
      <c r="L1505" s="305"/>
      <c r="M1505" s="305"/>
      <c r="N1505" s="305"/>
    </row>
    <row r="1506" spans="3:14" x14ac:dyDescent="0.25">
      <c r="C1506" s="305"/>
      <c r="D1506" s="305"/>
      <c r="E1506" s="305"/>
      <c r="F1506" s="305"/>
      <c r="G1506" s="305"/>
      <c r="H1506" s="305"/>
      <c r="I1506" s="305"/>
      <c r="J1506" s="305"/>
      <c r="K1506" s="305"/>
      <c r="L1506" s="305"/>
      <c r="M1506" s="305"/>
      <c r="N1506" s="305"/>
    </row>
    <row r="1507" spans="3:14" x14ac:dyDescent="0.25">
      <c r="C1507" s="305"/>
      <c r="D1507" s="305"/>
      <c r="E1507" s="305"/>
      <c r="F1507" s="305"/>
      <c r="G1507" s="305"/>
      <c r="H1507" s="305"/>
      <c r="I1507" s="305"/>
      <c r="J1507" s="305"/>
      <c r="K1507" s="305"/>
      <c r="L1507" s="305"/>
      <c r="M1507" s="305"/>
      <c r="N1507" s="305"/>
    </row>
    <row r="1508" spans="3:14" x14ac:dyDescent="0.25">
      <c r="C1508" s="305"/>
      <c r="D1508" s="305"/>
      <c r="E1508" s="305"/>
      <c r="F1508" s="305"/>
      <c r="G1508" s="305"/>
      <c r="H1508" s="305"/>
      <c r="I1508" s="305"/>
      <c r="J1508" s="305"/>
      <c r="K1508" s="305"/>
      <c r="L1508" s="305"/>
      <c r="M1508" s="305"/>
      <c r="N1508" s="305"/>
    </row>
    <row r="1509" spans="3:14" x14ac:dyDescent="0.25">
      <c r="C1509" s="305"/>
      <c r="D1509" s="305"/>
      <c r="E1509" s="305"/>
      <c r="F1509" s="305"/>
      <c r="G1509" s="305"/>
      <c r="H1509" s="305"/>
      <c r="I1509" s="305"/>
      <c r="J1509" s="305"/>
      <c r="K1509" s="305"/>
      <c r="L1509" s="305"/>
      <c r="M1509" s="305"/>
      <c r="N1509" s="305"/>
    </row>
    <row r="1510" spans="3:14" x14ac:dyDescent="0.25">
      <c r="C1510" s="305"/>
      <c r="D1510" s="305"/>
      <c r="E1510" s="305"/>
      <c r="F1510" s="305"/>
      <c r="G1510" s="305"/>
      <c r="H1510" s="305"/>
      <c r="I1510" s="305"/>
      <c r="J1510" s="305"/>
      <c r="K1510" s="305"/>
      <c r="L1510" s="305"/>
      <c r="M1510" s="305"/>
      <c r="N1510" s="305"/>
    </row>
    <row r="1511" spans="3:14" x14ac:dyDescent="0.25">
      <c r="C1511" s="305"/>
      <c r="D1511" s="305"/>
      <c r="E1511" s="305"/>
      <c r="F1511" s="305"/>
      <c r="G1511" s="305"/>
      <c r="H1511" s="305"/>
      <c r="I1511" s="305"/>
      <c r="J1511" s="305"/>
      <c r="K1511" s="305"/>
      <c r="L1511" s="305"/>
      <c r="M1511" s="305"/>
      <c r="N1511" s="305"/>
    </row>
    <row r="1512" spans="3:14" x14ac:dyDescent="0.25">
      <c r="C1512" s="305"/>
      <c r="D1512" s="305"/>
      <c r="E1512" s="305"/>
      <c r="F1512" s="305"/>
      <c r="G1512" s="305"/>
      <c r="H1512" s="305"/>
      <c r="I1512" s="305"/>
      <c r="J1512" s="305"/>
      <c r="K1512" s="305"/>
      <c r="L1512" s="305"/>
      <c r="M1512" s="305"/>
      <c r="N1512" s="305"/>
    </row>
    <row r="1513" spans="3:14" x14ac:dyDescent="0.25">
      <c r="C1513" s="305"/>
      <c r="D1513" s="305"/>
      <c r="E1513" s="305"/>
      <c r="F1513" s="305"/>
      <c r="G1513" s="305"/>
      <c r="H1513" s="305"/>
      <c r="I1513" s="305"/>
      <c r="J1513" s="305"/>
      <c r="K1513" s="305"/>
      <c r="L1513" s="305"/>
      <c r="M1513" s="305"/>
      <c r="N1513" s="305"/>
    </row>
    <row r="1514" spans="3:14" x14ac:dyDescent="0.25">
      <c r="C1514" s="305"/>
      <c r="D1514" s="305"/>
      <c r="E1514" s="305"/>
      <c r="F1514" s="305"/>
      <c r="G1514" s="305"/>
      <c r="H1514" s="305"/>
      <c r="I1514" s="305"/>
      <c r="J1514" s="305"/>
      <c r="K1514" s="305"/>
      <c r="L1514" s="305"/>
      <c r="M1514" s="305"/>
      <c r="N1514" s="305"/>
    </row>
    <row r="1515" spans="3:14" x14ac:dyDescent="0.25">
      <c r="C1515" s="305"/>
      <c r="D1515" s="305"/>
      <c r="E1515" s="305"/>
      <c r="F1515" s="305"/>
      <c r="G1515" s="305"/>
      <c r="H1515" s="305"/>
      <c r="I1515" s="305"/>
      <c r="J1515" s="305"/>
      <c r="K1515" s="305"/>
      <c r="L1515" s="305"/>
      <c r="M1515" s="305"/>
      <c r="N1515" s="305"/>
    </row>
    <row r="1516" spans="3:14" x14ac:dyDescent="0.25">
      <c r="C1516" s="305"/>
      <c r="D1516" s="305"/>
      <c r="E1516" s="305"/>
      <c r="F1516" s="305"/>
      <c r="G1516" s="305"/>
      <c r="H1516" s="305"/>
      <c r="I1516" s="305"/>
      <c r="J1516" s="305"/>
      <c r="K1516" s="305"/>
      <c r="L1516" s="305"/>
      <c r="M1516" s="305"/>
      <c r="N1516" s="305"/>
    </row>
    <row r="1517" spans="3:14" x14ac:dyDescent="0.25">
      <c r="C1517" s="305"/>
      <c r="D1517" s="305"/>
      <c r="E1517" s="305"/>
      <c r="F1517" s="305"/>
      <c r="G1517" s="305"/>
      <c r="H1517" s="305"/>
      <c r="I1517" s="305"/>
      <c r="J1517" s="305"/>
      <c r="K1517" s="305"/>
      <c r="L1517" s="305"/>
      <c r="M1517" s="305"/>
      <c r="N1517" s="305"/>
    </row>
    <row r="1518" spans="3:14" x14ac:dyDescent="0.25">
      <c r="C1518" s="305"/>
      <c r="D1518" s="305"/>
      <c r="E1518" s="305"/>
      <c r="F1518" s="305"/>
      <c r="G1518" s="305"/>
      <c r="H1518" s="305"/>
      <c r="I1518" s="305"/>
      <c r="J1518" s="305"/>
      <c r="K1518" s="305"/>
      <c r="L1518" s="305"/>
      <c r="M1518" s="305"/>
      <c r="N1518" s="305"/>
    </row>
    <row r="1519" spans="3:14" x14ac:dyDescent="0.25">
      <c r="C1519" s="305"/>
      <c r="D1519" s="305"/>
      <c r="E1519" s="305"/>
      <c r="F1519" s="305"/>
      <c r="G1519" s="305"/>
      <c r="H1519" s="305"/>
      <c r="I1519" s="305"/>
      <c r="J1519" s="305"/>
      <c r="K1519" s="305"/>
      <c r="L1519" s="305"/>
      <c r="M1519" s="305"/>
      <c r="N1519" s="305"/>
    </row>
    <row r="1520" spans="3:14" x14ac:dyDescent="0.25">
      <c r="C1520" s="305"/>
      <c r="D1520" s="305"/>
      <c r="E1520" s="305"/>
      <c r="F1520" s="305"/>
      <c r="G1520" s="305"/>
      <c r="H1520" s="305"/>
      <c r="I1520" s="305"/>
      <c r="J1520" s="305"/>
      <c r="K1520" s="305"/>
      <c r="L1520" s="305"/>
      <c r="M1520" s="305"/>
      <c r="N1520" s="305"/>
    </row>
    <row r="1521" spans="3:14" x14ac:dyDescent="0.25">
      <c r="C1521" s="305"/>
      <c r="D1521" s="305"/>
      <c r="E1521" s="305"/>
      <c r="F1521" s="305"/>
      <c r="G1521" s="305"/>
      <c r="H1521" s="305"/>
      <c r="I1521" s="305"/>
      <c r="J1521" s="305"/>
      <c r="K1521" s="305"/>
      <c r="L1521" s="305"/>
      <c r="M1521" s="305"/>
      <c r="N1521" s="305"/>
    </row>
    <row r="1522" spans="3:14" x14ac:dyDescent="0.25">
      <c r="C1522" s="305"/>
      <c r="D1522" s="305"/>
      <c r="E1522" s="305"/>
      <c r="F1522" s="305"/>
      <c r="G1522" s="305"/>
      <c r="H1522" s="305"/>
      <c r="I1522" s="305"/>
      <c r="J1522" s="305"/>
      <c r="K1522" s="305"/>
      <c r="L1522" s="305"/>
      <c r="M1522" s="305"/>
      <c r="N1522" s="305"/>
    </row>
    <row r="1523" spans="3:14" x14ac:dyDescent="0.25">
      <c r="C1523" s="305"/>
      <c r="D1523" s="305"/>
      <c r="E1523" s="305"/>
      <c r="F1523" s="305"/>
      <c r="G1523" s="305"/>
      <c r="H1523" s="305"/>
      <c r="I1523" s="305"/>
      <c r="J1523" s="305"/>
      <c r="K1523" s="305"/>
      <c r="L1523" s="305"/>
      <c r="M1523" s="305"/>
      <c r="N1523" s="305"/>
    </row>
    <row r="1524" spans="3:14" x14ac:dyDescent="0.25">
      <c r="C1524" s="305"/>
      <c r="D1524" s="305"/>
      <c r="E1524" s="305"/>
      <c r="F1524" s="305"/>
      <c r="G1524" s="305"/>
      <c r="H1524" s="305"/>
      <c r="I1524" s="305"/>
      <c r="J1524" s="305"/>
      <c r="K1524" s="305"/>
      <c r="L1524" s="305"/>
      <c r="M1524" s="305"/>
      <c r="N1524" s="305"/>
    </row>
    <row r="1525" spans="3:14" x14ac:dyDescent="0.25">
      <c r="C1525" s="305"/>
      <c r="D1525" s="305"/>
      <c r="E1525" s="305"/>
      <c r="F1525" s="305"/>
      <c r="G1525" s="305"/>
      <c r="H1525" s="305"/>
      <c r="I1525" s="305"/>
      <c r="J1525" s="305"/>
      <c r="K1525" s="305"/>
      <c r="L1525" s="305"/>
      <c r="M1525" s="305"/>
      <c r="N1525" s="305"/>
    </row>
    <row r="1526" spans="3:14" x14ac:dyDescent="0.25">
      <c r="C1526" s="305"/>
      <c r="D1526" s="305"/>
      <c r="E1526" s="305"/>
      <c r="F1526" s="305"/>
      <c r="G1526" s="305"/>
      <c r="H1526" s="305"/>
      <c r="I1526" s="305"/>
      <c r="J1526" s="305"/>
      <c r="K1526" s="305"/>
      <c r="L1526" s="305"/>
      <c r="M1526" s="305"/>
      <c r="N1526" s="305"/>
    </row>
    <row r="1527" spans="3:14" x14ac:dyDescent="0.25">
      <c r="C1527" s="305"/>
      <c r="D1527" s="305"/>
      <c r="E1527" s="305"/>
      <c r="F1527" s="305"/>
      <c r="G1527" s="305"/>
      <c r="H1527" s="305"/>
      <c r="I1527" s="305"/>
      <c r="J1527" s="305"/>
      <c r="K1527" s="305"/>
      <c r="L1527" s="305"/>
      <c r="M1527" s="305"/>
      <c r="N1527" s="305"/>
    </row>
    <row r="1528" spans="3:14" x14ac:dyDescent="0.25">
      <c r="C1528" s="305"/>
      <c r="D1528" s="305"/>
      <c r="E1528" s="305"/>
      <c r="F1528" s="305"/>
      <c r="G1528" s="305"/>
      <c r="H1528" s="305"/>
      <c r="I1528" s="305"/>
      <c r="J1528" s="305"/>
      <c r="K1528" s="305"/>
      <c r="L1528" s="305"/>
      <c r="M1528" s="305"/>
      <c r="N1528" s="305"/>
    </row>
    <row r="1529" spans="3:14" x14ac:dyDescent="0.25">
      <c r="C1529" s="305"/>
      <c r="D1529" s="305"/>
      <c r="E1529" s="305"/>
      <c r="F1529" s="305"/>
      <c r="G1529" s="305"/>
      <c r="H1529" s="305"/>
      <c r="I1529" s="305"/>
      <c r="J1529" s="305"/>
      <c r="K1529" s="305"/>
      <c r="L1529" s="305"/>
      <c r="M1529" s="305"/>
      <c r="N1529" s="305"/>
    </row>
    <row r="1530" spans="3:14" x14ac:dyDescent="0.25">
      <c r="C1530" s="305"/>
      <c r="D1530" s="305"/>
      <c r="E1530" s="305"/>
      <c r="F1530" s="305"/>
      <c r="G1530" s="305"/>
      <c r="H1530" s="305"/>
      <c r="I1530" s="305"/>
      <c r="J1530" s="305"/>
      <c r="K1530" s="305"/>
      <c r="L1530" s="305"/>
      <c r="M1530" s="305"/>
      <c r="N1530" s="305"/>
    </row>
    <row r="1531" spans="3:14" x14ac:dyDescent="0.25">
      <c r="C1531" s="305"/>
      <c r="D1531" s="305"/>
      <c r="E1531" s="305"/>
      <c r="F1531" s="305"/>
      <c r="G1531" s="305"/>
      <c r="H1531" s="305"/>
      <c r="I1531" s="305"/>
      <c r="J1531" s="305"/>
      <c r="K1531" s="305"/>
      <c r="L1531" s="305"/>
      <c r="M1531" s="305"/>
      <c r="N1531" s="305"/>
    </row>
    <row r="1532" spans="3:14" x14ac:dyDescent="0.25">
      <c r="C1532" s="305"/>
      <c r="D1532" s="305"/>
      <c r="E1532" s="305"/>
      <c r="F1532" s="305"/>
      <c r="G1532" s="305"/>
      <c r="H1532" s="305"/>
      <c r="I1532" s="305"/>
      <c r="J1532" s="305"/>
      <c r="K1532" s="305"/>
      <c r="L1532" s="305"/>
      <c r="M1532" s="305"/>
      <c r="N1532" s="305"/>
    </row>
    <row r="1533" spans="3:14" x14ac:dyDescent="0.25">
      <c r="C1533" s="305"/>
      <c r="D1533" s="305"/>
      <c r="E1533" s="305"/>
      <c r="F1533" s="305"/>
      <c r="G1533" s="305"/>
      <c r="H1533" s="305"/>
      <c r="I1533" s="305"/>
      <c r="J1533" s="305"/>
      <c r="K1533" s="305"/>
      <c r="L1533" s="305"/>
      <c r="M1533" s="305"/>
      <c r="N1533" s="305"/>
    </row>
    <row r="1534" spans="3:14" x14ac:dyDescent="0.25">
      <c r="C1534" s="305"/>
      <c r="D1534" s="305"/>
      <c r="E1534" s="305"/>
      <c r="F1534" s="305"/>
      <c r="G1534" s="305"/>
      <c r="H1534" s="305"/>
      <c r="I1534" s="305"/>
      <c r="J1534" s="305"/>
      <c r="K1534" s="305"/>
      <c r="L1534" s="305"/>
      <c r="M1534" s="305"/>
      <c r="N1534" s="305"/>
    </row>
    <row r="1535" spans="3:14" x14ac:dyDescent="0.25">
      <c r="C1535" s="305"/>
      <c r="D1535" s="305"/>
      <c r="E1535" s="305"/>
      <c r="F1535" s="305"/>
      <c r="G1535" s="305"/>
      <c r="H1535" s="305"/>
      <c r="I1535" s="305"/>
      <c r="J1535" s="305"/>
      <c r="K1535" s="305"/>
      <c r="L1535" s="305"/>
      <c r="M1535" s="305"/>
      <c r="N1535" s="305"/>
    </row>
    <row r="1536" spans="3:14" x14ac:dyDescent="0.25">
      <c r="C1536" s="305"/>
      <c r="D1536" s="305"/>
      <c r="E1536" s="305"/>
      <c r="F1536" s="305"/>
      <c r="G1536" s="305"/>
      <c r="H1536" s="305"/>
      <c r="I1536" s="305"/>
      <c r="J1536" s="305"/>
      <c r="K1536" s="305"/>
      <c r="L1536" s="305"/>
      <c r="M1536" s="305"/>
      <c r="N1536" s="305"/>
    </row>
    <row r="1537" spans="3:14" x14ac:dyDescent="0.25">
      <c r="C1537" s="305"/>
      <c r="D1537" s="305"/>
      <c r="E1537" s="305"/>
      <c r="F1537" s="305"/>
      <c r="G1537" s="305"/>
      <c r="H1537" s="305"/>
      <c r="I1537" s="305"/>
      <c r="J1537" s="305"/>
      <c r="K1537" s="305"/>
      <c r="L1537" s="305"/>
      <c r="M1537" s="305"/>
      <c r="N1537" s="305"/>
    </row>
    <row r="1538" spans="3:14" x14ac:dyDescent="0.25">
      <c r="C1538" s="305"/>
      <c r="D1538" s="305"/>
      <c r="E1538" s="305"/>
      <c r="F1538" s="305"/>
      <c r="G1538" s="305"/>
      <c r="H1538" s="305"/>
      <c r="I1538" s="305"/>
      <c r="J1538" s="305"/>
      <c r="K1538" s="305"/>
      <c r="L1538" s="305"/>
      <c r="M1538" s="305"/>
      <c r="N1538" s="305"/>
    </row>
    <row r="1539" spans="3:14" x14ac:dyDescent="0.25">
      <c r="C1539" s="305"/>
      <c r="D1539" s="305"/>
      <c r="E1539" s="305"/>
      <c r="F1539" s="305"/>
      <c r="G1539" s="305"/>
      <c r="H1539" s="305"/>
      <c r="I1539" s="305"/>
      <c r="J1539" s="305"/>
      <c r="K1539" s="305"/>
      <c r="L1539" s="305"/>
      <c r="M1539" s="305"/>
      <c r="N1539" s="305"/>
    </row>
    <row r="1540" spans="3:14" x14ac:dyDescent="0.25">
      <c r="C1540" s="305"/>
      <c r="D1540" s="305"/>
      <c r="E1540" s="305"/>
      <c r="F1540" s="305"/>
      <c r="G1540" s="305"/>
      <c r="H1540" s="305"/>
      <c r="I1540" s="305"/>
      <c r="J1540" s="305"/>
      <c r="K1540" s="305"/>
      <c r="L1540" s="305"/>
      <c r="M1540" s="305"/>
      <c r="N1540" s="305"/>
    </row>
    <row r="1541" spans="3:14" x14ac:dyDescent="0.25">
      <c r="C1541" s="305"/>
      <c r="D1541" s="305"/>
      <c r="E1541" s="305"/>
      <c r="F1541" s="305"/>
      <c r="G1541" s="305"/>
      <c r="H1541" s="305"/>
      <c r="I1541" s="305"/>
      <c r="J1541" s="305"/>
      <c r="K1541" s="305"/>
      <c r="L1541" s="305"/>
      <c r="M1541" s="305"/>
      <c r="N1541" s="305"/>
    </row>
    <row r="1542" spans="3:14" x14ac:dyDescent="0.25">
      <c r="C1542" s="305"/>
      <c r="D1542" s="305"/>
      <c r="E1542" s="305"/>
      <c r="F1542" s="305"/>
      <c r="G1542" s="305"/>
      <c r="H1542" s="305"/>
      <c r="I1542" s="305"/>
      <c r="J1542" s="305"/>
      <c r="K1542" s="305"/>
      <c r="L1542" s="305"/>
      <c r="M1542" s="305"/>
      <c r="N1542" s="305"/>
    </row>
    <row r="1543" spans="3:14" x14ac:dyDescent="0.25">
      <c r="C1543" s="305"/>
      <c r="D1543" s="305"/>
      <c r="E1543" s="305"/>
      <c r="F1543" s="305"/>
      <c r="G1543" s="305"/>
      <c r="H1543" s="305"/>
      <c r="I1543" s="305"/>
      <c r="J1543" s="305"/>
      <c r="K1543" s="305"/>
      <c r="L1543" s="305"/>
      <c r="M1543" s="305"/>
      <c r="N1543" s="305"/>
    </row>
    <row r="1544" spans="3:14" x14ac:dyDescent="0.25">
      <c r="C1544" s="305"/>
      <c r="D1544" s="305"/>
      <c r="E1544" s="305"/>
      <c r="F1544" s="305"/>
      <c r="G1544" s="305"/>
      <c r="H1544" s="305"/>
      <c r="I1544" s="305"/>
      <c r="J1544" s="305"/>
      <c r="K1544" s="305"/>
      <c r="L1544" s="305"/>
      <c r="M1544" s="305"/>
      <c r="N1544" s="305"/>
    </row>
    <row r="1545" spans="3:14" x14ac:dyDescent="0.25">
      <c r="C1545" s="305"/>
      <c r="D1545" s="305"/>
      <c r="E1545" s="305"/>
      <c r="F1545" s="305"/>
      <c r="G1545" s="305"/>
      <c r="H1545" s="305"/>
      <c r="I1545" s="305"/>
      <c r="J1545" s="305"/>
      <c r="K1545" s="305"/>
      <c r="L1545" s="305"/>
      <c r="M1545" s="305"/>
      <c r="N1545" s="305"/>
    </row>
    <row r="1546" spans="3:14" x14ac:dyDescent="0.25">
      <c r="C1546" s="305"/>
      <c r="D1546" s="305"/>
      <c r="E1546" s="305"/>
      <c r="F1546" s="305"/>
      <c r="G1546" s="305"/>
      <c r="H1546" s="305"/>
      <c r="I1546" s="305"/>
      <c r="J1546" s="305"/>
      <c r="K1546" s="305"/>
      <c r="L1546" s="305"/>
      <c r="M1546" s="305"/>
      <c r="N1546" s="305"/>
    </row>
  </sheetData>
  <sheetProtection algorithmName="SHA-512" hashValue="YOpXgcneoegqICHa5I7z7eThpJ6fKr5byTnWYC9HZ2QDsaornaIUdKYlIBbffWxqX+dDp0jzrpQrWxuS85XZ5w==" saltValue="QHlp4yuQeRyt9pvZOolE3A==" spinCount="100000" sheet="1" objects="1" scenarios="1"/>
  <mergeCells count="17">
    <mergeCell ref="N64:N65"/>
    <mergeCell ref="A4:B4"/>
    <mergeCell ref="A38:C38"/>
    <mergeCell ref="A1:I1"/>
    <mergeCell ref="A2:M2"/>
    <mergeCell ref="A3:M3"/>
    <mergeCell ref="C4:C5"/>
    <mergeCell ref="D4:D5"/>
    <mergeCell ref="E4:E5"/>
    <mergeCell ref="F4:F5"/>
    <mergeCell ref="G4:G5"/>
    <mergeCell ref="L4:L5"/>
    <mergeCell ref="M4:M5"/>
    <mergeCell ref="H4:H5"/>
    <mergeCell ref="I4:I5"/>
    <mergeCell ref="J4:J5"/>
    <mergeCell ref="K4:K5"/>
  </mergeCells>
  <phoneticPr fontId="20" type="noConversion"/>
  <hyperlinks>
    <hyperlink ref="A38:C38" location="Code_0201" display="Please click here to return to the 2009 HAR tab" xr:uid="{00000000-0004-0000-0400-000000000000}"/>
  </hyperlinks>
  <pageMargins left="0.75" right="0.75" top="1" bottom="1" header="0.5" footer="0.5"/>
  <pageSetup scale="52" orientation="landscape" r:id="rId1"/>
  <headerFooter alignWithMargins="0">
    <oddFooter xml:space="preserve">&amp;LMDH
http://health.state.mn.us/divs/hpsc/dap/hccis
Phone: 651-201-3572 
Fax: 651-201-5179
&amp;CPage &amp;P
2016 Hospital Annual Report
Health Care Cost  Information System (HCCIS)
&amp;RMHA
Jsanislo@mnhospitals.org
Phone: 651-641-1121 
Fax: 651-659-1477
</oddFooter>
  </headerFooter>
  <rowBreaks count="2" manualBreakCount="2">
    <brk id="39" max="16383" man="1"/>
    <brk id="34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pageSetUpPr fitToPage="1"/>
  </sheetPr>
  <dimension ref="A1:O80"/>
  <sheetViews>
    <sheetView showGridLines="0" view="pageBreakPreview" zoomScaleNormal="100" zoomScaleSheetLayoutView="100" workbookViewId="0">
      <selection sqref="A1:G1"/>
    </sheetView>
  </sheetViews>
  <sheetFormatPr defaultColWidth="9.1796875" defaultRowHeight="12.5" x14ac:dyDescent="0.25"/>
  <cols>
    <col min="1" max="1" width="5.453125" style="93" customWidth="1"/>
    <col min="2" max="2" width="53" style="93" bestFit="1" customWidth="1"/>
    <col min="3" max="3" width="2.54296875" style="93" customWidth="1"/>
    <col min="4" max="4" width="13.81640625" style="93" customWidth="1"/>
    <col min="5" max="5" width="9.26953125" style="93" customWidth="1"/>
    <col min="6" max="6" width="13" style="93" customWidth="1"/>
    <col min="7" max="7" width="20.453125" style="93" customWidth="1"/>
    <col min="8" max="8" width="9.7265625" style="93" bestFit="1" customWidth="1"/>
    <col min="9" max="9" width="10.1796875" style="93" bestFit="1" customWidth="1"/>
    <col min="10" max="16384" width="9.1796875" style="93"/>
  </cols>
  <sheetData>
    <row r="1" spans="1:13" ht="13" x14ac:dyDescent="0.3">
      <c r="A1" s="1461" t="s">
        <v>0</v>
      </c>
      <c r="B1" s="1462"/>
      <c r="C1" s="1462"/>
      <c r="D1" s="1462"/>
      <c r="E1" s="1462"/>
      <c r="F1" s="1462"/>
      <c r="G1" s="1463"/>
    </row>
    <row r="2" spans="1:13" ht="13" x14ac:dyDescent="0.3">
      <c r="A2" s="1471" t="s">
        <v>1</v>
      </c>
      <c r="B2" s="1472"/>
      <c r="C2" s="1472"/>
      <c r="D2" s="1472"/>
      <c r="E2" s="1472"/>
      <c r="F2" s="1472"/>
      <c r="G2" s="1473"/>
    </row>
    <row r="3" spans="1:13" ht="13" x14ac:dyDescent="0.3">
      <c r="A3" s="1464" t="s">
        <v>2</v>
      </c>
      <c r="B3" s="1465"/>
      <c r="C3" s="1465"/>
      <c r="D3" s="1465"/>
      <c r="E3" s="1466"/>
      <c r="F3" s="94" t="s">
        <v>3</v>
      </c>
      <c r="M3" s="289"/>
    </row>
    <row r="4" spans="1:13" x14ac:dyDescent="0.25">
      <c r="A4" s="95" t="s">
        <v>4</v>
      </c>
      <c r="B4" s="100" t="s">
        <v>639</v>
      </c>
      <c r="C4" s="101"/>
      <c r="D4" s="97">
        <f>Code_0741</f>
        <v>0</v>
      </c>
      <c r="E4" s="98"/>
      <c r="F4" s="102" t="e">
        <f>ABS(D4/D5)</f>
        <v>#DIV/0!</v>
      </c>
      <c r="G4" s="1467" t="e">
        <f>IF(F4&gt;=0.05, IF(F4&gt;0.7, "Contractuals should be between 5% and 70% of charges.", " "), "Contractuals should be between 5% and 70% of charges.")</f>
        <v>#DIV/0!</v>
      </c>
      <c r="H4" s="1467"/>
      <c r="I4" s="1467"/>
      <c r="M4" s="289"/>
    </row>
    <row r="5" spans="1:13" x14ac:dyDescent="0.25">
      <c r="A5" s="95" t="s">
        <v>5</v>
      </c>
      <c r="B5" s="100" t="s">
        <v>625</v>
      </c>
      <c r="C5" s="101"/>
      <c r="D5" s="97">
        <f>Code_0841</f>
        <v>0</v>
      </c>
      <c r="F5" s="104"/>
      <c r="G5" s="1467"/>
      <c r="H5" s="1467"/>
      <c r="I5" s="1467"/>
      <c r="M5" s="289"/>
    </row>
    <row r="6" spans="1:13" ht="13" x14ac:dyDescent="0.3">
      <c r="A6" s="96"/>
      <c r="B6" s="96"/>
      <c r="C6" s="96"/>
      <c r="D6" s="96"/>
      <c r="E6" s="96"/>
      <c r="F6" s="94"/>
      <c r="M6" s="289"/>
    </row>
    <row r="7" spans="1:13" ht="12.75" customHeight="1" x14ac:dyDescent="0.25">
      <c r="A7" s="106" t="s">
        <v>6</v>
      </c>
      <c r="B7" s="93" t="s">
        <v>7</v>
      </c>
      <c r="C7" s="101"/>
      <c r="D7" s="97">
        <f>Code_0742</f>
        <v>0</v>
      </c>
      <c r="F7" s="102" t="e">
        <f>ABS(D7/D8)</f>
        <v>#DIV/0!</v>
      </c>
      <c r="G7" s="1467" t="e">
        <f>IF(F7&gt;=0.05, IF(F7&gt;0.7, "Contractuals should be between 5% and 70% of charges.", " "), "Contractuals should be between 5% and 70% of charges.")</f>
        <v>#DIV/0!</v>
      </c>
      <c r="H7" s="1467"/>
      <c r="I7" s="1467"/>
      <c r="M7" s="289" t="str">
        <f>IF(ISERROR(F4),"",IF(AND(F4&gt;=0.05,F4&lt;=0.7),"",1))</f>
        <v/>
      </c>
    </row>
    <row r="8" spans="1:13" x14ac:dyDescent="0.25">
      <c r="A8" s="106" t="s">
        <v>8</v>
      </c>
      <c r="B8" s="93" t="s">
        <v>630</v>
      </c>
      <c r="C8" s="101"/>
      <c r="D8" s="97">
        <f>Code_0842</f>
        <v>0</v>
      </c>
      <c r="F8" s="104"/>
      <c r="G8" s="1467"/>
      <c r="H8" s="1467"/>
      <c r="I8" s="1467"/>
      <c r="M8" s="289"/>
    </row>
    <row r="9" spans="1:13" x14ac:dyDescent="0.25">
      <c r="F9" s="104"/>
      <c r="G9" s="105"/>
      <c r="H9" s="105"/>
      <c r="I9" s="105"/>
      <c r="M9" s="289"/>
    </row>
    <row r="10" spans="1:13" x14ac:dyDescent="0.25">
      <c r="A10" s="106">
        <v>7263</v>
      </c>
      <c r="B10" s="376" t="s">
        <v>2222</v>
      </c>
      <c r="C10" s="101"/>
      <c r="D10" s="97">
        <f>Code_7263</f>
        <v>0</v>
      </c>
      <c r="F10" s="102" t="e">
        <f>ABS(D10/D11)</f>
        <v>#DIV/0!</v>
      </c>
      <c r="G10" s="1467" t="e">
        <f>IF(F10&gt;=0.05, IF(F10&gt;0.7, "Contractuals should be between 5% and 70% of charges.", " "), "Contractuals should be between 5% and 70% of charges.")</f>
        <v>#DIV/0!</v>
      </c>
      <c r="H10" s="1467"/>
      <c r="I10" s="1467"/>
      <c r="M10" s="289" t="str">
        <f>IF(ISERROR(F10),"",IF(AND(F10&gt;=0.05,F10&lt;=0.7),"",1))</f>
        <v/>
      </c>
    </row>
    <row r="11" spans="1:13" x14ac:dyDescent="0.25">
      <c r="A11" s="106">
        <v>7253</v>
      </c>
      <c r="B11" s="376" t="s">
        <v>2271</v>
      </c>
      <c r="C11" s="101"/>
      <c r="D11" s="97">
        <f>Code_7253</f>
        <v>0</v>
      </c>
      <c r="F11" s="104"/>
      <c r="G11" s="1467"/>
      <c r="H11" s="1467"/>
      <c r="I11" s="1467"/>
      <c r="M11" s="289"/>
    </row>
    <row r="12" spans="1:13" x14ac:dyDescent="0.25">
      <c r="A12" s="95"/>
      <c r="B12" s="376"/>
      <c r="C12" s="101"/>
      <c r="D12" s="97"/>
      <c r="F12" s="104"/>
      <c r="G12" s="103"/>
      <c r="H12" s="103"/>
      <c r="I12" s="103"/>
      <c r="M12" s="289"/>
    </row>
    <row r="13" spans="1:13" x14ac:dyDescent="0.25">
      <c r="A13" s="106">
        <v>7266</v>
      </c>
      <c r="B13" s="126" t="s">
        <v>2223</v>
      </c>
      <c r="C13" s="101"/>
      <c r="D13" s="97">
        <f>Code_7266</f>
        <v>0</v>
      </c>
      <c r="F13" s="102" t="e">
        <f>ABS(D13/D14)</f>
        <v>#DIV/0!</v>
      </c>
      <c r="G13" s="1467" t="e">
        <f>IF(F13&gt;=0.05, IF(F13&gt;0.7, "Contractuals should be between 5% and 70% of charges.", " "), "Contractuals should be between 5% and 70% of charges.")</f>
        <v>#DIV/0!</v>
      </c>
      <c r="H13" s="1467"/>
      <c r="I13" s="1467"/>
      <c r="M13" s="289"/>
    </row>
    <row r="14" spans="1:13" x14ac:dyDescent="0.25">
      <c r="A14" s="106">
        <v>7256</v>
      </c>
      <c r="B14" s="126" t="s">
        <v>2272</v>
      </c>
      <c r="C14" s="101"/>
      <c r="D14" s="97">
        <f>Code_7256</f>
        <v>0</v>
      </c>
      <c r="F14" s="104"/>
      <c r="G14" s="1467"/>
      <c r="H14" s="1467"/>
      <c r="I14" s="1467"/>
      <c r="M14" s="289"/>
    </row>
    <row r="15" spans="1:13" x14ac:dyDescent="0.25">
      <c r="A15" s="95"/>
      <c r="C15" s="101"/>
      <c r="D15" s="97"/>
      <c r="F15" s="104"/>
      <c r="G15" s="103"/>
      <c r="H15" s="103"/>
      <c r="I15" s="103"/>
      <c r="M15" s="289"/>
    </row>
    <row r="16" spans="1:13" x14ac:dyDescent="0.25">
      <c r="A16" s="106">
        <v>7269</v>
      </c>
      <c r="B16" s="126" t="s">
        <v>2273</v>
      </c>
      <c r="C16" s="101"/>
      <c r="D16" s="97">
        <f>Code_7269</f>
        <v>0</v>
      </c>
      <c r="F16" s="102" t="e">
        <f>ABS(D16/D17)</f>
        <v>#DIV/0!</v>
      </c>
      <c r="G16" s="1467" t="e">
        <f>IF(F16&gt;=0.05, IF(F16&gt;0.7, "Contractuals should be between 5% and 70% of charges.", " "), "Contractuals should be between 5% and 70% of charges.")</f>
        <v>#DIV/0!</v>
      </c>
      <c r="H16" s="1467"/>
      <c r="I16" s="1467"/>
      <c r="M16" s="289"/>
    </row>
    <row r="17" spans="1:15" x14ac:dyDescent="0.25">
      <c r="A17" s="106">
        <v>7259</v>
      </c>
      <c r="B17" s="126" t="s">
        <v>2274</v>
      </c>
      <c r="C17" s="101"/>
      <c r="D17" s="97">
        <f>Code_7259</f>
        <v>0</v>
      </c>
      <c r="F17" s="104"/>
      <c r="G17" s="1467"/>
      <c r="H17" s="1467"/>
      <c r="I17" s="1467"/>
      <c r="M17" s="289"/>
    </row>
    <row r="18" spans="1:15" x14ac:dyDescent="0.25">
      <c r="F18" s="104"/>
      <c r="G18" s="105"/>
      <c r="H18" s="105"/>
      <c r="I18" s="105"/>
      <c r="M18" s="289"/>
    </row>
    <row r="19" spans="1:15" x14ac:dyDescent="0.25">
      <c r="A19" s="106"/>
      <c r="C19" s="101"/>
      <c r="D19" s="97"/>
      <c r="G19" s="103"/>
      <c r="H19" s="103"/>
      <c r="I19" s="103"/>
      <c r="M19" s="289"/>
    </row>
    <row r="20" spans="1:15" ht="13" x14ac:dyDescent="0.3">
      <c r="G20" s="107" t="e">
        <f>CONCATENATE('2017 HAR'!D7," 2015 Average Salary")</f>
        <v>#N/A</v>
      </c>
      <c r="H20" s="104"/>
      <c r="I20" s="104"/>
      <c r="J20" s="104"/>
      <c r="M20" s="289"/>
    </row>
    <row r="21" spans="1:15" ht="13" x14ac:dyDescent="0.3">
      <c r="A21" s="1468" t="s">
        <v>1745</v>
      </c>
      <c r="B21" s="1469"/>
      <c r="C21" s="1469"/>
      <c r="D21" s="1469"/>
      <c r="E21" s="1470"/>
      <c r="F21" s="108" t="s">
        <v>1746</v>
      </c>
      <c r="G21" s="107" t="s">
        <v>3628</v>
      </c>
      <c r="H21" s="107"/>
      <c r="I21" s="104"/>
      <c r="J21" s="104"/>
      <c r="M21" s="289"/>
    </row>
    <row r="22" spans="1:15" s="109" customFormat="1" ht="13" x14ac:dyDescent="0.3">
      <c r="B22" s="96"/>
      <c r="C22" s="96"/>
      <c r="D22" s="110" t="s">
        <v>1747</v>
      </c>
      <c r="E22" s="110" t="s">
        <v>1748</v>
      </c>
      <c r="F22" s="111" t="s">
        <v>1749</v>
      </c>
      <c r="G22" s="112" t="s">
        <v>3629</v>
      </c>
      <c r="H22" s="112" t="s">
        <v>1750</v>
      </c>
      <c r="I22" s="99"/>
      <c r="J22" s="99"/>
      <c r="M22" s="290"/>
    </row>
    <row r="23" spans="1:15" ht="13" x14ac:dyDescent="0.3">
      <c r="A23" s="101">
        <v>2021</v>
      </c>
      <c r="B23" s="93" t="s">
        <v>347</v>
      </c>
      <c r="C23" s="101"/>
      <c r="D23" s="97">
        <f>Code_2021</f>
        <v>0</v>
      </c>
      <c r="E23" s="113">
        <f>Code_2031</f>
        <v>0</v>
      </c>
      <c r="F23" s="97" t="e">
        <f t="shared" ref="F23:F37" si="0">D23/E23</f>
        <v>#DIV/0!</v>
      </c>
      <c r="G23" s="114" t="e">
        <f>VLOOKUP('2017 HAR'!$D$5,Hospital_Data,11,FALSE)/VLOOKUP('2017 HAR'!$D$5,Hospital_Data,12,FALSE)</f>
        <v>#N/A</v>
      </c>
      <c r="H23" s="115" t="e">
        <f t="shared" ref="H23:H37" si="1">(F23-G23)/G23</f>
        <v>#DIV/0!</v>
      </c>
      <c r="I23" s="1475" t="e">
        <f>CONCATENATE("Average Salaries are the FY 2015 ",'2017 HAR'!D7," Average Salaries as reported on the 2015 HAR.")</f>
        <v>#N/A</v>
      </c>
      <c r="J23" s="1476"/>
      <c r="L23" s="116"/>
      <c r="M23" s="289" t="str">
        <f t="shared" ref="M23:M37" si="2">IF(ISERROR(H23),"",IF(ABS(F23)&lt;0.15,"",1))</f>
        <v/>
      </c>
      <c r="N23" s="117"/>
      <c r="O23" s="117"/>
    </row>
    <row r="24" spans="1:15" ht="13" x14ac:dyDescent="0.3">
      <c r="A24" s="101">
        <v>2022</v>
      </c>
      <c r="B24" s="93" t="s">
        <v>348</v>
      </c>
      <c r="C24" s="101"/>
      <c r="D24" s="97">
        <f>Code_2022</f>
        <v>0</v>
      </c>
      <c r="E24" s="113">
        <f>Code_2032</f>
        <v>0</v>
      </c>
      <c r="F24" s="97" t="e">
        <f t="shared" si="0"/>
        <v>#DIV/0!</v>
      </c>
      <c r="G24" s="114" t="e">
        <f>VLOOKUP('2017 HAR'!$D$5,Hospital_Data,13,FALSE)/VLOOKUP('2017 HAR'!$D$5,Hospital_Data,14,FALSE)</f>
        <v>#N/A</v>
      </c>
      <c r="H24" s="115" t="e">
        <f t="shared" si="1"/>
        <v>#DIV/0!</v>
      </c>
      <c r="I24" s="1477"/>
      <c r="J24" s="1478"/>
      <c r="L24" s="116"/>
      <c r="M24" s="289" t="str">
        <f t="shared" si="2"/>
        <v/>
      </c>
      <c r="N24" s="117"/>
      <c r="O24" s="117"/>
    </row>
    <row r="25" spans="1:15" ht="13" x14ac:dyDescent="0.3">
      <c r="A25" s="101">
        <v>2121</v>
      </c>
      <c r="B25" s="93" t="s">
        <v>349</v>
      </c>
      <c r="C25" s="101"/>
      <c r="D25" s="97">
        <f>Code_2121</f>
        <v>0</v>
      </c>
      <c r="E25" s="113">
        <f>Code_2131</f>
        <v>0</v>
      </c>
      <c r="F25" s="97" t="e">
        <f t="shared" si="0"/>
        <v>#DIV/0!</v>
      </c>
      <c r="G25" s="114" t="e">
        <f>VLOOKUP('2017 HAR'!$D$5,Hospital_Data,15,FALSE)/VLOOKUP('2017 HAR'!$D$5,Hospital_Data,16,FALSE)</f>
        <v>#N/A</v>
      </c>
      <c r="H25" s="115" t="e">
        <f t="shared" si="1"/>
        <v>#DIV/0!</v>
      </c>
      <c r="I25" s="1477"/>
      <c r="J25" s="1478"/>
      <c r="L25" s="116"/>
      <c r="M25" s="289" t="str">
        <f t="shared" si="2"/>
        <v/>
      </c>
      <c r="N25" s="117"/>
      <c r="O25" s="117"/>
    </row>
    <row r="26" spans="1:15" ht="13" x14ac:dyDescent="0.3">
      <c r="A26" s="101">
        <v>2026</v>
      </c>
      <c r="B26" s="93" t="s">
        <v>1751</v>
      </c>
      <c r="C26" s="101"/>
      <c r="D26" s="97">
        <f>Code_2026</f>
        <v>0</v>
      </c>
      <c r="E26" s="113">
        <f>Code_2036</f>
        <v>0</v>
      </c>
      <c r="F26" s="97" t="e">
        <f t="shared" si="0"/>
        <v>#DIV/0!</v>
      </c>
      <c r="G26" s="114" t="e">
        <f>VLOOKUP('2017 HAR'!$D$5,Hospital_Data,17,FALSE)/VLOOKUP('2017 HAR'!$D$5,Hospital_Data,18,FALSE)</f>
        <v>#N/A</v>
      </c>
      <c r="H26" s="115" t="e">
        <f t="shared" si="1"/>
        <v>#DIV/0!</v>
      </c>
      <c r="I26" s="1477"/>
      <c r="J26" s="1478"/>
      <c r="L26" s="116"/>
      <c r="M26" s="289" t="str">
        <f t="shared" si="2"/>
        <v/>
      </c>
      <c r="N26" s="117"/>
      <c r="O26" s="117"/>
    </row>
    <row r="27" spans="1:15" ht="13" x14ac:dyDescent="0.3">
      <c r="A27" s="101">
        <v>2023</v>
      </c>
      <c r="B27" s="93" t="s">
        <v>351</v>
      </c>
      <c r="C27" s="101"/>
      <c r="D27" s="97">
        <f>Code_2023</f>
        <v>0</v>
      </c>
      <c r="E27" s="113">
        <f>Code_2033</f>
        <v>0</v>
      </c>
      <c r="F27" s="97" t="e">
        <f t="shared" si="0"/>
        <v>#DIV/0!</v>
      </c>
      <c r="G27" s="114" t="e">
        <f>VLOOKUP('2017 HAR'!$D$5,Hospital_Data,19,FALSE)/VLOOKUP('2017 HAR'!$D$5,Hospital_Data,20,FALSE)</f>
        <v>#N/A</v>
      </c>
      <c r="H27" s="115" t="e">
        <f t="shared" si="1"/>
        <v>#DIV/0!</v>
      </c>
      <c r="I27" s="1477"/>
      <c r="J27" s="1478"/>
      <c r="L27" s="116"/>
      <c r="M27" s="289" t="str">
        <f t="shared" si="2"/>
        <v/>
      </c>
      <c r="N27" s="117"/>
      <c r="O27" s="117"/>
    </row>
    <row r="28" spans="1:15" ht="13" x14ac:dyDescent="0.3">
      <c r="A28" s="101">
        <v>2027</v>
      </c>
      <c r="B28" s="93" t="s">
        <v>352</v>
      </c>
      <c r="C28" s="101"/>
      <c r="D28" s="97">
        <f>Code_2027</f>
        <v>0</v>
      </c>
      <c r="E28" s="113">
        <f>Code_2037</f>
        <v>0</v>
      </c>
      <c r="F28" s="97" t="e">
        <f t="shared" si="0"/>
        <v>#DIV/0!</v>
      </c>
      <c r="G28" s="114" t="e">
        <f>VLOOKUP('2017 HAR'!$D$5,Hospital_Data,21,FALSE)/VLOOKUP('2017 HAR'!$D$5,Hospital_Data,22,FALSE)</f>
        <v>#N/A</v>
      </c>
      <c r="H28" s="115" t="e">
        <f t="shared" si="1"/>
        <v>#DIV/0!</v>
      </c>
      <c r="I28" s="1477"/>
      <c r="J28" s="1478"/>
      <c r="L28" s="116"/>
      <c r="M28" s="289" t="str">
        <f t="shared" si="2"/>
        <v/>
      </c>
      <c r="N28" s="117"/>
      <c r="O28" s="117"/>
    </row>
    <row r="29" spans="1:15" ht="13" x14ac:dyDescent="0.3">
      <c r="A29" s="101">
        <v>2024</v>
      </c>
      <c r="B29" s="93" t="s">
        <v>353</v>
      </c>
      <c r="C29" s="101"/>
      <c r="D29" s="97">
        <f>Code_2024</f>
        <v>0</v>
      </c>
      <c r="E29" s="113">
        <f>Code_2034</f>
        <v>0</v>
      </c>
      <c r="F29" s="97" t="e">
        <f t="shared" si="0"/>
        <v>#DIV/0!</v>
      </c>
      <c r="G29" s="114" t="e">
        <f>VLOOKUP('2017 HAR'!$D$5,Hospital_Data,23,FALSE)/VLOOKUP('2017 HAR'!$D$5,Hospital_Data,24,FALSE)</f>
        <v>#N/A</v>
      </c>
      <c r="H29" s="115" t="e">
        <f t="shared" si="1"/>
        <v>#DIV/0!</v>
      </c>
      <c r="I29" s="1477"/>
      <c r="J29" s="1478"/>
      <c r="L29" s="116"/>
      <c r="M29" s="289" t="str">
        <f t="shared" si="2"/>
        <v/>
      </c>
      <c r="N29" s="117"/>
      <c r="O29" s="117"/>
    </row>
    <row r="30" spans="1:15" ht="13" x14ac:dyDescent="0.3">
      <c r="A30" s="101">
        <v>2028</v>
      </c>
      <c r="B30" s="93" t="s">
        <v>354</v>
      </c>
      <c r="C30" s="101"/>
      <c r="D30" s="97">
        <f>Code_2028</f>
        <v>0</v>
      </c>
      <c r="E30" s="113">
        <f>Code_2038</f>
        <v>0</v>
      </c>
      <c r="F30" s="97" t="e">
        <f t="shared" si="0"/>
        <v>#DIV/0!</v>
      </c>
      <c r="G30" s="114" t="e">
        <f>VLOOKUP('2017 HAR'!$D$5,Hospital_Data,25,FALSE)/VLOOKUP('2017 HAR'!$D$5,Hospital_Data,26,FALSE)</f>
        <v>#N/A</v>
      </c>
      <c r="H30" s="115" t="e">
        <f t="shared" si="1"/>
        <v>#DIV/0!</v>
      </c>
      <c r="I30" s="1477"/>
      <c r="J30" s="1478"/>
      <c r="L30" s="116"/>
      <c r="M30" s="289" t="str">
        <f t="shared" si="2"/>
        <v/>
      </c>
      <c r="N30" s="117"/>
      <c r="O30" s="117"/>
    </row>
    <row r="31" spans="1:15" ht="13" x14ac:dyDescent="0.3">
      <c r="A31" s="101">
        <v>2122</v>
      </c>
      <c r="B31" s="93" t="s">
        <v>355</v>
      </c>
      <c r="C31" s="101"/>
      <c r="D31" s="97">
        <f>Code_2122</f>
        <v>0</v>
      </c>
      <c r="E31" s="113">
        <f>Code_2132</f>
        <v>0</v>
      </c>
      <c r="F31" s="97" t="e">
        <f t="shared" si="0"/>
        <v>#DIV/0!</v>
      </c>
      <c r="G31" s="114" t="e">
        <f>VLOOKUP('2017 HAR'!$D$5,Hospital_Data,27,FALSE)/VLOOKUP('2017 HAR'!$D$5,Hospital_Data,28,FALSE)</f>
        <v>#N/A</v>
      </c>
      <c r="H31" s="115" t="e">
        <f t="shared" si="1"/>
        <v>#DIV/0!</v>
      </c>
      <c r="I31" s="1477"/>
      <c r="J31" s="1478"/>
      <c r="L31" s="116"/>
      <c r="M31" s="289" t="str">
        <f t="shared" si="2"/>
        <v/>
      </c>
      <c r="N31" s="117"/>
      <c r="O31" s="117"/>
    </row>
    <row r="32" spans="1:15" ht="13" x14ac:dyDescent="0.3">
      <c r="A32" s="101">
        <v>2123</v>
      </c>
      <c r="B32" s="93" t="s">
        <v>356</v>
      </c>
      <c r="C32" s="101"/>
      <c r="D32" s="97">
        <f>Code_2123</f>
        <v>0</v>
      </c>
      <c r="E32" s="113">
        <f>Code_2133</f>
        <v>0</v>
      </c>
      <c r="F32" s="97" t="e">
        <f t="shared" si="0"/>
        <v>#DIV/0!</v>
      </c>
      <c r="G32" s="114" t="e">
        <f>VLOOKUP('2017 HAR'!$D$5,Hospital_Data,29,FALSE)/VLOOKUP('2017 HAR'!$D$5,Hospital_Data,30,FALSE)</f>
        <v>#N/A</v>
      </c>
      <c r="H32" s="115" t="e">
        <f t="shared" si="1"/>
        <v>#DIV/0!</v>
      </c>
      <c r="I32" s="1477"/>
      <c r="J32" s="1478"/>
      <c r="L32" s="116"/>
      <c r="M32" s="289" t="str">
        <f t="shared" si="2"/>
        <v/>
      </c>
      <c r="N32" s="117"/>
      <c r="O32" s="117"/>
    </row>
    <row r="33" spans="1:15" ht="13" x14ac:dyDescent="0.3">
      <c r="A33" s="101">
        <v>2178</v>
      </c>
      <c r="B33" s="126" t="s">
        <v>2233</v>
      </c>
      <c r="C33" s="101"/>
      <c r="D33" s="97">
        <f>Code_2178</f>
        <v>0</v>
      </c>
      <c r="E33" s="113">
        <f>Code_2188</f>
        <v>0</v>
      </c>
      <c r="F33" s="97" t="e">
        <f t="shared" si="0"/>
        <v>#DIV/0!</v>
      </c>
      <c r="G33" s="114" t="e">
        <f>VLOOKUP('2017 HAR'!$D$5,Hospital_Data,31,FALSE)/VLOOKUP('2017 HAR'!$D$5,Hospital_Data,32,FALSE)</f>
        <v>#N/A</v>
      </c>
      <c r="H33" s="115" t="e">
        <f t="shared" si="1"/>
        <v>#DIV/0!</v>
      </c>
      <c r="I33" s="1477"/>
      <c r="J33" s="1478"/>
      <c r="L33" s="116"/>
      <c r="M33" s="289" t="str">
        <f t="shared" si="2"/>
        <v/>
      </c>
      <c r="N33" s="117"/>
      <c r="O33" s="117"/>
    </row>
    <row r="34" spans="1:15" ht="13" x14ac:dyDescent="0.3">
      <c r="A34" s="101">
        <v>2125</v>
      </c>
      <c r="B34" s="93" t="s">
        <v>357</v>
      </c>
      <c r="C34" s="101"/>
      <c r="D34" s="97">
        <f>Code_2125</f>
        <v>0</v>
      </c>
      <c r="E34" s="113">
        <f>Code_2135</f>
        <v>0</v>
      </c>
      <c r="F34" s="97" t="e">
        <f t="shared" si="0"/>
        <v>#DIV/0!</v>
      </c>
      <c r="G34" s="114" t="e">
        <f>VLOOKUP('2017 HAR'!$D$5,Hospital_Data,33,FALSE)/VLOOKUP('2017 HAR'!$D$5,Hospital_Data,34,FALSE)</f>
        <v>#N/A</v>
      </c>
      <c r="H34" s="115" t="e">
        <f t="shared" si="1"/>
        <v>#DIV/0!</v>
      </c>
      <c r="I34" s="1477"/>
      <c r="J34" s="1478"/>
      <c r="L34" s="116"/>
      <c r="M34" s="289" t="str">
        <f t="shared" si="2"/>
        <v/>
      </c>
      <c r="N34" s="117"/>
      <c r="O34" s="117"/>
    </row>
    <row r="35" spans="1:15" ht="13" x14ac:dyDescent="0.3">
      <c r="A35" s="101">
        <v>2104</v>
      </c>
      <c r="B35" s="93" t="s">
        <v>2983</v>
      </c>
      <c r="C35" s="101"/>
      <c r="D35" s="97">
        <f>Code_2104</f>
        <v>0</v>
      </c>
      <c r="E35" s="113">
        <f>Code_2114</f>
        <v>0</v>
      </c>
      <c r="F35" s="97" t="e">
        <f t="shared" ref="F35" si="3">D35/E35</f>
        <v>#DIV/0!</v>
      </c>
      <c r="G35" s="114" t="e">
        <f>VLOOKUP('2017 HAR'!$D$5,Hospital_Data,33,FALSE)/VLOOKUP('2017 HAR'!$D$5,Hospital_Data,34,FALSE)</f>
        <v>#N/A</v>
      </c>
      <c r="H35" s="115" t="e">
        <f t="shared" ref="H35" si="4">(F35-G35)/G35</f>
        <v>#DIV/0!</v>
      </c>
      <c r="I35" s="1477"/>
      <c r="J35" s="1478"/>
      <c r="L35" s="116"/>
      <c r="M35" s="289"/>
      <c r="N35" s="117"/>
      <c r="O35" s="117"/>
    </row>
    <row r="36" spans="1:15" ht="13" x14ac:dyDescent="0.3">
      <c r="A36" s="101">
        <v>2128</v>
      </c>
      <c r="B36" s="93" t="s">
        <v>359</v>
      </c>
      <c r="D36" s="97">
        <f>Code_2128</f>
        <v>0</v>
      </c>
      <c r="E36" s="113">
        <f>Code_2138</f>
        <v>0</v>
      </c>
      <c r="F36" s="97" t="e">
        <f t="shared" si="0"/>
        <v>#DIV/0!</v>
      </c>
      <c r="G36" s="114" t="e">
        <f>VLOOKUP('2017 HAR'!$D$5,Hospital_Data,35,FALSE)/VLOOKUP('2017 HAR'!$D$5,Hospital_Data,36,FALSE)</f>
        <v>#N/A</v>
      </c>
      <c r="H36" s="115" t="e">
        <f t="shared" si="1"/>
        <v>#DIV/0!</v>
      </c>
      <c r="I36" s="1477"/>
      <c r="J36" s="1478"/>
      <c r="L36" s="116"/>
      <c r="M36" s="289" t="str">
        <f t="shared" si="2"/>
        <v/>
      </c>
      <c r="N36" s="117"/>
      <c r="O36" s="117"/>
    </row>
    <row r="37" spans="1:15" ht="13" x14ac:dyDescent="0.3">
      <c r="A37" s="101">
        <v>2030</v>
      </c>
      <c r="B37" s="93" t="s">
        <v>1752</v>
      </c>
      <c r="D37" s="97">
        <f>Code_2030</f>
        <v>0</v>
      </c>
      <c r="E37" s="113">
        <f>Code_2040</f>
        <v>0</v>
      </c>
      <c r="F37" s="97" t="e">
        <f t="shared" si="0"/>
        <v>#DIV/0!</v>
      </c>
      <c r="G37" s="114" t="e">
        <f>VLOOKUP('2017 HAR'!$D$5,Hospital_Data,37,FALSE)/VLOOKUP('2017 HAR'!$D$5,Hospital_Data,38,FALSE)</f>
        <v>#N/A</v>
      </c>
      <c r="H37" s="115" t="e">
        <f t="shared" si="1"/>
        <v>#DIV/0!</v>
      </c>
      <c r="I37" s="1479"/>
      <c r="J37" s="1480"/>
      <c r="L37" s="116"/>
      <c r="M37" s="289" t="str">
        <f t="shared" si="2"/>
        <v/>
      </c>
      <c r="N37" s="117"/>
      <c r="O37" s="117"/>
    </row>
    <row r="38" spans="1:15" x14ac:dyDescent="0.25">
      <c r="A38" s="101"/>
      <c r="D38" s="97"/>
      <c r="E38" s="113"/>
      <c r="F38" s="97"/>
      <c r="G38" s="97"/>
      <c r="H38" s="97"/>
      <c r="M38" s="289"/>
    </row>
    <row r="39" spans="1:15" x14ac:dyDescent="0.25">
      <c r="M39" s="289"/>
    </row>
    <row r="40" spans="1:15" ht="13" x14ac:dyDescent="0.3">
      <c r="A40" s="1468" t="s">
        <v>1753</v>
      </c>
      <c r="B40" s="1469"/>
      <c r="C40" s="1469"/>
      <c r="D40" s="1469"/>
      <c r="E40" s="1470"/>
      <c r="M40" s="289"/>
    </row>
    <row r="41" spans="1:15" ht="13" x14ac:dyDescent="0.3">
      <c r="A41" s="95" t="s">
        <v>1754</v>
      </c>
      <c r="B41" s="93" t="s">
        <v>1755</v>
      </c>
      <c r="C41" s="101"/>
      <c r="D41" s="118">
        <f>Code_0630</f>
        <v>0</v>
      </c>
      <c r="F41" s="119" t="e">
        <f>D41/D42</f>
        <v>#DIV/0!</v>
      </c>
      <c r="G41" s="1467" t="e">
        <f>IF(F41&gt;=0.05, IF(F41&gt;0.2, "Admin Exp are generally between 5% and 20% of Operating Exp.", " "), "Admin Exp are generally between 5% and 20% of Operating Exp.")</f>
        <v>#DIV/0!</v>
      </c>
      <c r="H41" s="1467"/>
      <c r="I41" s="1467"/>
      <c r="M41" s="289" t="str">
        <f>IF(ISERROR(F41),"",IF(AND(F41&gt;=0.05,F41&lt;=0.2),"",1))</f>
        <v/>
      </c>
    </row>
    <row r="42" spans="1:15" x14ac:dyDescent="0.25">
      <c r="A42" s="95" t="s">
        <v>1756</v>
      </c>
      <c r="B42" s="93" t="s">
        <v>1757</v>
      </c>
      <c r="C42" s="101"/>
      <c r="D42" s="118">
        <f>Code_0600</f>
        <v>0</v>
      </c>
      <c r="E42" s="97"/>
      <c r="F42" s="120"/>
      <c r="G42" s="1467"/>
      <c r="H42" s="1467"/>
      <c r="I42" s="1467"/>
      <c r="M42" s="289"/>
    </row>
    <row r="43" spans="1:15" x14ac:dyDescent="0.25">
      <c r="G43" s="1467"/>
      <c r="H43" s="1467"/>
      <c r="I43" s="1467"/>
      <c r="M43" s="289"/>
    </row>
    <row r="44" spans="1:15" x14ac:dyDescent="0.25">
      <c r="G44" s="121"/>
      <c r="H44" s="121"/>
      <c r="I44" s="121"/>
      <c r="M44" s="289"/>
    </row>
    <row r="45" spans="1:15" ht="13" x14ac:dyDescent="0.3">
      <c r="G45" s="107" t="e">
        <f>CONCATENATE('2017 HAR'!D7," 2015 Average Registration Charges")</f>
        <v>#N/A</v>
      </c>
      <c r="H45" s="104"/>
      <c r="I45" s="104"/>
      <c r="J45" s="104"/>
      <c r="M45" s="289"/>
    </row>
    <row r="46" spans="1:15" ht="13" x14ac:dyDescent="0.3">
      <c r="A46" s="1468" t="s">
        <v>1758</v>
      </c>
      <c r="B46" s="1469"/>
      <c r="C46" s="1469"/>
      <c r="D46" s="1469"/>
      <c r="E46" s="1470"/>
      <c r="F46" s="94" t="s">
        <v>1746</v>
      </c>
      <c r="G46" s="107" t="s">
        <v>3628</v>
      </c>
      <c r="H46" s="107"/>
      <c r="I46" s="104"/>
      <c r="J46" s="104"/>
      <c r="M46" s="289"/>
    </row>
    <row r="47" spans="1:15" ht="13" x14ac:dyDescent="0.3">
      <c r="A47" s="96"/>
      <c r="B47" s="96"/>
      <c r="C47" s="96"/>
      <c r="D47" s="96"/>
      <c r="E47" s="96"/>
      <c r="F47" s="94" t="s">
        <v>1759</v>
      </c>
      <c r="G47" s="122" t="s">
        <v>3630</v>
      </c>
      <c r="H47" s="122" t="s">
        <v>1750</v>
      </c>
      <c r="I47" s="104"/>
      <c r="J47" s="104"/>
      <c r="M47" s="289"/>
    </row>
    <row r="48" spans="1:15" ht="13" x14ac:dyDescent="0.3">
      <c r="A48" s="106" t="s">
        <v>1760</v>
      </c>
      <c r="B48" s="104" t="s">
        <v>1761</v>
      </c>
      <c r="D48" s="97">
        <f>Code_0871+Code_0876</f>
        <v>0</v>
      </c>
      <c r="F48" s="123" t="e">
        <f>D48/D49</f>
        <v>#DIV/0!</v>
      </c>
      <c r="G48" s="114" t="e">
        <f>((VLOOKUP('2017 HAR'!$D$5,Hospital_Data,2,FALSE))+(VLOOKUP('2017 HAR'!$D$5,Hospital_Data,5,FALSE)))/VLOOKUP('2017 HAR'!$D$5,Hospital_Data,7,FALSE)</f>
        <v>#N/A</v>
      </c>
      <c r="H48" s="115" t="e">
        <f>(F48-G48)/G48</f>
        <v>#DIV/0!</v>
      </c>
      <c r="I48" s="1475" t="e">
        <f>CONCATENATE("Average Outpatient Charges are the FY 2015 ",'2017 HAR'!D7," Average Outpatient Charges as reported on the 2015 HAR.")</f>
        <v>#N/A</v>
      </c>
      <c r="J48" s="1476"/>
      <c r="L48" s="116"/>
      <c r="M48" s="289" t="str">
        <f>IF(ISERROR(H48),"",IF(ABS(F48)&lt;0.25,"",1))</f>
        <v/>
      </c>
      <c r="N48" s="117"/>
      <c r="O48" s="117"/>
    </row>
    <row r="49" spans="1:15" ht="13" x14ac:dyDescent="0.3">
      <c r="A49" s="101">
        <v>4502</v>
      </c>
      <c r="B49" s="104" t="s">
        <v>1762</v>
      </c>
      <c r="D49" s="124">
        <f>Code_4502</f>
        <v>0</v>
      </c>
      <c r="G49" s="114"/>
      <c r="H49" s="125"/>
      <c r="I49" s="1477"/>
      <c r="J49" s="1478"/>
      <c r="L49" s="116"/>
      <c r="M49" s="291"/>
      <c r="N49" s="117"/>
      <c r="O49" s="117"/>
    </row>
    <row r="50" spans="1:15" ht="13" x14ac:dyDescent="0.3">
      <c r="B50" s="104"/>
      <c r="G50" s="114"/>
      <c r="H50" s="125"/>
      <c r="I50" s="1477"/>
      <c r="J50" s="1478"/>
      <c r="L50" s="116"/>
      <c r="M50" s="291"/>
      <c r="N50" s="117"/>
      <c r="O50" s="117"/>
    </row>
    <row r="51" spans="1:15" ht="13" x14ac:dyDescent="0.3">
      <c r="A51" s="106" t="s">
        <v>1763</v>
      </c>
      <c r="B51" s="104" t="s">
        <v>1681</v>
      </c>
      <c r="D51" s="97">
        <f>Code_0872</f>
        <v>0</v>
      </c>
      <c r="F51" s="123" t="e">
        <f>D51/D52</f>
        <v>#DIV/0!</v>
      </c>
      <c r="G51" s="114" t="e">
        <f>VLOOKUP('2017 HAR'!$D$5,Hospital_Data,3,FALSE)/VLOOKUP('2017 HAR'!$D$5,Hospital_Data,8,FALSE)</f>
        <v>#N/A</v>
      </c>
      <c r="H51" s="115" t="e">
        <f>(F51-G51)/G51</f>
        <v>#DIV/0!</v>
      </c>
      <c r="I51" s="1477"/>
      <c r="J51" s="1478"/>
      <c r="L51" s="116"/>
      <c r="M51" s="289" t="str">
        <f>IF(ISERROR(H51),"",IF(ABS(F51)&lt;0.25,"",1))</f>
        <v/>
      </c>
      <c r="N51" s="117"/>
      <c r="O51" s="117"/>
    </row>
    <row r="52" spans="1:15" x14ac:dyDescent="0.25">
      <c r="A52" s="101">
        <v>4503</v>
      </c>
      <c r="B52" s="104" t="s">
        <v>1682</v>
      </c>
      <c r="D52" s="124">
        <f>Code_4503</f>
        <v>0</v>
      </c>
      <c r="F52" s="126"/>
      <c r="G52" s="114"/>
      <c r="H52" s="127"/>
      <c r="I52" s="1477"/>
      <c r="J52" s="1478"/>
      <c r="M52" s="289"/>
    </row>
    <row r="53" spans="1:15" x14ac:dyDescent="0.25">
      <c r="B53" s="104"/>
      <c r="F53" s="126"/>
      <c r="G53" s="114"/>
      <c r="H53" s="127"/>
      <c r="I53" s="1477"/>
      <c r="J53" s="1478"/>
      <c r="M53" s="289"/>
    </row>
    <row r="54" spans="1:15" x14ac:dyDescent="0.25">
      <c r="A54" s="106" t="s">
        <v>1683</v>
      </c>
      <c r="B54" s="104" t="s">
        <v>1655</v>
      </c>
      <c r="D54" s="97">
        <f>Code_0873</f>
        <v>0</v>
      </c>
      <c r="F54" s="123" t="e">
        <f>D54/D55</f>
        <v>#DIV/0!</v>
      </c>
      <c r="G54" s="114" t="e">
        <f>VLOOKUP('2017 HAR'!$D$5,Hospital_Data,4,FALSE)/VLOOKUP('2017 HAR'!$D$5,Hospital_Data,9,FALSE)</f>
        <v>#N/A</v>
      </c>
      <c r="H54" s="115" t="e">
        <f>(F54-G54)/G54</f>
        <v>#DIV/0!</v>
      </c>
      <c r="I54" s="1477"/>
      <c r="J54" s="1478"/>
      <c r="M54" s="289" t="str">
        <f>IF(ISERROR(H54),"",IF(ABS(F54)&lt;0.25,"",1))</f>
        <v/>
      </c>
    </row>
    <row r="55" spans="1:15" x14ac:dyDescent="0.25">
      <c r="A55" s="101">
        <v>4505</v>
      </c>
      <c r="B55" s="104" t="s">
        <v>1684</v>
      </c>
      <c r="D55" s="124">
        <f>Code_4505</f>
        <v>0</v>
      </c>
      <c r="F55" s="126"/>
      <c r="G55" s="114"/>
      <c r="H55" s="127"/>
      <c r="I55" s="1477"/>
      <c r="J55" s="1478"/>
      <c r="M55" s="289"/>
    </row>
    <row r="56" spans="1:15" x14ac:dyDescent="0.25">
      <c r="B56" s="104"/>
      <c r="F56" s="126"/>
      <c r="G56" s="128"/>
      <c r="H56" s="127"/>
      <c r="I56" s="1477"/>
      <c r="J56" s="1478"/>
      <c r="M56" s="289"/>
    </row>
    <row r="57" spans="1:15" x14ac:dyDescent="0.25">
      <c r="A57" s="106" t="s">
        <v>1685</v>
      </c>
      <c r="B57" s="104" t="s">
        <v>1686</v>
      </c>
      <c r="D57" s="97">
        <f>Code_0880</f>
        <v>0</v>
      </c>
      <c r="F57" s="123" t="e">
        <f>D57/D58</f>
        <v>#DIV/0!</v>
      </c>
      <c r="G57" s="114" t="e">
        <f>VLOOKUP('2017 HAR'!$D$5,Hospital_Data,6,FALSE)/VLOOKUP('2017 HAR'!$D$5,Hospital_Data,10,FALSE)</f>
        <v>#N/A</v>
      </c>
      <c r="H57" s="115" t="e">
        <f>(F57-G57)/G57</f>
        <v>#DIV/0!</v>
      </c>
      <c r="I57" s="1479"/>
      <c r="J57" s="1480"/>
      <c r="M57" s="289" t="str">
        <f>IF(ISERROR(H57),"",IF(ABS(F57)&lt;0.25,"",1))</f>
        <v/>
      </c>
    </row>
    <row r="58" spans="1:15" x14ac:dyDescent="0.25">
      <c r="A58" s="101">
        <v>4501</v>
      </c>
      <c r="B58" s="104" t="s">
        <v>1687</v>
      </c>
      <c r="D58" s="124">
        <f>Code_4501</f>
        <v>0</v>
      </c>
    </row>
    <row r="61" spans="1:15" ht="13" x14ac:dyDescent="0.3">
      <c r="A61" s="1468" t="s">
        <v>1664</v>
      </c>
      <c r="B61" s="1469"/>
      <c r="C61" s="1469"/>
      <c r="D61" s="1469"/>
      <c r="E61" s="1470"/>
      <c r="F61" s="94" t="s">
        <v>678</v>
      </c>
    </row>
    <row r="63" spans="1:15" x14ac:dyDescent="0.25">
      <c r="A63" s="106">
        <v>7596</v>
      </c>
      <c r="B63" s="292" t="s">
        <v>1665</v>
      </c>
      <c r="D63" s="97">
        <f>Code_7596</f>
        <v>0</v>
      </c>
      <c r="F63" s="123">
        <f>D63-D64</f>
        <v>0</v>
      </c>
    </row>
    <row r="64" spans="1:15" x14ac:dyDescent="0.25">
      <c r="A64"/>
      <c r="B64" s="101" t="s">
        <v>1666</v>
      </c>
      <c r="D64" s="97">
        <f>SUM('Capital Expend Project Specific'!E11,'Capital Expend Project Specific'!E54,'Capital Expend Project Specific'!E97,'Capital Expend Project Specific'!E140,'Capital Expend Project Specific'!E183,'Capital Expend Project Specific'!E226,'Capital Expend Project Specific'!E269,'Capital Expend Project Specific'!E312,'Capital Expend Project Specific'!E355,'Capital Expend Project Specific'!E398)</f>
        <v>0</v>
      </c>
    </row>
    <row r="66" spans="1:6" x14ac:dyDescent="0.25">
      <c r="A66" s="106">
        <v>7595</v>
      </c>
      <c r="B66" s="292" t="s">
        <v>1619</v>
      </c>
      <c r="D66" s="319">
        <f>Code_7595</f>
        <v>0</v>
      </c>
      <c r="F66" s="317">
        <f>D66-D67</f>
        <v>0</v>
      </c>
    </row>
    <row r="67" spans="1:6" x14ac:dyDescent="0.25">
      <c r="A67"/>
      <c r="B67" s="316" t="s">
        <v>1618</v>
      </c>
      <c r="D67" s="319">
        <f>'Capital Expend Project Specific'!K1</f>
        <v>0</v>
      </c>
      <c r="F67" s="318"/>
    </row>
    <row r="69" spans="1:6" x14ac:dyDescent="0.25">
      <c r="A69" s="1481" t="str">
        <f>IF(SUM('Capital Expend Project Specific'!Z7:Z663)&gt;0,"Fatal Error! There is required information missing from the Capital Expend Project Specific Tab that must be completed! Please review that tab and fill in the information wherever there is a red note next to the cell.","")</f>
        <v/>
      </c>
      <c r="B69" s="1481"/>
      <c r="C69" s="1481"/>
      <c r="D69" s="1481"/>
      <c r="E69" s="1481"/>
      <c r="F69" s="289">
        <f>SUM('Capital Expend Project Specific'!Z7:Z663)</f>
        <v>0</v>
      </c>
    </row>
    <row r="70" spans="1:6" x14ac:dyDescent="0.25">
      <c r="A70" s="1481"/>
      <c r="B70" s="1481"/>
      <c r="C70" s="1481"/>
      <c r="D70" s="1481"/>
      <c r="E70" s="1481"/>
    </row>
    <row r="71" spans="1:6" x14ac:dyDescent="0.25">
      <c r="A71" s="1482"/>
      <c r="B71" s="1482"/>
      <c r="C71" s="1482"/>
      <c r="D71" s="1482"/>
      <c r="E71" s="1482"/>
    </row>
    <row r="72" spans="1:6" x14ac:dyDescent="0.25">
      <c r="A72" s="1481" t="str">
        <f>IF(F63&lt;&gt;0,"Fatal Error! The Total Major Capital Expenditure Commitments does not equal the total cost of pojects on the Capital Expend Project Specific Tab. Please review that tab and make the appropiate changes. ","")</f>
        <v/>
      </c>
      <c r="B72" s="1481"/>
      <c r="C72" s="1481"/>
      <c r="D72" s="1481"/>
      <c r="E72" s="1481"/>
    </row>
    <row r="73" spans="1:6" x14ac:dyDescent="0.25">
      <c r="A73" s="1481"/>
      <c r="B73" s="1481"/>
      <c r="C73" s="1481"/>
      <c r="D73" s="1481"/>
      <c r="E73" s="1481"/>
    </row>
    <row r="74" spans="1:6" x14ac:dyDescent="0.25">
      <c r="A74" s="1482"/>
      <c r="B74" s="1482"/>
      <c r="C74" s="1482"/>
      <c r="D74" s="1482"/>
      <c r="E74" s="1482"/>
    </row>
    <row r="75" spans="1:6" x14ac:dyDescent="0.25">
      <c r="A75" s="1481" t="str">
        <f>IF(F66&lt;&gt;0,"Fatal Error! The number of capital expenditure projects in 7595 is different than the total number of projects reported on the Capital Expend Project Specific Tab. Please review that tab and make the apporpaite changes.","")</f>
        <v/>
      </c>
      <c r="B75" s="1481"/>
      <c r="C75" s="1481"/>
      <c r="D75" s="1481"/>
      <c r="E75" s="1481"/>
    </row>
    <row r="76" spans="1:6" x14ac:dyDescent="0.25">
      <c r="A76" s="1481"/>
      <c r="B76" s="1481"/>
      <c r="C76" s="1481"/>
      <c r="D76" s="1481"/>
      <c r="E76" s="1481"/>
    </row>
    <row r="77" spans="1:6" x14ac:dyDescent="0.25">
      <c r="A77" s="1482"/>
      <c r="B77" s="1482"/>
      <c r="C77" s="1482"/>
      <c r="D77" s="1482"/>
      <c r="E77" s="1482"/>
    </row>
    <row r="79" spans="1:6" x14ac:dyDescent="0.25">
      <c r="A79" s="691" t="str">
        <f>IF(SUM('Capital Expend Project Specific'!Z7:Z663)&gt;0,"Click here to go to the Capital Expend Project Specific Tab.  Failure to fix this error will result in a rejected HAR.","")</f>
        <v/>
      </c>
      <c r="B79" s="691"/>
      <c r="C79" s="691"/>
      <c r="D79" s="691"/>
      <c r="E79" s="691"/>
    </row>
    <row r="80" spans="1:6" x14ac:dyDescent="0.25">
      <c r="A80" s="1474"/>
      <c r="B80" s="1474"/>
      <c r="C80" s="1474"/>
      <c r="D80" s="1474"/>
      <c r="E80" s="1474"/>
    </row>
  </sheetData>
  <sheetProtection algorithmName="SHA-512" hashValue="0lS/xyOErtW64aEKhJuQP8sjuj/6MZzArv16BhHMM65Rdg7f6Gf+oMuq8mWLYa+rn4tx/FHHbrKlMp+jORsMbQ==" saltValue="WHDAiVneDDyU8ql2S15ojg==" spinCount="100000" sheet="1" objects="1" scenarios="1"/>
  <mergeCells count="19">
    <mergeCell ref="A79:E80"/>
    <mergeCell ref="I23:J37"/>
    <mergeCell ref="I48:J57"/>
    <mergeCell ref="A40:E40"/>
    <mergeCell ref="G41:I43"/>
    <mergeCell ref="A46:E46"/>
    <mergeCell ref="A61:E61"/>
    <mergeCell ref="A69:E71"/>
    <mergeCell ref="A72:E74"/>
    <mergeCell ref="A75:E77"/>
    <mergeCell ref="A1:G1"/>
    <mergeCell ref="A3:E3"/>
    <mergeCell ref="G4:I5"/>
    <mergeCell ref="G10:I11"/>
    <mergeCell ref="A21:E21"/>
    <mergeCell ref="A2:G2"/>
    <mergeCell ref="G13:I14"/>
    <mergeCell ref="G16:I17"/>
    <mergeCell ref="G7:I8"/>
  </mergeCells>
  <phoneticPr fontId="0" type="noConversion"/>
  <conditionalFormatting sqref="G4:I5 G7:I8 G10:I15">
    <cfRule type="cellIs" dxfId="20" priority="7" stopIfTrue="1" operator="equal">
      <formula>"Contractuals should be between 5% and 70% of charges."</formula>
    </cfRule>
  </conditionalFormatting>
  <conditionalFormatting sqref="F4 F10 F7">
    <cfRule type="cellIs" dxfId="19" priority="8" stopIfTrue="1" operator="greaterThan">
      <formula>0.7</formula>
    </cfRule>
    <cfRule type="cellIs" dxfId="18" priority="9" stopIfTrue="1" operator="lessThan">
      <formula>0.05</formula>
    </cfRule>
  </conditionalFormatting>
  <conditionalFormatting sqref="G41:I44">
    <cfRule type="cellIs" dxfId="17" priority="10" stopIfTrue="1" operator="equal">
      <formula>"Admin Exp are generally between 9% and 20% of Operating Exp."</formula>
    </cfRule>
  </conditionalFormatting>
  <conditionalFormatting sqref="F13">
    <cfRule type="cellIs" dxfId="16" priority="4" stopIfTrue="1" operator="greaterThan">
      <formula>0.7</formula>
    </cfRule>
    <cfRule type="cellIs" dxfId="15" priority="5" stopIfTrue="1" operator="lessThan">
      <formula>0.05</formula>
    </cfRule>
  </conditionalFormatting>
  <conditionalFormatting sqref="G16:I17">
    <cfRule type="cellIs" dxfId="14" priority="3" stopIfTrue="1" operator="equal">
      <formula>"Contractuals should be between 5% and 70% of charges."</formula>
    </cfRule>
  </conditionalFormatting>
  <conditionalFormatting sqref="F16">
    <cfRule type="cellIs" dxfId="13" priority="1" stopIfTrue="1" operator="greaterThan">
      <formula>0.7</formula>
    </cfRule>
    <cfRule type="cellIs" dxfId="12" priority="2" stopIfTrue="1" operator="lessThan">
      <formula>0.05</formula>
    </cfRule>
  </conditionalFormatting>
  <hyperlinks>
    <hyperlink ref="A4" location="Code_0741" display="Medicare Adjustments" xr:uid="{00000000-0004-0000-0500-000000000000}"/>
    <hyperlink ref="A5" location="Code_0841" display="Medicare Charges" xr:uid="{00000000-0004-0000-0500-000001000000}"/>
    <hyperlink ref="A10" location="Code_7263" display="Code_7263" xr:uid="{00000000-0004-0000-0500-000002000000}"/>
    <hyperlink ref="A11" location="Code_7253" display="Code_7253" xr:uid="{00000000-0004-0000-0500-000003000000}"/>
    <hyperlink ref="A23" location="Code_2021" display="Code_2021" xr:uid="{00000000-0004-0000-0500-000004000000}"/>
    <hyperlink ref="A24" location="Code_2022" display="Code_2022" xr:uid="{00000000-0004-0000-0500-000005000000}"/>
    <hyperlink ref="A25" location="Code_2121" display="Code_2121" xr:uid="{00000000-0004-0000-0500-000006000000}"/>
    <hyperlink ref="A26" location="Code_2026" display="Code_2026" xr:uid="{00000000-0004-0000-0500-000007000000}"/>
    <hyperlink ref="A27" location="Code_2023" display="Code_2023" xr:uid="{00000000-0004-0000-0500-000008000000}"/>
    <hyperlink ref="A28" location="Code_2027" display="Code_2027" xr:uid="{00000000-0004-0000-0500-000009000000}"/>
    <hyperlink ref="A29" location="Code_2024" display="Code_2024" xr:uid="{00000000-0004-0000-0500-00000A000000}"/>
    <hyperlink ref="A30" location="Code_2028" display="Code_2028" xr:uid="{00000000-0004-0000-0500-00000B000000}"/>
    <hyperlink ref="A31" location="Code_2122" display="Code_2122" xr:uid="{00000000-0004-0000-0500-00000C000000}"/>
    <hyperlink ref="A32" location="Code_2123" display="Code_2123" xr:uid="{00000000-0004-0000-0500-00000D000000}"/>
    <hyperlink ref="A33" location="Code_2178" display="Code_2178" xr:uid="{00000000-0004-0000-0500-00000E000000}"/>
    <hyperlink ref="A34" location="Code_2125" display="Code_2125" xr:uid="{00000000-0004-0000-0500-00000F000000}"/>
    <hyperlink ref="A36" location="Code_2128" display="Code_2128" xr:uid="{00000000-0004-0000-0500-000010000000}"/>
    <hyperlink ref="A37" location="Code_2030" display="Code_2030" xr:uid="{00000000-0004-0000-0500-000011000000}"/>
    <hyperlink ref="A41" location="Code_0630" display="Administrative Expense" xr:uid="{00000000-0004-0000-0500-000012000000}"/>
    <hyperlink ref="A42" location="Code_0600" display="Total Operating Expense" xr:uid="{00000000-0004-0000-0500-000013000000}"/>
    <hyperlink ref="A49" location="Code_4502" display="Code_4502" xr:uid="{00000000-0004-0000-0500-000014000000}"/>
    <hyperlink ref="A52" location="Code_4503" display="Code_4503" xr:uid="{00000000-0004-0000-0500-000015000000}"/>
    <hyperlink ref="A55" location="Code_4505" display="Code_4505" xr:uid="{00000000-0004-0000-0500-000016000000}"/>
    <hyperlink ref="A48" location="Code_0871" display="0871" xr:uid="{00000000-0004-0000-0500-000017000000}"/>
    <hyperlink ref="A51" location="Code_0872" display="0872" xr:uid="{00000000-0004-0000-0500-000018000000}"/>
    <hyperlink ref="A54" location="Code_0873" display="0873" xr:uid="{00000000-0004-0000-0500-000019000000}"/>
    <hyperlink ref="A58" location="Code_4501" display="Code_4501" xr:uid="{00000000-0004-0000-0500-00001A000000}"/>
    <hyperlink ref="A57" location="Code_0880" display="0880" xr:uid="{00000000-0004-0000-0500-00001B000000}"/>
    <hyperlink ref="A16" location="Code_7269" display="Code_7269" xr:uid="{00000000-0004-0000-0500-00001C000000}"/>
    <hyperlink ref="A17" location="Code_7259" display="Code_7259" xr:uid="{00000000-0004-0000-0500-00001D000000}"/>
    <hyperlink ref="A7" location="Code_0742" display="0742" xr:uid="{00000000-0004-0000-0500-00001E000000}"/>
    <hyperlink ref="A8" location="Code_0842" display="0842" xr:uid="{00000000-0004-0000-0500-00001F000000}"/>
    <hyperlink ref="A63" location="Code_7596" display="Code_7596" xr:uid="{00000000-0004-0000-0500-000020000000}"/>
    <hyperlink ref="B64" location="'Capital Expend Project Specific'!A1" display="Total Cost of Projects on Capital Expend Project Specifc Tab" xr:uid="{00000000-0004-0000-0500-000021000000}"/>
    <hyperlink ref="A79:E80" location="'Capital Expend Project Specific'!A1" display="'Capital Expend Project Specific'!A1" xr:uid="{00000000-0004-0000-0500-000022000000}"/>
    <hyperlink ref="A66" location="Code_7595" display="Code_7595" xr:uid="{00000000-0004-0000-0500-000023000000}"/>
    <hyperlink ref="B67" location="'Capital Expend Project Specific'!A1" display="Total Cost of Projects on Capital Expend Project Specifc Tab" xr:uid="{00000000-0004-0000-0500-000024000000}"/>
    <hyperlink ref="A13" location="Code_7266" display="Code_7266" xr:uid="{00000000-0004-0000-0500-000025000000}"/>
    <hyperlink ref="A14" location="Code_7256" display="Code_7256" xr:uid="{00000000-0004-0000-0500-000026000000}"/>
    <hyperlink ref="A35" location="Code_2104" display="Code_2104" xr:uid="{00000000-0004-0000-0500-000027000000}"/>
  </hyperlinks>
  <pageMargins left="0.75" right="0.75" top="1" bottom="1" header="0.5" footer="0.5"/>
  <pageSetup scale="52" orientation="portrait" r:id="rId1"/>
  <headerFooter alignWithMargins="0">
    <oddFooter xml:space="preserve">&amp;LMDH
http://health.state.mn.us/divs/hpsc/dap/hccis
Phone: 651-201-3572
Fax: 651-201-5179&amp;CPage &amp;P
2016 Hospital Annual Report
Health Care Cost  Information System (HCCIS)&amp;RMHA
Jsanislo@mnhospitals.org
Phone: 651-641-1121 
Fax: 651-659-1477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M19"/>
  <sheetViews>
    <sheetView view="pageBreakPreview" zoomScaleNormal="100" zoomScaleSheetLayoutView="100" workbookViewId="0">
      <selection sqref="A1:M2"/>
    </sheetView>
  </sheetViews>
  <sheetFormatPr defaultColWidth="9.1796875" defaultRowHeight="26.25" customHeight="1" x14ac:dyDescent="0.25"/>
  <cols>
    <col min="1" max="16384" width="9.1796875" style="1"/>
  </cols>
  <sheetData>
    <row r="1" spans="1:13" ht="26.25" customHeight="1" x14ac:dyDescent="0.25">
      <c r="A1" s="1487" t="s">
        <v>79</v>
      </c>
      <c r="B1" s="1260"/>
      <c r="C1" s="1260"/>
      <c r="D1" s="1260"/>
      <c r="E1" s="1260"/>
      <c r="F1" s="1260"/>
      <c r="G1" s="1260"/>
      <c r="H1" s="1260"/>
      <c r="I1" s="1260"/>
      <c r="J1" s="1260"/>
      <c r="K1" s="1260"/>
      <c r="L1" s="1260"/>
      <c r="M1" s="1260"/>
    </row>
    <row r="2" spans="1:13" ht="26.25" customHeight="1" x14ac:dyDescent="0.25">
      <c r="A2" s="1260"/>
      <c r="B2" s="1260"/>
      <c r="C2" s="1260"/>
      <c r="D2" s="1260"/>
      <c r="E2" s="1260"/>
      <c r="F2" s="1260"/>
      <c r="G2" s="1260"/>
      <c r="H2" s="1260"/>
      <c r="I2" s="1260"/>
      <c r="J2" s="1260"/>
      <c r="K2" s="1260"/>
      <c r="L2" s="1260"/>
      <c r="M2" s="1260"/>
    </row>
    <row r="3" spans="1:13" ht="26.25" customHeight="1" x14ac:dyDescent="0.4">
      <c r="A3" s="1488" t="s">
        <v>3631</v>
      </c>
      <c r="B3" s="1488"/>
      <c r="C3" s="1488"/>
      <c r="D3" s="1488"/>
      <c r="E3" s="1488"/>
      <c r="F3" s="1488"/>
      <c r="G3" s="1488"/>
      <c r="H3" s="1488"/>
      <c r="I3" s="1488"/>
      <c r="J3" s="1488"/>
      <c r="K3" s="1488"/>
      <c r="L3" s="1488"/>
      <c r="M3" s="1488"/>
    </row>
    <row r="4" spans="1:13" ht="26.25" customHeight="1" x14ac:dyDescent="0.25">
      <c r="A4" s="869" t="s">
        <v>3632</v>
      </c>
      <c r="B4" s="701"/>
      <c r="C4" s="701"/>
      <c r="D4" s="701"/>
      <c r="E4" s="701"/>
      <c r="F4" s="701"/>
      <c r="G4" s="701"/>
      <c r="H4" s="701"/>
      <c r="I4" s="701"/>
      <c r="J4" s="701"/>
      <c r="K4" s="701"/>
      <c r="L4" s="701"/>
      <c r="M4" s="701"/>
    </row>
    <row r="5" spans="1:13" ht="26.25" customHeight="1" x14ac:dyDescent="0.25">
      <c r="A5" s="18"/>
      <c r="B5" s="19"/>
      <c r="C5" s="19"/>
      <c r="D5" s="19"/>
      <c r="E5" s="19"/>
      <c r="F5" s="19"/>
      <c r="G5" s="19"/>
      <c r="H5" s="19"/>
      <c r="I5" s="19"/>
      <c r="J5" s="19"/>
      <c r="K5" s="19"/>
      <c r="L5" s="19"/>
      <c r="M5" s="19"/>
    </row>
    <row r="6" spans="1:13" ht="26.25" customHeight="1" x14ac:dyDescent="0.25">
      <c r="A6" s="790" t="s">
        <v>78</v>
      </c>
      <c r="B6" s="876"/>
      <c r="C6" s="876"/>
      <c r="D6" s="876"/>
      <c r="E6" s="876"/>
      <c r="F6" s="876"/>
      <c r="G6" s="876"/>
      <c r="H6" s="876"/>
      <c r="I6" s="876"/>
      <c r="J6" s="876"/>
      <c r="K6" s="876"/>
      <c r="L6" s="876"/>
      <c r="M6" s="876"/>
    </row>
    <row r="7" spans="1:13" ht="26.25" customHeight="1" x14ac:dyDescent="0.25">
      <c r="A7" s="876"/>
      <c r="B7" s="876"/>
      <c r="C7" s="876"/>
      <c r="D7" s="876"/>
      <c r="E7" s="876"/>
      <c r="F7" s="876"/>
      <c r="G7" s="876"/>
      <c r="H7" s="876"/>
      <c r="I7" s="876"/>
      <c r="J7" s="876"/>
      <c r="K7" s="876"/>
      <c r="L7" s="876"/>
      <c r="M7" s="876"/>
    </row>
    <row r="8" spans="1:13" ht="26.25" customHeight="1" x14ac:dyDescent="0.25">
      <c r="A8" s="911"/>
      <c r="B8" s="911"/>
      <c r="C8" s="911"/>
      <c r="D8" s="911"/>
      <c r="E8" s="911"/>
      <c r="F8" s="911"/>
      <c r="G8" s="911"/>
      <c r="H8" s="911"/>
      <c r="I8" s="911"/>
      <c r="J8" s="911"/>
      <c r="K8" s="911"/>
      <c r="L8" s="911"/>
      <c r="M8" s="911"/>
    </row>
    <row r="9" spans="1:13" ht="26.25" customHeight="1" x14ac:dyDescent="0.25">
      <c r="A9" s="1236" t="s">
        <v>1074</v>
      </c>
      <c r="B9" s="1236"/>
      <c r="C9" s="1236"/>
      <c r="D9" s="1236"/>
      <c r="E9" s="1236"/>
      <c r="F9" s="1236"/>
      <c r="G9" s="1236"/>
      <c r="H9" s="1236"/>
      <c r="I9" s="1236"/>
      <c r="J9" s="1236"/>
      <c r="K9" s="1236"/>
      <c r="L9" s="696"/>
      <c r="M9" s="696"/>
    </row>
    <row r="10" spans="1:13" ht="26.25" customHeight="1" x14ac:dyDescent="0.25">
      <c r="A10" s="311">
        <v>7090</v>
      </c>
      <c r="B10" s="531" t="s">
        <v>1066</v>
      </c>
      <c r="C10" s="532"/>
      <c r="D10" s="532"/>
      <c r="E10" s="532"/>
      <c r="F10" s="532"/>
      <c r="G10" s="532"/>
      <c r="H10" s="532"/>
      <c r="I10" s="532"/>
      <c r="J10" s="532"/>
      <c r="K10" s="533"/>
      <c r="L10" s="1483">
        <f>Code_7090</f>
        <v>0</v>
      </c>
      <c r="M10" s="1484"/>
    </row>
    <row r="11" spans="1:13" ht="26.25" customHeight="1" x14ac:dyDescent="0.25">
      <c r="A11" s="311">
        <v>7104</v>
      </c>
      <c r="B11" s="531" t="s">
        <v>1067</v>
      </c>
      <c r="C11" s="532"/>
      <c r="D11" s="532"/>
      <c r="E11" s="532"/>
      <c r="F11" s="532"/>
      <c r="G11" s="532"/>
      <c r="H11" s="532"/>
      <c r="I11" s="532"/>
      <c r="J11" s="532"/>
      <c r="K11" s="533"/>
      <c r="L11" s="1483">
        <f>Code_7104</f>
        <v>0</v>
      </c>
      <c r="M11" s="1484"/>
    </row>
    <row r="12" spans="1:13" ht="26.25" customHeight="1" x14ac:dyDescent="0.25">
      <c r="A12" s="311">
        <v>7106</v>
      </c>
      <c r="B12" s="531" t="s">
        <v>1068</v>
      </c>
      <c r="C12" s="532"/>
      <c r="D12" s="532"/>
      <c r="E12" s="532"/>
      <c r="F12" s="532"/>
      <c r="G12" s="532"/>
      <c r="H12" s="532"/>
      <c r="I12" s="532"/>
      <c r="J12" s="532"/>
      <c r="K12" s="533"/>
      <c r="L12" s="1483">
        <f>Code_7106</f>
        <v>0</v>
      </c>
      <c r="M12" s="1484"/>
    </row>
    <row r="13" spans="1:13" ht="26.25" customHeight="1" x14ac:dyDescent="0.25">
      <c r="A13" s="21"/>
      <c r="B13" s="611" t="s">
        <v>1071</v>
      </c>
      <c r="C13" s="612"/>
      <c r="D13" s="612"/>
      <c r="E13" s="612"/>
      <c r="F13" s="612"/>
      <c r="G13" s="612"/>
      <c r="H13" s="612"/>
      <c r="I13" s="612"/>
      <c r="J13" s="612"/>
      <c r="K13" s="613"/>
      <c r="L13" s="1485">
        <f>L10-(L11+L12)</f>
        <v>0</v>
      </c>
      <c r="M13" s="1486"/>
    </row>
    <row r="14" spans="1:13" ht="26.25" customHeight="1" x14ac:dyDescent="0.25">
      <c r="A14" s="311">
        <v>7125</v>
      </c>
      <c r="B14" s="531" t="s">
        <v>667</v>
      </c>
      <c r="C14" s="532"/>
      <c r="D14" s="532"/>
      <c r="E14" s="532"/>
      <c r="F14" s="532"/>
      <c r="G14" s="532"/>
      <c r="H14" s="532"/>
      <c r="I14" s="532"/>
      <c r="J14" s="532"/>
      <c r="K14" s="533"/>
      <c r="L14" s="1483">
        <f>Code_7125</f>
        <v>0</v>
      </c>
      <c r="M14" s="1484"/>
    </row>
    <row r="15" spans="1:13" ht="26.25" customHeight="1" x14ac:dyDescent="0.25">
      <c r="A15" s="311">
        <v>7098</v>
      </c>
      <c r="B15" s="531" t="s">
        <v>1069</v>
      </c>
      <c r="C15" s="532"/>
      <c r="D15" s="532"/>
      <c r="E15" s="532"/>
      <c r="F15" s="532"/>
      <c r="G15" s="532"/>
      <c r="H15" s="532"/>
      <c r="I15" s="532"/>
      <c r="J15" s="532"/>
      <c r="K15" s="533"/>
      <c r="L15" s="1483">
        <f>Code_7098</f>
        <v>0</v>
      </c>
      <c r="M15" s="1484"/>
    </row>
    <row r="16" spans="1:13" ht="26.25" customHeight="1" x14ac:dyDescent="0.25">
      <c r="A16" s="311">
        <v>7100</v>
      </c>
      <c r="B16" s="531" t="s">
        <v>1070</v>
      </c>
      <c r="C16" s="532"/>
      <c r="D16" s="532"/>
      <c r="E16" s="532"/>
      <c r="F16" s="532"/>
      <c r="G16" s="532"/>
      <c r="H16" s="532"/>
      <c r="I16" s="532"/>
      <c r="J16" s="532"/>
      <c r="K16" s="533"/>
      <c r="L16" s="1483">
        <f>Code_7100</f>
        <v>0</v>
      </c>
      <c r="M16" s="1484"/>
    </row>
    <row r="17" spans="1:13" ht="26.25" customHeight="1" x14ac:dyDescent="0.25">
      <c r="A17" s="21"/>
      <c r="B17" s="611" t="s">
        <v>1072</v>
      </c>
      <c r="C17" s="612"/>
      <c r="D17" s="612"/>
      <c r="E17" s="612"/>
      <c r="F17" s="612"/>
      <c r="G17" s="612"/>
      <c r="H17" s="612"/>
      <c r="I17" s="612"/>
      <c r="J17" s="612"/>
      <c r="K17" s="613"/>
      <c r="L17" s="1485">
        <f>L14-(L15+L16)</f>
        <v>0</v>
      </c>
      <c r="M17" s="1486"/>
    </row>
    <row r="18" spans="1:13" ht="26.25" customHeight="1" x14ac:dyDescent="0.25">
      <c r="A18" s="21"/>
      <c r="B18" s="611" t="s">
        <v>1073</v>
      </c>
      <c r="C18" s="612"/>
      <c r="D18" s="612"/>
      <c r="E18" s="612"/>
      <c r="F18" s="612"/>
      <c r="G18" s="612"/>
      <c r="H18" s="612"/>
      <c r="I18" s="612"/>
      <c r="J18" s="612"/>
      <c r="K18" s="613"/>
      <c r="L18" s="1485">
        <f>(L13+L17)</f>
        <v>0</v>
      </c>
      <c r="M18" s="1486"/>
    </row>
    <row r="19" spans="1:13" ht="26.25" customHeight="1" x14ac:dyDescent="0.25">
      <c r="A19" s="21"/>
      <c r="B19" s="611" t="s">
        <v>1075</v>
      </c>
      <c r="C19" s="612"/>
      <c r="D19" s="612"/>
      <c r="E19" s="612"/>
      <c r="F19" s="612"/>
      <c r="G19" s="612"/>
      <c r="H19" s="612"/>
      <c r="I19" s="612"/>
      <c r="J19" s="612"/>
      <c r="K19" s="613"/>
      <c r="L19" s="1485">
        <f>L18*0.0156</f>
        <v>0</v>
      </c>
      <c r="M19" s="1486"/>
    </row>
  </sheetData>
  <sheetProtection algorithmName="SHA-512" hashValue="H5Enb9u81xKEQAgXQ1XeT/ZtkJZd74rqDwDwPzkM60/AeA4t/eQXV/OSiOUph/HGThMCLqdFaW3ykVX66+cUVA==" saltValue="Rmyvnz8c0q8/uROmdR6SUg==" spinCount="100000" sheet="1" objects="1" scenarios="1"/>
  <mergeCells count="26">
    <mergeCell ref="A1:M2"/>
    <mergeCell ref="B11:K11"/>
    <mergeCell ref="L11:M11"/>
    <mergeCell ref="B12:K12"/>
    <mergeCell ref="L12:M12"/>
    <mergeCell ref="A3:M3"/>
    <mergeCell ref="B10:K10"/>
    <mergeCell ref="L10:M10"/>
    <mergeCell ref="A9:K9"/>
    <mergeCell ref="L9:M9"/>
    <mergeCell ref="A4:M4"/>
    <mergeCell ref="A6:M8"/>
    <mergeCell ref="B14:K14"/>
    <mergeCell ref="L14:M14"/>
    <mergeCell ref="B15:K15"/>
    <mergeCell ref="L15:M15"/>
    <mergeCell ref="B13:K13"/>
    <mergeCell ref="L13:M13"/>
    <mergeCell ref="B16:K16"/>
    <mergeCell ref="L16:M16"/>
    <mergeCell ref="B18:K18"/>
    <mergeCell ref="L18:M18"/>
    <mergeCell ref="B19:K19"/>
    <mergeCell ref="L19:M19"/>
    <mergeCell ref="B17:K17"/>
    <mergeCell ref="L17:M17"/>
  </mergeCells>
  <phoneticPr fontId="20" type="noConversion"/>
  <hyperlinks>
    <hyperlink ref="A10" location="Code_7090" display="Code_7090" xr:uid="{00000000-0004-0000-0600-000000000000}"/>
    <hyperlink ref="A11" location="Code_7104" display="Code_7104" xr:uid="{00000000-0004-0000-0600-000001000000}"/>
    <hyperlink ref="A12" location="Code_7106" display="Code_7106" xr:uid="{00000000-0004-0000-0600-000002000000}"/>
    <hyperlink ref="A14" location="Code_7125" display="Code_7125" xr:uid="{00000000-0004-0000-0600-000003000000}"/>
    <hyperlink ref="A15" location="Code_7098" display="Code_7098" xr:uid="{00000000-0004-0000-0600-000004000000}"/>
    <hyperlink ref="A16" location="Code_7100" display="Code_7100" xr:uid="{00000000-0004-0000-0600-000005000000}"/>
  </hyperlinks>
  <pageMargins left="0.75" right="0.75" top="1" bottom="1" header="0.5" footer="0.5"/>
  <pageSetup scale="75" orientation="portrait" horizontalDpi="1200" verticalDpi="1200" r:id="rId1"/>
  <headerFooter alignWithMargins="0">
    <oddFooter xml:space="preserve">&amp;LMDH
http://health.state.mn.us/divs/hpsc/dap/hccis
Phone: 651-201-3572 
Fax: 651-201-5179
&amp;CPage &amp;P
2016 Hospital Annual Report
Health Care Cost  Information System (HCCIS)
&amp;RMHA
Jsanislo@mnhospitals.org
Phone: 651-641-1121 
Fax: 651-659-1477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32"/>
  <sheetViews>
    <sheetView showGridLines="0" view="pageBreakPreview" zoomScaleNormal="100" zoomScaleSheetLayoutView="100" workbookViewId="0"/>
  </sheetViews>
  <sheetFormatPr defaultRowHeight="12.5" x14ac:dyDescent="0.25"/>
  <cols>
    <col min="2" max="2" width="10.26953125" customWidth="1"/>
  </cols>
  <sheetData>
    <row r="1" spans="1:15" x14ac:dyDescent="0.25">
      <c r="A1" s="477" t="e">
        <f>'2017 HAR'!$A$33</f>
        <v>#N/A</v>
      </c>
      <c r="B1" s="477"/>
      <c r="C1" s="477"/>
      <c r="D1" s="477"/>
      <c r="E1" s="477"/>
      <c r="F1" s="477"/>
      <c r="G1" s="477"/>
      <c r="H1" s="477"/>
      <c r="I1" s="477"/>
      <c r="J1" s="477"/>
      <c r="K1" s="477"/>
      <c r="L1" s="477"/>
      <c r="O1" s="490">
        <f>'2017 HAR'!D5</f>
        <v>0</v>
      </c>
    </row>
    <row r="2" spans="1:15" ht="18.5" x14ac:dyDescent="0.25">
      <c r="A2" s="1512" t="s">
        <v>3633</v>
      </c>
      <c r="B2" s="1513"/>
      <c r="C2" s="1513"/>
      <c r="D2" s="1513"/>
      <c r="E2" s="1513"/>
      <c r="F2" s="1513"/>
      <c r="G2" s="1513"/>
      <c r="H2" s="1513"/>
      <c r="I2" s="1513"/>
      <c r="J2" s="1513"/>
      <c r="K2" s="1513"/>
      <c r="L2" s="1514"/>
      <c r="M2" s="1511" t="s">
        <v>2625</v>
      </c>
    </row>
    <row r="3" spans="1:15" x14ac:dyDescent="0.25">
      <c r="A3" s="1515" t="s">
        <v>2984</v>
      </c>
      <c r="B3" s="1516"/>
      <c r="C3" s="1516"/>
      <c r="D3" s="1516"/>
      <c r="E3" s="1516"/>
      <c r="F3" s="1516"/>
      <c r="G3" s="1516"/>
      <c r="H3" s="1516"/>
      <c r="I3" s="1516"/>
      <c r="J3" s="1516"/>
      <c r="K3" s="1516"/>
      <c r="L3" s="1517"/>
      <c r="M3" s="1511"/>
    </row>
    <row r="4" spans="1:15" ht="36" customHeight="1" x14ac:dyDescent="0.25">
      <c r="A4" s="1518"/>
      <c r="B4" s="1519"/>
      <c r="C4" s="1519"/>
      <c r="D4" s="1519"/>
      <c r="E4" s="1519"/>
      <c r="F4" s="1519"/>
      <c r="G4" s="1519"/>
      <c r="H4" s="1519"/>
      <c r="I4" s="1519"/>
      <c r="J4" s="1519"/>
      <c r="K4" s="1519"/>
      <c r="L4" s="1520"/>
      <c r="M4" s="1511"/>
    </row>
    <row r="5" spans="1:15" ht="9" customHeight="1" x14ac:dyDescent="0.25">
      <c r="A5" s="478"/>
      <c r="B5" s="478"/>
      <c r="C5" s="478"/>
      <c r="D5" s="478"/>
      <c r="E5" s="478"/>
      <c r="F5" s="478"/>
      <c r="G5" s="478"/>
      <c r="H5" s="478"/>
      <c r="I5" s="478"/>
      <c r="J5" s="478"/>
      <c r="K5" s="478"/>
      <c r="L5" s="478"/>
      <c r="M5" s="1511"/>
    </row>
    <row r="6" spans="1:15" ht="52.5" customHeight="1" x14ac:dyDescent="0.25">
      <c r="A6" s="1521" t="s">
        <v>2985</v>
      </c>
      <c r="B6" s="1522"/>
      <c r="C6" s="1522"/>
      <c r="D6" s="1522"/>
      <c r="E6" s="1522"/>
      <c r="F6" s="1522"/>
      <c r="G6" s="1522"/>
      <c r="H6" s="1522"/>
      <c r="I6" s="1522"/>
      <c r="J6" s="1522"/>
      <c r="K6" s="1522"/>
      <c r="L6" s="1523"/>
      <c r="M6" s="1511"/>
    </row>
    <row r="7" spans="1:15" ht="8.25" customHeight="1" thickBot="1" x14ac:dyDescent="0.3">
      <c r="A7" s="478"/>
      <c r="B7" s="478"/>
      <c r="C7" s="478"/>
      <c r="D7" s="478"/>
      <c r="E7" s="478"/>
      <c r="F7" s="478"/>
      <c r="G7" s="478"/>
      <c r="H7" s="478"/>
      <c r="I7" s="478"/>
      <c r="J7" s="478"/>
      <c r="K7" s="478"/>
      <c r="L7" s="478"/>
      <c r="M7" s="1511"/>
    </row>
    <row r="8" spans="1:15" ht="15.5" x14ac:dyDescent="0.35">
      <c r="A8" s="479" t="s">
        <v>2623</v>
      </c>
      <c r="B8" s="480">
        <v>1</v>
      </c>
      <c r="C8" s="480"/>
      <c r="D8" s="480"/>
      <c r="E8" s="480"/>
      <c r="F8" s="1494" t="s">
        <v>2558</v>
      </c>
      <c r="G8" s="1494"/>
      <c r="H8" s="1494"/>
      <c r="I8" s="1494"/>
      <c r="J8" s="1494"/>
      <c r="K8" s="1495" t="e">
        <f>CONCATENATE(VLOOKUP($M$9,'CAP Data'!$C$3:$Q$2688,3,FALSE),"-",VLOOKUP($M$9,'CAP Data'!$C$3:$Q$2688,4,FALSE))</f>
        <v>#N/A</v>
      </c>
      <c r="L8" s="1496"/>
      <c r="M8" s="489"/>
    </row>
    <row r="9" spans="1:15" ht="14.5" x14ac:dyDescent="0.25">
      <c r="A9" s="1497" t="s">
        <v>2559</v>
      </c>
      <c r="B9" s="1498"/>
      <c r="C9" s="1499" t="e">
        <f>VLOOKUP($M$9,'CAP Data'!$C$3:$Q$2688,5,FALSE)</f>
        <v>#N/A</v>
      </c>
      <c r="D9" s="1500"/>
      <c r="E9" s="481"/>
      <c r="F9" s="1501" t="s">
        <v>2560</v>
      </c>
      <c r="G9" s="1501"/>
      <c r="H9" s="1501"/>
      <c r="I9" s="1501"/>
      <c r="J9" s="1501"/>
      <c r="K9" s="1501"/>
      <c r="L9" s="1502"/>
      <c r="M9" s="492" t="str">
        <f>CONCATENATE($O$1,B8)</f>
        <v>01</v>
      </c>
    </row>
    <row r="10" spans="1:15" ht="14.5" x14ac:dyDescent="0.25">
      <c r="A10" s="1503" t="s">
        <v>2561</v>
      </c>
      <c r="B10" s="1504"/>
      <c r="C10" s="1505" t="e">
        <f>VLOOKUP($M$9,'CAP Data'!$C$3:$Q$2688,10,FALSE)</f>
        <v>#N/A</v>
      </c>
      <c r="D10" s="1505"/>
      <c r="E10" s="482"/>
      <c r="F10" s="1506" t="e">
        <f>VLOOKUP($M$9,'CAP Data'!$C$3:$Q$2688,12,FALSE)</f>
        <v>#N/A</v>
      </c>
      <c r="G10" s="1506"/>
      <c r="H10" s="1506"/>
      <c r="I10" s="1506"/>
      <c r="J10" s="1506"/>
      <c r="K10" s="1506"/>
      <c r="L10" s="1507"/>
    </row>
    <row r="11" spans="1:15" ht="14.5" x14ac:dyDescent="0.25">
      <c r="A11" s="1503" t="s">
        <v>2562</v>
      </c>
      <c r="B11" s="1504"/>
      <c r="C11" s="1508" t="e">
        <f>VLOOKUP($M$9,'CAP Data'!$C$3:$Q$2688,11,FALSE)</f>
        <v>#N/A</v>
      </c>
      <c r="D11" s="1508"/>
      <c r="E11" s="482"/>
      <c r="F11" s="1506" t="e">
        <f>VLOOKUP($M$9,'CAP Data'!$C$3:$Q$2688,13,FALSE)</f>
        <v>#N/A</v>
      </c>
      <c r="G11" s="1506"/>
      <c r="H11" s="1506"/>
      <c r="I11" s="1506"/>
      <c r="J11" s="1509" t="e">
        <f>VLOOKUP($M$9,'CAP Data'!$C$3:$Q$2688,14,FALSE)</f>
        <v>#N/A</v>
      </c>
      <c r="K11" s="1509"/>
      <c r="L11" s="1510"/>
    </row>
    <row r="12" spans="1:15" ht="39" customHeight="1" thickBot="1" x14ac:dyDescent="0.3">
      <c r="A12" s="1489" t="s">
        <v>2563</v>
      </c>
      <c r="B12" s="1490"/>
      <c r="C12" s="1491" t="e">
        <f>VLOOKUP($M$9,'CAP Data'!$C$3:$Q$2688,15,FALSE)</f>
        <v>#N/A</v>
      </c>
      <c r="D12" s="1492"/>
      <c r="E12" s="1492"/>
      <c r="F12" s="1492"/>
      <c r="G12" s="1492"/>
      <c r="H12" s="1492"/>
      <c r="I12" s="1492"/>
      <c r="J12" s="1492"/>
      <c r="K12" s="1492"/>
      <c r="L12" s="1493"/>
    </row>
    <row r="13" spans="1:15" ht="13" thickBot="1" x14ac:dyDescent="0.3">
      <c r="A13" s="477"/>
      <c r="B13" s="477"/>
      <c r="C13" s="477"/>
      <c r="D13" s="477"/>
      <c r="E13" s="477"/>
      <c r="F13" s="477"/>
      <c r="G13" s="477"/>
      <c r="H13" s="477"/>
      <c r="I13" s="477"/>
      <c r="J13" s="477"/>
      <c r="K13" s="477"/>
      <c r="L13" s="477"/>
    </row>
    <row r="14" spans="1:15" ht="15.5" x14ac:dyDescent="0.35">
      <c r="A14" s="479" t="s">
        <v>2623</v>
      </c>
      <c r="B14" s="480">
        <v>2</v>
      </c>
      <c r="C14" s="480"/>
      <c r="D14" s="480"/>
      <c r="E14" s="480"/>
      <c r="F14" s="1494" t="s">
        <v>2558</v>
      </c>
      <c r="G14" s="1494"/>
      <c r="H14" s="1494"/>
      <c r="I14" s="1494"/>
      <c r="J14" s="1494"/>
      <c r="K14" s="1495" t="e">
        <f>CONCATENATE(VLOOKUP($M$15,'CAP Data'!$C$3:$Q$2688,3,FALSE),"-",VLOOKUP($M$15,'CAP Data'!$C$3:$Q$2688,4,FALSE))</f>
        <v>#N/A</v>
      </c>
      <c r="L14" s="1496"/>
      <c r="M14" s="489"/>
    </row>
    <row r="15" spans="1:15" ht="14.5" x14ac:dyDescent="0.25">
      <c r="A15" s="1497" t="s">
        <v>2559</v>
      </c>
      <c r="B15" s="1498"/>
      <c r="C15" s="1499" t="e">
        <f>VLOOKUP($M$15,'CAP Data'!$C$3:$Q$2688,5,FALSE)</f>
        <v>#N/A</v>
      </c>
      <c r="D15" s="1500"/>
      <c r="E15" s="481"/>
      <c r="F15" s="1501" t="s">
        <v>2560</v>
      </c>
      <c r="G15" s="1501"/>
      <c r="H15" s="1501"/>
      <c r="I15" s="1501"/>
      <c r="J15" s="1501"/>
      <c r="K15" s="1501"/>
      <c r="L15" s="1502"/>
      <c r="M15" s="492" t="str">
        <f>CONCATENATE($O$1,B14)</f>
        <v>02</v>
      </c>
    </row>
    <row r="16" spans="1:15" ht="14.5" x14ac:dyDescent="0.25">
      <c r="A16" s="1503" t="s">
        <v>2561</v>
      </c>
      <c r="B16" s="1504"/>
      <c r="C16" s="1505" t="e">
        <f>VLOOKUP($M$15,'CAP Data'!$C$3:$Q$2688,10,FALSE)</f>
        <v>#N/A</v>
      </c>
      <c r="D16" s="1505"/>
      <c r="E16" s="482"/>
      <c r="F16" s="1506" t="e">
        <f>VLOOKUP($M$15,'CAP Data'!$C$3:$Q$2688,12,FALSE)</f>
        <v>#N/A</v>
      </c>
      <c r="G16" s="1506"/>
      <c r="H16" s="1506"/>
      <c r="I16" s="1506"/>
      <c r="J16" s="1506"/>
      <c r="K16" s="1506"/>
      <c r="L16" s="1507"/>
    </row>
    <row r="17" spans="1:13" ht="14.5" x14ac:dyDescent="0.25">
      <c r="A17" s="1503" t="s">
        <v>2562</v>
      </c>
      <c r="B17" s="1504"/>
      <c r="C17" s="1508" t="e">
        <f>VLOOKUP($M$15,'CAP Data'!$C$3:$Q$2688,11,FALSE)</f>
        <v>#N/A</v>
      </c>
      <c r="D17" s="1508"/>
      <c r="E17" s="482"/>
      <c r="F17" s="1506" t="e">
        <f>VLOOKUP($M$15,'CAP Data'!$C$3:$Q$2688,13,FALSE)</f>
        <v>#N/A</v>
      </c>
      <c r="G17" s="1506"/>
      <c r="H17" s="1506"/>
      <c r="I17" s="1506"/>
      <c r="J17" s="1509" t="e">
        <f>VLOOKUP($M$15,'CAP Data'!$C$3:$Q$2688,14,FALSE)</f>
        <v>#N/A</v>
      </c>
      <c r="K17" s="1509"/>
      <c r="L17" s="1510"/>
    </row>
    <row r="18" spans="1:13" ht="39" customHeight="1" thickBot="1" x14ac:dyDescent="0.3">
      <c r="A18" s="1489" t="s">
        <v>2563</v>
      </c>
      <c r="B18" s="1490"/>
      <c r="C18" s="1491" t="e">
        <f>VLOOKUP($M$15,'CAP Data'!$C$3:$Q$2688,15,FALSE)</f>
        <v>#N/A</v>
      </c>
      <c r="D18" s="1492"/>
      <c r="E18" s="1492"/>
      <c r="F18" s="1492"/>
      <c r="G18" s="1492"/>
      <c r="H18" s="1492"/>
      <c r="I18" s="1492"/>
      <c r="J18" s="1492"/>
      <c r="K18" s="1492"/>
      <c r="L18" s="1493"/>
    </row>
    <row r="19" spans="1:13" ht="13" thickBot="1" x14ac:dyDescent="0.3">
      <c r="A19" s="477"/>
      <c r="B19" s="477"/>
      <c r="C19" s="477"/>
      <c r="D19" s="477"/>
      <c r="E19" s="477"/>
      <c r="F19" s="477"/>
      <c r="G19" s="477"/>
      <c r="H19" s="477"/>
      <c r="I19" s="477"/>
      <c r="J19" s="477"/>
      <c r="K19" s="477"/>
      <c r="L19" s="477"/>
    </row>
    <row r="20" spans="1:13" ht="15.5" x14ac:dyDescent="0.35">
      <c r="A20" s="479" t="s">
        <v>2623</v>
      </c>
      <c r="B20" s="480">
        <v>3</v>
      </c>
      <c r="C20" s="480"/>
      <c r="D20" s="480"/>
      <c r="E20" s="480"/>
      <c r="F20" s="1494" t="s">
        <v>2558</v>
      </c>
      <c r="G20" s="1494"/>
      <c r="H20" s="1494"/>
      <c r="I20" s="1494"/>
      <c r="J20" s="1494"/>
      <c r="K20" s="1495" t="e">
        <f>CONCATENATE(VLOOKUP($M$21,'CAP Data'!$C$3:$Q$2688,3,FALSE),"-",VLOOKUP($M$21,'CAP Data'!$C$3:$Q$2688,4,FALSE))</f>
        <v>#N/A</v>
      </c>
      <c r="L20" s="1496"/>
      <c r="M20" s="489"/>
    </row>
    <row r="21" spans="1:13" ht="14.5" x14ac:dyDescent="0.25">
      <c r="A21" s="1497" t="s">
        <v>2559</v>
      </c>
      <c r="B21" s="1498"/>
      <c r="C21" s="1499" t="e">
        <f>VLOOKUP($M$21,'CAP Data'!$C$3:$Q$2688,5,FALSE)</f>
        <v>#N/A</v>
      </c>
      <c r="D21" s="1500"/>
      <c r="E21" s="481"/>
      <c r="F21" s="1501" t="s">
        <v>2560</v>
      </c>
      <c r="G21" s="1501"/>
      <c r="H21" s="1501"/>
      <c r="I21" s="1501"/>
      <c r="J21" s="1501"/>
      <c r="K21" s="1501"/>
      <c r="L21" s="1502"/>
      <c r="M21" s="492" t="str">
        <f>CONCATENATE($O$1,B20)</f>
        <v>03</v>
      </c>
    </row>
    <row r="22" spans="1:13" ht="14.5" x14ac:dyDescent="0.25">
      <c r="A22" s="1503" t="s">
        <v>2561</v>
      </c>
      <c r="B22" s="1504"/>
      <c r="C22" s="1505" t="e">
        <f>VLOOKUP($M$21,'CAP Data'!$C$3:$Q$2688,10,FALSE)</f>
        <v>#N/A</v>
      </c>
      <c r="D22" s="1505"/>
      <c r="E22" s="482"/>
      <c r="F22" s="1506" t="e">
        <f>VLOOKUP($M$21,'CAP Data'!$C$3:$Q$2688,12,FALSE)</f>
        <v>#N/A</v>
      </c>
      <c r="G22" s="1506"/>
      <c r="H22" s="1506"/>
      <c r="I22" s="1506"/>
      <c r="J22" s="1506"/>
      <c r="K22" s="1506"/>
      <c r="L22" s="1507"/>
    </row>
    <row r="23" spans="1:13" ht="14.5" x14ac:dyDescent="0.25">
      <c r="A23" s="1503" t="s">
        <v>2562</v>
      </c>
      <c r="B23" s="1504"/>
      <c r="C23" s="1508" t="e">
        <f>VLOOKUP($M$21,'CAP Data'!$C$3:$Q$2688,11,FALSE)</f>
        <v>#N/A</v>
      </c>
      <c r="D23" s="1508"/>
      <c r="E23" s="482"/>
      <c r="F23" s="1506" t="e">
        <f>VLOOKUP($M$21,'CAP Data'!$C$3:$Q$2688,13,FALSE)</f>
        <v>#N/A</v>
      </c>
      <c r="G23" s="1506"/>
      <c r="H23" s="1506"/>
      <c r="I23" s="1506"/>
      <c r="J23" s="1509" t="e">
        <f>VLOOKUP($M$21,'CAP Data'!$C$3:$Q$2688,14,FALSE)</f>
        <v>#N/A</v>
      </c>
      <c r="K23" s="1509"/>
      <c r="L23" s="1510"/>
    </row>
    <row r="24" spans="1:13" ht="39" customHeight="1" thickBot="1" x14ac:dyDescent="0.3">
      <c r="A24" s="1489" t="s">
        <v>2563</v>
      </c>
      <c r="B24" s="1490"/>
      <c r="C24" s="1491" t="e">
        <f>VLOOKUP($M$21,'CAP Data'!$C$3:$Q$2688,15,FALSE)</f>
        <v>#N/A</v>
      </c>
      <c r="D24" s="1492"/>
      <c r="E24" s="1492"/>
      <c r="F24" s="1492"/>
      <c r="G24" s="1492"/>
      <c r="H24" s="1492"/>
      <c r="I24" s="1492"/>
      <c r="J24" s="1492"/>
      <c r="K24" s="1492"/>
      <c r="L24" s="1493"/>
    </row>
    <row r="25" spans="1:13" ht="13" thickBot="1" x14ac:dyDescent="0.3">
      <c r="A25" s="477"/>
      <c r="B25" s="477"/>
      <c r="C25" s="477"/>
      <c r="D25" s="477"/>
      <c r="E25" s="477"/>
      <c r="F25" s="477"/>
      <c r="G25" s="477"/>
      <c r="H25" s="477"/>
      <c r="I25" s="477"/>
      <c r="J25" s="477"/>
      <c r="K25" s="477"/>
      <c r="L25" s="477"/>
    </row>
    <row r="26" spans="1:13" ht="15.5" x14ac:dyDescent="0.35">
      <c r="A26" s="479" t="s">
        <v>2623</v>
      </c>
      <c r="B26" s="480">
        <v>4</v>
      </c>
      <c r="C26" s="480"/>
      <c r="D26" s="480"/>
      <c r="E26" s="480"/>
      <c r="F26" s="1494" t="s">
        <v>2558</v>
      </c>
      <c r="G26" s="1494"/>
      <c r="H26" s="1494"/>
      <c r="I26" s="1494"/>
      <c r="J26" s="1494"/>
      <c r="K26" s="1495" t="e">
        <f>CONCATENATE(VLOOKUP($M$27,'CAP Data'!$C$3:$Q$2688,3,FALSE),"-",VLOOKUP($M$27,'CAP Data'!$C$3:$Q$2688,4,FALSE))</f>
        <v>#N/A</v>
      </c>
      <c r="L26" s="1496"/>
      <c r="M26" s="489"/>
    </row>
    <row r="27" spans="1:13" ht="14.5" x14ac:dyDescent="0.25">
      <c r="A27" s="1497" t="s">
        <v>2559</v>
      </c>
      <c r="B27" s="1498"/>
      <c r="C27" s="1499" t="e">
        <f>VLOOKUP($M$27,'CAP Data'!$C$3:$Q$2688,5,FALSE)</f>
        <v>#N/A</v>
      </c>
      <c r="D27" s="1500"/>
      <c r="E27" s="481"/>
      <c r="F27" s="1501" t="s">
        <v>2560</v>
      </c>
      <c r="G27" s="1501"/>
      <c r="H27" s="1501"/>
      <c r="I27" s="1501"/>
      <c r="J27" s="1501"/>
      <c r="K27" s="1501"/>
      <c r="L27" s="1502"/>
      <c r="M27" s="492" t="str">
        <f>CONCATENATE($O$1,B26)</f>
        <v>04</v>
      </c>
    </row>
    <row r="28" spans="1:13" ht="14.5" x14ac:dyDescent="0.25">
      <c r="A28" s="1503" t="s">
        <v>2561</v>
      </c>
      <c r="B28" s="1504"/>
      <c r="C28" s="1505" t="e">
        <f>VLOOKUP($M$27,'CAP Data'!$C$3:$Q$2688,10,FALSE)</f>
        <v>#N/A</v>
      </c>
      <c r="D28" s="1505"/>
      <c r="E28" s="482"/>
      <c r="F28" s="1506" t="e">
        <f>VLOOKUP($M$27,'CAP Data'!$C$3:$Q$2688,12,FALSE)</f>
        <v>#N/A</v>
      </c>
      <c r="G28" s="1506"/>
      <c r="H28" s="1506"/>
      <c r="I28" s="1506"/>
      <c r="J28" s="1506"/>
      <c r="K28" s="1506"/>
      <c r="L28" s="1507"/>
    </row>
    <row r="29" spans="1:13" ht="14.5" x14ac:dyDescent="0.25">
      <c r="A29" s="1503" t="s">
        <v>2562</v>
      </c>
      <c r="B29" s="1504"/>
      <c r="C29" s="1508" t="e">
        <f>VLOOKUP($M$27,'CAP Data'!$C$3:$Q$2688,11,FALSE)</f>
        <v>#N/A</v>
      </c>
      <c r="D29" s="1508"/>
      <c r="E29" s="482"/>
      <c r="F29" s="1506" t="e">
        <f>VLOOKUP($M$27,'CAP Data'!$C$3:$Q$2688,13,FALSE)</f>
        <v>#N/A</v>
      </c>
      <c r="G29" s="1506"/>
      <c r="H29" s="1506"/>
      <c r="I29" s="1506"/>
      <c r="J29" s="1509" t="e">
        <f>VLOOKUP($M$27,'CAP Data'!$C$3:$Q$2688,14,FALSE)</f>
        <v>#N/A</v>
      </c>
      <c r="K29" s="1509"/>
      <c r="L29" s="1510"/>
    </row>
    <row r="30" spans="1:13" ht="39" customHeight="1" thickBot="1" x14ac:dyDescent="0.3">
      <c r="A30" s="1489" t="s">
        <v>2563</v>
      </c>
      <c r="B30" s="1490"/>
      <c r="C30" s="1491" t="e">
        <f>VLOOKUP($M$27,'CAP Data'!$C$3:$Q$2688,15,FALSE)</f>
        <v>#N/A</v>
      </c>
      <c r="D30" s="1492"/>
      <c r="E30" s="1492"/>
      <c r="F30" s="1492"/>
      <c r="G30" s="1492"/>
      <c r="H30" s="1492"/>
      <c r="I30" s="1492"/>
      <c r="J30" s="1492"/>
      <c r="K30" s="1492"/>
      <c r="L30" s="1493"/>
    </row>
    <row r="31" spans="1:13" ht="13" thickBot="1" x14ac:dyDescent="0.3"/>
    <row r="32" spans="1:13" ht="15.5" x14ac:dyDescent="0.35">
      <c r="A32" s="479" t="s">
        <v>2623</v>
      </c>
      <c r="B32" s="480">
        <v>5</v>
      </c>
      <c r="C32" s="480"/>
      <c r="D32" s="480"/>
      <c r="E32" s="480"/>
      <c r="F32" s="1494" t="s">
        <v>2558</v>
      </c>
      <c r="G32" s="1494"/>
      <c r="H32" s="1494"/>
      <c r="I32" s="1494"/>
      <c r="J32" s="1494"/>
      <c r="K32" s="1495" t="e">
        <f>CONCATENATE(VLOOKUP($M$33,'CAP Data'!$C$3:$Q$2688,3,FALSE),"-",VLOOKUP($M$33,'CAP Data'!$C$3:$Q$2688,4,FALSE))</f>
        <v>#N/A</v>
      </c>
      <c r="L32" s="1496"/>
      <c r="M32" s="489"/>
    </row>
    <row r="33" spans="1:13" ht="14.5" x14ac:dyDescent="0.25">
      <c r="A33" s="1497" t="s">
        <v>2559</v>
      </c>
      <c r="B33" s="1498"/>
      <c r="C33" s="1499" t="e">
        <f>VLOOKUP($M$33,'CAP Data'!$C$3:$Q$2688,5,FALSE)</f>
        <v>#N/A</v>
      </c>
      <c r="D33" s="1500"/>
      <c r="E33" s="481"/>
      <c r="F33" s="1501" t="s">
        <v>2560</v>
      </c>
      <c r="G33" s="1501"/>
      <c r="H33" s="1501"/>
      <c r="I33" s="1501"/>
      <c r="J33" s="1501"/>
      <c r="K33" s="1501"/>
      <c r="L33" s="1502"/>
      <c r="M33" s="492" t="str">
        <f>CONCATENATE($O$1,B32)</f>
        <v>05</v>
      </c>
    </row>
    <row r="34" spans="1:13" ht="14.5" x14ac:dyDescent="0.25">
      <c r="A34" s="1503" t="s">
        <v>2561</v>
      </c>
      <c r="B34" s="1504"/>
      <c r="C34" s="1505" t="e">
        <f>VLOOKUP($M$33,'CAP Data'!$C$3:$Q$2688,10,FALSE)</f>
        <v>#N/A</v>
      </c>
      <c r="D34" s="1505"/>
      <c r="E34" s="482"/>
      <c r="F34" s="1506" t="e">
        <f>VLOOKUP($M$33,'CAP Data'!$C$3:$Q$2688,12,FALSE)</f>
        <v>#N/A</v>
      </c>
      <c r="G34" s="1506"/>
      <c r="H34" s="1506"/>
      <c r="I34" s="1506"/>
      <c r="J34" s="1506"/>
      <c r="K34" s="1506"/>
      <c r="L34" s="1507"/>
    </row>
    <row r="35" spans="1:13" ht="14.5" x14ac:dyDescent="0.25">
      <c r="A35" s="1503" t="s">
        <v>2562</v>
      </c>
      <c r="B35" s="1504"/>
      <c r="C35" s="1508" t="e">
        <f>VLOOKUP($M$33,'CAP Data'!$C$3:$Q$2688,11,FALSE)</f>
        <v>#N/A</v>
      </c>
      <c r="D35" s="1508"/>
      <c r="E35" s="482"/>
      <c r="F35" s="1506" t="e">
        <f>VLOOKUP($M$33,'CAP Data'!$C$3:$Q$2688,13,FALSE)</f>
        <v>#N/A</v>
      </c>
      <c r="G35" s="1506"/>
      <c r="H35" s="1506"/>
      <c r="I35" s="1506"/>
      <c r="J35" s="1509" t="e">
        <f>VLOOKUP($M$33,'CAP Data'!$C$3:$Q$2688,14,FALSE)</f>
        <v>#N/A</v>
      </c>
      <c r="K35" s="1509"/>
      <c r="L35" s="1510"/>
    </row>
    <row r="36" spans="1:13" ht="39" customHeight="1" thickBot="1" x14ac:dyDescent="0.3">
      <c r="A36" s="1489" t="s">
        <v>2563</v>
      </c>
      <c r="B36" s="1490"/>
      <c r="C36" s="1491" t="e">
        <f>VLOOKUP($M$33,'CAP Data'!$C$3:$Q$2688,15,FALSE)</f>
        <v>#N/A</v>
      </c>
      <c r="D36" s="1492"/>
      <c r="E36" s="1492"/>
      <c r="F36" s="1492"/>
      <c r="G36" s="1492"/>
      <c r="H36" s="1492"/>
      <c r="I36" s="1492"/>
      <c r="J36" s="1492"/>
      <c r="K36" s="1492"/>
      <c r="L36" s="1493"/>
    </row>
    <row r="37" spans="1:13" ht="13" thickBot="1" x14ac:dyDescent="0.3"/>
    <row r="38" spans="1:13" ht="15.5" x14ac:dyDescent="0.35">
      <c r="A38" s="479" t="s">
        <v>2623</v>
      </c>
      <c r="B38" s="480">
        <v>6</v>
      </c>
      <c r="C38" s="480"/>
      <c r="D38" s="480"/>
      <c r="E38" s="480"/>
      <c r="F38" s="1494" t="s">
        <v>2558</v>
      </c>
      <c r="G38" s="1494"/>
      <c r="H38" s="1494"/>
      <c r="I38" s="1494"/>
      <c r="J38" s="1494"/>
      <c r="K38" s="1495" t="e">
        <f>CONCATENATE(VLOOKUP($M$39,'CAP Data'!$C$3:$Q$2688,3,FALSE),"-",VLOOKUP($M$39,'CAP Data'!$C$3:$Q$2688,4,FALSE))</f>
        <v>#N/A</v>
      </c>
      <c r="L38" s="1496"/>
      <c r="M38" s="489"/>
    </row>
    <row r="39" spans="1:13" ht="14.5" x14ac:dyDescent="0.25">
      <c r="A39" s="1497" t="s">
        <v>2559</v>
      </c>
      <c r="B39" s="1498"/>
      <c r="C39" s="1499" t="e">
        <f>VLOOKUP($M$39,'CAP Data'!$C$3:$Q$2688,5,FALSE)</f>
        <v>#N/A</v>
      </c>
      <c r="D39" s="1500"/>
      <c r="E39" s="481"/>
      <c r="F39" s="1501" t="s">
        <v>2560</v>
      </c>
      <c r="G39" s="1501"/>
      <c r="H39" s="1501"/>
      <c r="I39" s="1501"/>
      <c r="J39" s="1501"/>
      <c r="K39" s="1501"/>
      <c r="L39" s="1502"/>
      <c r="M39" s="492" t="str">
        <f>CONCATENATE($O$1,B38)</f>
        <v>06</v>
      </c>
    </row>
    <row r="40" spans="1:13" ht="14.5" x14ac:dyDescent="0.25">
      <c r="A40" s="1503" t="s">
        <v>2561</v>
      </c>
      <c r="B40" s="1504"/>
      <c r="C40" s="1505" t="e">
        <f>VLOOKUP($M$39,'CAP Data'!$C$3:$Q$2688,10,FALSE)</f>
        <v>#N/A</v>
      </c>
      <c r="D40" s="1505"/>
      <c r="E40" s="482"/>
      <c r="F40" s="1506" t="e">
        <f>VLOOKUP($M$39,'CAP Data'!$C$3:$Q$2688,12,FALSE)</f>
        <v>#N/A</v>
      </c>
      <c r="G40" s="1506"/>
      <c r="H40" s="1506"/>
      <c r="I40" s="1506"/>
      <c r="J40" s="1506"/>
      <c r="K40" s="1506"/>
      <c r="L40" s="1507"/>
    </row>
    <row r="41" spans="1:13" ht="14.5" x14ac:dyDescent="0.25">
      <c r="A41" s="1503" t="s">
        <v>2562</v>
      </c>
      <c r="B41" s="1504"/>
      <c r="C41" s="1508" t="e">
        <f>VLOOKUP($M$39,'CAP Data'!$C$3:$Q$2688,11,FALSE)</f>
        <v>#N/A</v>
      </c>
      <c r="D41" s="1508"/>
      <c r="E41" s="482"/>
      <c r="F41" s="1506" t="e">
        <f>VLOOKUP($M$39,'CAP Data'!$C$3:$Q$2688,13,FALSE)</f>
        <v>#N/A</v>
      </c>
      <c r="G41" s="1506"/>
      <c r="H41" s="1506"/>
      <c r="I41" s="1506"/>
      <c r="J41" s="1509" t="e">
        <f>VLOOKUP($M$39,'CAP Data'!$C$3:$Q$2688,14,FALSE)</f>
        <v>#N/A</v>
      </c>
      <c r="K41" s="1509"/>
      <c r="L41" s="1510"/>
    </row>
    <row r="42" spans="1:13" ht="39" customHeight="1" thickBot="1" x14ac:dyDescent="0.3">
      <c r="A42" s="1489" t="s">
        <v>2563</v>
      </c>
      <c r="B42" s="1490"/>
      <c r="C42" s="1491" t="e">
        <f>VLOOKUP($M$39,'CAP Data'!$C$3:$Q$2688,15,FALSE)</f>
        <v>#N/A</v>
      </c>
      <c r="D42" s="1492"/>
      <c r="E42" s="1492"/>
      <c r="F42" s="1492"/>
      <c r="G42" s="1492"/>
      <c r="H42" s="1492"/>
      <c r="I42" s="1492"/>
      <c r="J42" s="1492"/>
      <c r="K42" s="1492"/>
      <c r="L42" s="1493"/>
    </row>
    <row r="43" spans="1:13" ht="13" thickBot="1" x14ac:dyDescent="0.3"/>
    <row r="44" spans="1:13" ht="15.5" x14ac:dyDescent="0.35">
      <c r="A44" s="479" t="s">
        <v>2623</v>
      </c>
      <c r="B44" s="480">
        <v>7</v>
      </c>
      <c r="C44" s="480"/>
      <c r="D44" s="480"/>
      <c r="E44" s="480"/>
      <c r="F44" s="1494" t="s">
        <v>2558</v>
      </c>
      <c r="G44" s="1494"/>
      <c r="H44" s="1494"/>
      <c r="I44" s="1494"/>
      <c r="J44" s="1494"/>
      <c r="K44" s="1495" t="e">
        <f>CONCATENATE(VLOOKUP($M$45,'CAP Data'!$C$3:$Q$2688,3,FALSE),"-",VLOOKUP($M$45,'CAP Data'!$C$3:$Q$2688,4,FALSE))</f>
        <v>#N/A</v>
      </c>
      <c r="L44" s="1496"/>
      <c r="M44" s="489"/>
    </row>
    <row r="45" spans="1:13" ht="14.5" x14ac:dyDescent="0.25">
      <c r="A45" s="1497" t="s">
        <v>2559</v>
      </c>
      <c r="B45" s="1498"/>
      <c r="C45" s="1499" t="e">
        <f>VLOOKUP($M$45,'CAP Data'!$C$3:$Q$2688,5,FALSE)</f>
        <v>#N/A</v>
      </c>
      <c r="D45" s="1500"/>
      <c r="E45" s="481"/>
      <c r="F45" s="1501" t="s">
        <v>2560</v>
      </c>
      <c r="G45" s="1501"/>
      <c r="H45" s="1501"/>
      <c r="I45" s="1501"/>
      <c r="J45" s="1501"/>
      <c r="K45" s="1501"/>
      <c r="L45" s="1502"/>
      <c r="M45" s="492" t="str">
        <f>CONCATENATE($O$1,B44)</f>
        <v>07</v>
      </c>
    </row>
    <row r="46" spans="1:13" ht="14.5" x14ac:dyDescent="0.25">
      <c r="A46" s="1503" t="s">
        <v>2561</v>
      </c>
      <c r="B46" s="1504"/>
      <c r="C46" s="1505" t="e">
        <f>VLOOKUP($M$45,'CAP Data'!$C$3:$Q$2688,10,FALSE)</f>
        <v>#N/A</v>
      </c>
      <c r="D46" s="1505"/>
      <c r="E46" s="482"/>
      <c r="F46" s="1506" t="e">
        <f>VLOOKUP($M$45,'CAP Data'!$C$3:$Q$2688,12,FALSE)</f>
        <v>#N/A</v>
      </c>
      <c r="G46" s="1506"/>
      <c r="H46" s="1506"/>
      <c r="I46" s="1506"/>
      <c r="J46" s="1506"/>
      <c r="K46" s="1506"/>
      <c r="L46" s="1507"/>
    </row>
    <row r="47" spans="1:13" ht="14.5" x14ac:dyDescent="0.25">
      <c r="A47" s="1503" t="s">
        <v>2562</v>
      </c>
      <c r="B47" s="1504"/>
      <c r="C47" s="1508" t="e">
        <f>VLOOKUP($M$45,'CAP Data'!$C$3:$Q$2688,11,FALSE)</f>
        <v>#N/A</v>
      </c>
      <c r="D47" s="1508"/>
      <c r="E47" s="482"/>
      <c r="F47" s="1506" t="e">
        <f>VLOOKUP($M$45,'CAP Data'!$C$3:$Q$2688,13,FALSE)</f>
        <v>#N/A</v>
      </c>
      <c r="G47" s="1506"/>
      <c r="H47" s="1506"/>
      <c r="I47" s="1506"/>
      <c r="J47" s="1509" t="e">
        <f>VLOOKUP($M$45,'CAP Data'!$C$3:$Q$2688,14,FALSE)</f>
        <v>#N/A</v>
      </c>
      <c r="K47" s="1509"/>
      <c r="L47" s="1510"/>
    </row>
    <row r="48" spans="1:13" ht="39" customHeight="1" thickBot="1" x14ac:dyDescent="0.3">
      <c r="A48" s="1489" t="s">
        <v>2563</v>
      </c>
      <c r="B48" s="1490"/>
      <c r="C48" s="1491" t="e">
        <f>VLOOKUP($M$45,'CAP Data'!$C$3:$Q$2688,15,FALSE)</f>
        <v>#N/A</v>
      </c>
      <c r="D48" s="1492"/>
      <c r="E48" s="1492"/>
      <c r="F48" s="1492"/>
      <c r="G48" s="1492"/>
      <c r="H48" s="1492"/>
      <c r="I48" s="1492"/>
      <c r="J48" s="1492"/>
      <c r="K48" s="1492"/>
      <c r="L48" s="1493"/>
    </row>
    <row r="49" spans="1:13" ht="13" thickBot="1" x14ac:dyDescent="0.3"/>
    <row r="50" spans="1:13" ht="15.5" x14ac:dyDescent="0.35">
      <c r="A50" s="479" t="s">
        <v>2623</v>
      </c>
      <c r="B50" s="480">
        <v>8</v>
      </c>
      <c r="C50" s="480"/>
      <c r="D50" s="480"/>
      <c r="E50" s="480"/>
      <c r="F50" s="1494" t="s">
        <v>2558</v>
      </c>
      <c r="G50" s="1494"/>
      <c r="H50" s="1494"/>
      <c r="I50" s="1494"/>
      <c r="J50" s="1494"/>
      <c r="K50" s="1495" t="e">
        <f>CONCATENATE(VLOOKUP($M$51,'CAP Data'!$C$3:$Q$2688,3,FALSE),"-",VLOOKUP($M$51,'CAP Data'!$C$3:$Q$2688,4,FALSE))</f>
        <v>#N/A</v>
      </c>
      <c r="L50" s="1496"/>
      <c r="M50" s="489"/>
    </row>
    <row r="51" spans="1:13" ht="14.5" x14ac:dyDescent="0.25">
      <c r="A51" s="1497" t="s">
        <v>2559</v>
      </c>
      <c r="B51" s="1498"/>
      <c r="C51" s="1499" t="e">
        <f>VLOOKUP($M$51,'CAP Data'!$C$3:$Q$2688,5,FALSE)</f>
        <v>#N/A</v>
      </c>
      <c r="D51" s="1500"/>
      <c r="E51" s="481"/>
      <c r="F51" s="1501" t="s">
        <v>2560</v>
      </c>
      <c r="G51" s="1501"/>
      <c r="H51" s="1501"/>
      <c r="I51" s="1501"/>
      <c r="J51" s="1501"/>
      <c r="K51" s="1501"/>
      <c r="L51" s="1502"/>
      <c r="M51" s="492" t="str">
        <f>CONCATENATE($O$1,B50)</f>
        <v>08</v>
      </c>
    </row>
    <row r="52" spans="1:13" ht="14.5" x14ac:dyDescent="0.25">
      <c r="A52" s="1503" t="s">
        <v>2561</v>
      </c>
      <c r="B52" s="1504"/>
      <c r="C52" s="1505" t="e">
        <f>VLOOKUP($M$51,'CAP Data'!$C$3:$Q$2688,10,FALSE)</f>
        <v>#N/A</v>
      </c>
      <c r="D52" s="1505"/>
      <c r="E52" s="482"/>
      <c r="F52" s="1506" t="e">
        <f>VLOOKUP($M$51,'CAP Data'!$C$3:$Q$2688,12,FALSE)</f>
        <v>#N/A</v>
      </c>
      <c r="G52" s="1506"/>
      <c r="H52" s="1506"/>
      <c r="I52" s="1506"/>
      <c r="J52" s="1506"/>
      <c r="K52" s="1506"/>
      <c r="L52" s="1507"/>
    </row>
    <row r="53" spans="1:13" ht="14.5" x14ac:dyDescent="0.25">
      <c r="A53" s="1503" t="s">
        <v>2562</v>
      </c>
      <c r="B53" s="1504"/>
      <c r="C53" s="1508" t="e">
        <f>VLOOKUP($M$51,'CAP Data'!$C$3:$Q$2688,11,FALSE)</f>
        <v>#N/A</v>
      </c>
      <c r="D53" s="1508"/>
      <c r="E53" s="482"/>
      <c r="F53" s="1506" t="e">
        <f>VLOOKUP($M$51,'CAP Data'!$C$3:$Q$2688,13,FALSE)</f>
        <v>#N/A</v>
      </c>
      <c r="G53" s="1506"/>
      <c r="H53" s="1506"/>
      <c r="I53" s="1506"/>
      <c r="J53" s="1509" t="e">
        <f>VLOOKUP($M$51,'CAP Data'!$C$3:$Q$2688,14,FALSE)</f>
        <v>#N/A</v>
      </c>
      <c r="K53" s="1509"/>
      <c r="L53" s="1510"/>
    </row>
    <row r="54" spans="1:13" ht="39" customHeight="1" thickBot="1" x14ac:dyDescent="0.3">
      <c r="A54" s="1489" t="s">
        <v>2563</v>
      </c>
      <c r="B54" s="1490"/>
      <c r="C54" s="1491" t="e">
        <f>VLOOKUP($M$51,'CAP Data'!$C$3:$Q$2688,15,FALSE)</f>
        <v>#N/A</v>
      </c>
      <c r="D54" s="1492"/>
      <c r="E54" s="1492"/>
      <c r="F54" s="1492"/>
      <c r="G54" s="1492"/>
      <c r="H54" s="1492"/>
      <c r="I54" s="1492"/>
      <c r="J54" s="1492"/>
      <c r="K54" s="1492"/>
      <c r="L54" s="1493"/>
    </row>
    <row r="55" spans="1:13" ht="13" thickBot="1" x14ac:dyDescent="0.3"/>
    <row r="56" spans="1:13" ht="15.5" x14ac:dyDescent="0.35">
      <c r="A56" s="479" t="s">
        <v>2623</v>
      </c>
      <c r="B56" s="480">
        <v>9</v>
      </c>
      <c r="C56" s="480"/>
      <c r="D56" s="480"/>
      <c r="E56" s="480"/>
      <c r="F56" s="1494" t="s">
        <v>2558</v>
      </c>
      <c r="G56" s="1494"/>
      <c r="H56" s="1494"/>
      <c r="I56" s="1494"/>
      <c r="J56" s="1494"/>
      <c r="K56" s="1495" t="e">
        <f>CONCATENATE(VLOOKUP($M$57,'CAP Data'!$C$3:$Q$2688,3,FALSE),"-",VLOOKUP($M$57,'CAP Data'!$C$3:$Q$2688,4,FALSE))</f>
        <v>#N/A</v>
      </c>
      <c r="L56" s="1496"/>
      <c r="M56" s="489"/>
    </row>
    <row r="57" spans="1:13" ht="14.5" x14ac:dyDescent="0.25">
      <c r="A57" s="1497" t="s">
        <v>2559</v>
      </c>
      <c r="B57" s="1498"/>
      <c r="C57" s="1499" t="e">
        <f>VLOOKUP($M$57,'CAP Data'!$C$3:$Q$2688,5,FALSE)</f>
        <v>#N/A</v>
      </c>
      <c r="D57" s="1500"/>
      <c r="E57" s="481"/>
      <c r="F57" s="1501" t="s">
        <v>2560</v>
      </c>
      <c r="G57" s="1501"/>
      <c r="H57" s="1501"/>
      <c r="I57" s="1501"/>
      <c r="J57" s="1501"/>
      <c r="K57" s="1501"/>
      <c r="L57" s="1502"/>
      <c r="M57" s="492" t="str">
        <f>CONCATENATE($O$1,B56)</f>
        <v>09</v>
      </c>
    </row>
    <row r="58" spans="1:13" ht="14.5" x14ac:dyDescent="0.25">
      <c r="A58" s="1503" t="s">
        <v>2561</v>
      </c>
      <c r="B58" s="1504"/>
      <c r="C58" s="1505" t="e">
        <f>VLOOKUP($M$57,'CAP Data'!$C$3:$Q$2688,10,FALSE)</f>
        <v>#N/A</v>
      </c>
      <c r="D58" s="1505"/>
      <c r="E58" s="482"/>
      <c r="F58" s="1506" t="e">
        <f>VLOOKUP($M$57,'CAP Data'!$C$3:$Q$2688,12,FALSE)</f>
        <v>#N/A</v>
      </c>
      <c r="G58" s="1506"/>
      <c r="H58" s="1506"/>
      <c r="I58" s="1506"/>
      <c r="J58" s="1506"/>
      <c r="K58" s="1506"/>
      <c r="L58" s="1507"/>
    </row>
    <row r="59" spans="1:13" ht="14.5" x14ac:dyDescent="0.25">
      <c r="A59" s="1503" t="s">
        <v>2562</v>
      </c>
      <c r="B59" s="1504"/>
      <c r="C59" s="1508" t="e">
        <f>VLOOKUP($M$57,'CAP Data'!$C$3:$Q$2688,11,FALSE)</f>
        <v>#N/A</v>
      </c>
      <c r="D59" s="1508"/>
      <c r="E59" s="482"/>
      <c r="F59" s="1506" t="e">
        <f>VLOOKUP($M$57,'CAP Data'!$C$3:$Q$2688,13,FALSE)</f>
        <v>#N/A</v>
      </c>
      <c r="G59" s="1506"/>
      <c r="H59" s="1506"/>
      <c r="I59" s="1506"/>
      <c r="J59" s="1509" t="e">
        <f>VLOOKUP($M$57,'CAP Data'!$C$3:$Q$2688,14,FALSE)</f>
        <v>#N/A</v>
      </c>
      <c r="K59" s="1509"/>
      <c r="L59" s="1510"/>
    </row>
    <row r="60" spans="1:13" ht="39" customHeight="1" thickBot="1" x14ac:dyDescent="0.3">
      <c r="A60" s="1489" t="s">
        <v>2563</v>
      </c>
      <c r="B60" s="1490"/>
      <c r="C60" s="1491" t="e">
        <f>VLOOKUP($M$57,'CAP Data'!$C$3:$Q$2688,15,FALSE)</f>
        <v>#N/A</v>
      </c>
      <c r="D60" s="1492"/>
      <c r="E60" s="1492"/>
      <c r="F60" s="1492"/>
      <c r="G60" s="1492"/>
      <c r="H60" s="1492"/>
      <c r="I60" s="1492"/>
      <c r="J60" s="1492"/>
      <c r="K60" s="1492"/>
      <c r="L60" s="1493"/>
    </row>
    <row r="61" spans="1:13" ht="13" thickBot="1" x14ac:dyDescent="0.3"/>
    <row r="62" spans="1:13" ht="15.5" x14ac:dyDescent="0.35">
      <c r="A62" s="479" t="s">
        <v>2623</v>
      </c>
      <c r="B62" s="480">
        <v>10</v>
      </c>
      <c r="C62" s="480"/>
      <c r="D62" s="480"/>
      <c r="E62" s="480"/>
      <c r="F62" s="1494" t="s">
        <v>2558</v>
      </c>
      <c r="G62" s="1494"/>
      <c r="H62" s="1494"/>
      <c r="I62" s="1494"/>
      <c r="J62" s="1494"/>
      <c r="K62" s="1495" t="e">
        <f>CONCATENATE(VLOOKUP($M$63,'CAP Data'!$C$3:$Q$2688,3,FALSE),"-",VLOOKUP($M$63,'CAP Data'!$C$3:$Q$2688,4,FALSE))</f>
        <v>#N/A</v>
      </c>
      <c r="L62" s="1496"/>
      <c r="M62" s="489"/>
    </row>
    <row r="63" spans="1:13" ht="14.5" x14ac:dyDescent="0.25">
      <c r="A63" s="1497" t="s">
        <v>2559</v>
      </c>
      <c r="B63" s="1498"/>
      <c r="C63" s="1499" t="e">
        <f>VLOOKUP($M$63,'CAP Data'!$C$3:$Q$2688,5,FALSE)</f>
        <v>#N/A</v>
      </c>
      <c r="D63" s="1500"/>
      <c r="E63" s="481"/>
      <c r="F63" s="1501" t="s">
        <v>2560</v>
      </c>
      <c r="G63" s="1501"/>
      <c r="H63" s="1501"/>
      <c r="I63" s="1501"/>
      <c r="J63" s="1501"/>
      <c r="K63" s="1501"/>
      <c r="L63" s="1502"/>
      <c r="M63" s="492" t="str">
        <f>CONCATENATE($O$1,B62)</f>
        <v>010</v>
      </c>
    </row>
    <row r="64" spans="1:13" ht="14.5" x14ac:dyDescent="0.25">
      <c r="A64" s="1503" t="s">
        <v>2561</v>
      </c>
      <c r="B64" s="1504"/>
      <c r="C64" s="1505" t="e">
        <f>VLOOKUP($M$63,'CAP Data'!$C$3:$Q$2688,10,FALSE)</f>
        <v>#N/A</v>
      </c>
      <c r="D64" s="1505"/>
      <c r="E64" s="482"/>
      <c r="F64" s="1506" t="e">
        <f>VLOOKUP($M$63,'CAP Data'!$C$3:$Q$2688,12,FALSE)</f>
        <v>#N/A</v>
      </c>
      <c r="G64" s="1506"/>
      <c r="H64" s="1506"/>
      <c r="I64" s="1506"/>
      <c r="J64" s="1506"/>
      <c r="K64" s="1506"/>
      <c r="L64" s="1507"/>
    </row>
    <row r="65" spans="1:13" ht="14.5" x14ac:dyDescent="0.25">
      <c r="A65" s="1503" t="s">
        <v>2562</v>
      </c>
      <c r="B65" s="1504"/>
      <c r="C65" s="1508" t="e">
        <f>VLOOKUP($M$63,'CAP Data'!$C$3:$Q$2688,11,FALSE)</f>
        <v>#N/A</v>
      </c>
      <c r="D65" s="1508"/>
      <c r="E65" s="482"/>
      <c r="F65" s="1506" t="e">
        <f>VLOOKUP($M$63,'CAP Data'!$C$3:$Q$2688,13,FALSE)</f>
        <v>#N/A</v>
      </c>
      <c r="G65" s="1506"/>
      <c r="H65" s="1506"/>
      <c r="I65" s="1506"/>
      <c r="J65" s="1509" t="e">
        <f>VLOOKUP($M$63,'CAP Data'!$C$3:$Q$2688,14,FALSE)</f>
        <v>#N/A</v>
      </c>
      <c r="K65" s="1509"/>
      <c r="L65" s="1510"/>
    </row>
    <row r="66" spans="1:13" ht="39" customHeight="1" thickBot="1" x14ac:dyDescent="0.3">
      <c r="A66" s="1489" t="s">
        <v>2563</v>
      </c>
      <c r="B66" s="1490"/>
      <c r="C66" s="1491" t="e">
        <f>VLOOKUP($M$63,'CAP Data'!$C$3:$Q$2688,15,FALSE)</f>
        <v>#N/A</v>
      </c>
      <c r="D66" s="1492"/>
      <c r="E66" s="1492"/>
      <c r="F66" s="1492"/>
      <c r="G66" s="1492"/>
      <c r="H66" s="1492"/>
      <c r="I66" s="1492"/>
      <c r="J66" s="1492"/>
      <c r="K66" s="1492"/>
      <c r="L66" s="1493"/>
    </row>
    <row r="67" spans="1:13" ht="13" thickBot="1" x14ac:dyDescent="0.3"/>
    <row r="68" spans="1:13" ht="15.5" x14ac:dyDescent="0.35">
      <c r="A68" s="479" t="s">
        <v>2623</v>
      </c>
      <c r="B68" s="480">
        <v>11</v>
      </c>
      <c r="C68" s="480"/>
      <c r="D68" s="480"/>
      <c r="E68" s="480"/>
      <c r="F68" s="1494" t="s">
        <v>2558</v>
      </c>
      <c r="G68" s="1494"/>
      <c r="H68" s="1494"/>
      <c r="I68" s="1494"/>
      <c r="J68" s="1494"/>
      <c r="K68" s="1495" t="e">
        <f>CONCATENATE(VLOOKUP($M$69,'CAP Data'!$C$3:$Q$2688,3,FALSE),"-",VLOOKUP($M$69,'CAP Data'!$C$3:$Q$2688,4,FALSE))</f>
        <v>#N/A</v>
      </c>
      <c r="L68" s="1496"/>
      <c r="M68" s="489"/>
    </row>
    <row r="69" spans="1:13" ht="14.5" x14ac:dyDescent="0.25">
      <c r="A69" s="1497" t="s">
        <v>2559</v>
      </c>
      <c r="B69" s="1498"/>
      <c r="C69" s="1499" t="e">
        <f>VLOOKUP($M$69,'CAP Data'!$C$3:$Q$2688,5,FALSE)</f>
        <v>#N/A</v>
      </c>
      <c r="D69" s="1500"/>
      <c r="E69" s="481"/>
      <c r="F69" s="1501" t="s">
        <v>2560</v>
      </c>
      <c r="G69" s="1501"/>
      <c r="H69" s="1501"/>
      <c r="I69" s="1501"/>
      <c r="J69" s="1501"/>
      <c r="K69" s="1501"/>
      <c r="L69" s="1502"/>
      <c r="M69" s="492" t="str">
        <f>CONCATENATE($O$1,B68)</f>
        <v>011</v>
      </c>
    </row>
    <row r="70" spans="1:13" ht="14.5" x14ac:dyDescent="0.25">
      <c r="A70" s="1503" t="s">
        <v>2561</v>
      </c>
      <c r="B70" s="1504"/>
      <c r="C70" s="1505" t="e">
        <f>VLOOKUP($M$69,'CAP Data'!$C$3:$Q$2688,10,FALSE)</f>
        <v>#N/A</v>
      </c>
      <c r="D70" s="1505"/>
      <c r="E70" s="482"/>
      <c r="F70" s="1506" t="e">
        <f>VLOOKUP($M$69,'CAP Data'!$C$3:$Q$2688,12,FALSE)</f>
        <v>#N/A</v>
      </c>
      <c r="G70" s="1506"/>
      <c r="H70" s="1506"/>
      <c r="I70" s="1506"/>
      <c r="J70" s="1506"/>
      <c r="K70" s="1506"/>
      <c r="L70" s="1507"/>
    </row>
    <row r="71" spans="1:13" ht="14.5" x14ac:dyDescent="0.25">
      <c r="A71" s="1503" t="s">
        <v>2562</v>
      </c>
      <c r="B71" s="1504"/>
      <c r="C71" s="1508" t="e">
        <f>VLOOKUP($M$69,'CAP Data'!$C$3:$Q$2688,11,FALSE)</f>
        <v>#N/A</v>
      </c>
      <c r="D71" s="1508"/>
      <c r="E71" s="482"/>
      <c r="F71" s="1506" t="e">
        <f>VLOOKUP($M$69,'CAP Data'!$C$3:$Q$2688,13,FALSE)</f>
        <v>#N/A</v>
      </c>
      <c r="G71" s="1506"/>
      <c r="H71" s="1506"/>
      <c r="I71" s="1506"/>
      <c r="J71" s="1509" t="e">
        <f>VLOOKUP($M$69,'CAP Data'!$C$3:$Q$2688,14,FALSE)</f>
        <v>#N/A</v>
      </c>
      <c r="K71" s="1509"/>
      <c r="L71" s="1510"/>
    </row>
    <row r="72" spans="1:13" ht="39" customHeight="1" thickBot="1" x14ac:dyDescent="0.3">
      <c r="A72" s="1489" t="s">
        <v>2563</v>
      </c>
      <c r="B72" s="1490"/>
      <c r="C72" s="1491" t="e">
        <f>VLOOKUP($M$69,'CAP Data'!$C$3:$Q$2688,15,FALSE)</f>
        <v>#N/A</v>
      </c>
      <c r="D72" s="1492"/>
      <c r="E72" s="1492"/>
      <c r="F72" s="1492"/>
      <c r="G72" s="1492"/>
      <c r="H72" s="1492"/>
      <c r="I72" s="1492"/>
      <c r="J72" s="1492"/>
      <c r="K72" s="1492"/>
      <c r="L72" s="1493"/>
    </row>
    <row r="73" spans="1:13" ht="13" thickBot="1" x14ac:dyDescent="0.3"/>
    <row r="74" spans="1:13" ht="15.5" x14ac:dyDescent="0.35">
      <c r="A74" s="479" t="s">
        <v>2623</v>
      </c>
      <c r="B74" s="480">
        <v>12</v>
      </c>
      <c r="C74" s="480"/>
      <c r="D74" s="480"/>
      <c r="E74" s="480"/>
      <c r="F74" s="1494" t="s">
        <v>2558</v>
      </c>
      <c r="G74" s="1494"/>
      <c r="H74" s="1494"/>
      <c r="I74" s="1494"/>
      <c r="J74" s="1494"/>
      <c r="K74" s="1495" t="e">
        <f>CONCATENATE(VLOOKUP($M$75,'CAP Data'!$C$3:$Q$2688,3,FALSE),"-",VLOOKUP($M$75,'CAP Data'!$C$3:$Q$2688,4,FALSE))</f>
        <v>#N/A</v>
      </c>
      <c r="L74" s="1496"/>
      <c r="M74" s="489"/>
    </row>
    <row r="75" spans="1:13" ht="14.5" x14ac:dyDescent="0.25">
      <c r="A75" s="1497" t="s">
        <v>2559</v>
      </c>
      <c r="B75" s="1498"/>
      <c r="C75" s="1499" t="e">
        <f>VLOOKUP($M$75,'CAP Data'!$C$3:$Q$2688,5,FALSE)</f>
        <v>#N/A</v>
      </c>
      <c r="D75" s="1500"/>
      <c r="E75" s="481"/>
      <c r="F75" s="1501" t="s">
        <v>2560</v>
      </c>
      <c r="G75" s="1501"/>
      <c r="H75" s="1501"/>
      <c r="I75" s="1501"/>
      <c r="J75" s="1501"/>
      <c r="K75" s="1501"/>
      <c r="L75" s="1502"/>
      <c r="M75" s="492" t="str">
        <f>CONCATENATE($O$1,B74)</f>
        <v>012</v>
      </c>
    </row>
    <row r="76" spans="1:13" ht="14.5" x14ac:dyDescent="0.25">
      <c r="A76" s="1503" t="s">
        <v>2561</v>
      </c>
      <c r="B76" s="1504"/>
      <c r="C76" s="1505" t="e">
        <f>VLOOKUP($M$75,'CAP Data'!$C$3:$Q$2688,10,FALSE)</f>
        <v>#N/A</v>
      </c>
      <c r="D76" s="1505"/>
      <c r="E76" s="482"/>
      <c r="F76" s="1506" t="e">
        <f>VLOOKUP($M$75,'CAP Data'!$C$3:$Q$2688,12,FALSE)</f>
        <v>#N/A</v>
      </c>
      <c r="G76" s="1506"/>
      <c r="H76" s="1506"/>
      <c r="I76" s="1506"/>
      <c r="J76" s="1506"/>
      <c r="K76" s="1506"/>
      <c r="L76" s="1507"/>
    </row>
    <row r="77" spans="1:13" ht="14.5" x14ac:dyDescent="0.25">
      <c r="A77" s="1503" t="s">
        <v>2562</v>
      </c>
      <c r="B77" s="1504"/>
      <c r="C77" s="1508" t="e">
        <f>VLOOKUP($M$75,'CAP Data'!$C$3:$Q$2688,11,FALSE)</f>
        <v>#N/A</v>
      </c>
      <c r="D77" s="1508"/>
      <c r="E77" s="482"/>
      <c r="F77" s="1506" t="e">
        <f>VLOOKUP($M$75,'CAP Data'!$C$3:$Q$2688,13,FALSE)</f>
        <v>#N/A</v>
      </c>
      <c r="G77" s="1506"/>
      <c r="H77" s="1506"/>
      <c r="I77" s="1506"/>
      <c r="J77" s="1509" t="e">
        <f>VLOOKUP($M$75,'CAP Data'!$C$3:$Q$2688,14,FALSE)</f>
        <v>#N/A</v>
      </c>
      <c r="K77" s="1509"/>
      <c r="L77" s="1510"/>
    </row>
    <row r="78" spans="1:13" ht="39" customHeight="1" thickBot="1" x14ac:dyDescent="0.3">
      <c r="A78" s="1489" t="s">
        <v>2563</v>
      </c>
      <c r="B78" s="1490"/>
      <c r="C78" s="1491" t="e">
        <f>VLOOKUP($M$75,'CAP Data'!$C$3:$Q$2688,15,FALSE)</f>
        <v>#N/A</v>
      </c>
      <c r="D78" s="1492"/>
      <c r="E78" s="1492"/>
      <c r="F78" s="1492"/>
      <c r="G78" s="1492"/>
      <c r="H78" s="1492"/>
      <c r="I78" s="1492"/>
      <c r="J78" s="1492"/>
      <c r="K78" s="1492"/>
      <c r="L78" s="1493"/>
    </row>
    <row r="79" spans="1:13" ht="13" thickBot="1" x14ac:dyDescent="0.3"/>
    <row r="80" spans="1:13" ht="15.5" x14ac:dyDescent="0.35">
      <c r="A80" s="479" t="s">
        <v>2623</v>
      </c>
      <c r="B80" s="480">
        <v>13</v>
      </c>
      <c r="C80" s="480"/>
      <c r="D80" s="480"/>
      <c r="E80" s="480"/>
      <c r="F80" s="1494" t="s">
        <v>2558</v>
      </c>
      <c r="G80" s="1494"/>
      <c r="H80" s="1494"/>
      <c r="I80" s="1494"/>
      <c r="J80" s="1494"/>
      <c r="K80" s="1495" t="e">
        <f>CONCATENATE(VLOOKUP($M$81,'CAP Data'!$C$3:$Q$2688,3,FALSE),"-",VLOOKUP($M$81,'CAP Data'!$C$3:$Q$2688,4,FALSE))</f>
        <v>#N/A</v>
      </c>
      <c r="L80" s="1496"/>
      <c r="M80" s="489"/>
    </row>
    <row r="81" spans="1:13" ht="14.5" x14ac:dyDescent="0.25">
      <c r="A81" s="1497" t="s">
        <v>2559</v>
      </c>
      <c r="B81" s="1498"/>
      <c r="C81" s="1499" t="e">
        <f>VLOOKUP($M$81,'CAP Data'!$C$3:$Q$2688,5,FALSE)</f>
        <v>#N/A</v>
      </c>
      <c r="D81" s="1500"/>
      <c r="E81" s="481"/>
      <c r="F81" s="1501" t="s">
        <v>2560</v>
      </c>
      <c r="G81" s="1501"/>
      <c r="H81" s="1501"/>
      <c r="I81" s="1501"/>
      <c r="J81" s="1501"/>
      <c r="K81" s="1501"/>
      <c r="L81" s="1502"/>
      <c r="M81" s="492" t="str">
        <f>CONCATENATE($O$1,B80)</f>
        <v>013</v>
      </c>
    </row>
    <row r="82" spans="1:13" ht="14.5" x14ac:dyDescent="0.25">
      <c r="A82" s="1503" t="s">
        <v>2561</v>
      </c>
      <c r="B82" s="1504"/>
      <c r="C82" s="1505" t="e">
        <f>VLOOKUP($M$81,'CAP Data'!$C$3:$Q$2688,10,FALSE)</f>
        <v>#N/A</v>
      </c>
      <c r="D82" s="1505"/>
      <c r="E82" s="482"/>
      <c r="F82" s="1506" t="e">
        <f>VLOOKUP($M$81,'CAP Data'!$C$3:$Q$2688,12,FALSE)</f>
        <v>#N/A</v>
      </c>
      <c r="G82" s="1506"/>
      <c r="H82" s="1506"/>
      <c r="I82" s="1506"/>
      <c r="J82" s="1506"/>
      <c r="K82" s="1506"/>
      <c r="L82" s="1507"/>
    </row>
    <row r="83" spans="1:13" ht="14.5" x14ac:dyDescent="0.25">
      <c r="A83" s="1503" t="s">
        <v>2562</v>
      </c>
      <c r="B83" s="1504"/>
      <c r="C83" s="1508" t="e">
        <f>VLOOKUP($M$81,'CAP Data'!$C$3:$Q$2688,11,FALSE)</f>
        <v>#N/A</v>
      </c>
      <c r="D83" s="1508"/>
      <c r="E83" s="482"/>
      <c r="F83" s="1506" t="e">
        <f>VLOOKUP($M$81,'CAP Data'!$C$3:$Q$2688,13,FALSE)</f>
        <v>#N/A</v>
      </c>
      <c r="G83" s="1506"/>
      <c r="H83" s="1506"/>
      <c r="I83" s="1506"/>
      <c r="J83" s="1509" t="e">
        <f>VLOOKUP($M$81,'CAP Data'!$C$3:$Q$2688,14,FALSE)</f>
        <v>#N/A</v>
      </c>
      <c r="K83" s="1509"/>
      <c r="L83" s="1510"/>
    </row>
    <row r="84" spans="1:13" ht="39" customHeight="1" thickBot="1" x14ac:dyDescent="0.3">
      <c r="A84" s="1489" t="s">
        <v>2563</v>
      </c>
      <c r="B84" s="1490"/>
      <c r="C84" s="1491" t="e">
        <f>VLOOKUP($M$81,'CAP Data'!$C$3:$Q$2688,15,FALSE)</f>
        <v>#N/A</v>
      </c>
      <c r="D84" s="1492"/>
      <c r="E84" s="1492"/>
      <c r="F84" s="1492"/>
      <c r="G84" s="1492"/>
      <c r="H84" s="1492"/>
      <c r="I84" s="1492"/>
      <c r="J84" s="1492"/>
      <c r="K84" s="1492"/>
      <c r="L84" s="1493"/>
    </row>
    <row r="85" spans="1:13" ht="13" thickBot="1" x14ac:dyDescent="0.3"/>
    <row r="86" spans="1:13" ht="15.5" x14ac:dyDescent="0.35">
      <c r="A86" s="479" t="s">
        <v>2623</v>
      </c>
      <c r="B86" s="480">
        <v>14</v>
      </c>
      <c r="C86" s="480"/>
      <c r="D86" s="480"/>
      <c r="E86" s="480"/>
      <c r="F86" s="1494" t="s">
        <v>2558</v>
      </c>
      <c r="G86" s="1494"/>
      <c r="H86" s="1494"/>
      <c r="I86" s="1494"/>
      <c r="J86" s="1494"/>
      <c r="K86" s="1495" t="e">
        <f>CONCATENATE(VLOOKUP($M$93,'CAP Data'!$C$3:$Q$2688,3,FALSE),"-",VLOOKUP($M$93,'CAP Data'!$C$3:$Q$2688,4,FALSE))</f>
        <v>#N/A</v>
      </c>
      <c r="L86" s="1496"/>
      <c r="M86" s="489"/>
    </row>
    <row r="87" spans="1:13" ht="14.5" x14ac:dyDescent="0.25">
      <c r="A87" s="1497" t="s">
        <v>2559</v>
      </c>
      <c r="B87" s="1498"/>
      <c r="C87" s="1499" t="e">
        <f>VLOOKUP($M$93,'CAP Data'!$C$3:$Q$2688,5,FALSE)</f>
        <v>#N/A</v>
      </c>
      <c r="D87" s="1500"/>
      <c r="E87" s="481"/>
      <c r="F87" s="1501" t="s">
        <v>2560</v>
      </c>
      <c r="G87" s="1501"/>
      <c r="H87" s="1501"/>
      <c r="I87" s="1501"/>
      <c r="J87" s="1501"/>
      <c r="K87" s="1501"/>
      <c r="L87" s="1502"/>
      <c r="M87" s="492" t="str">
        <f>CONCATENATE($O$1,B86)</f>
        <v>014</v>
      </c>
    </row>
    <row r="88" spans="1:13" ht="14.5" x14ac:dyDescent="0.25">
      <c r="A88" s="1503" t="s">
        <v>2561</v>
      </c>
      <c r="B88" s="1504"/>
      <c r="C88" s="1505" t="e">
        <f>VLOOKUP($M$93,'CAP Data'!$C$3:$Q$2688,10,FALSE)</f>
        <v>#N/A</v>
      </c>
      <c r="D88" s="1505"/>
      <c r="E88" s="482"/>
      <c r="F88" s="1506" t="e">
        <f>VLOOKUP($M$93,'CAP Data'!$C$3:$Q$2688,12,FALSE)</f>
        <v>#N/A</v>
      </c>
      <c r="G88" s="1506"/>
      <c r="H88" s="1506"/>
      <c r="I88" s="1506"/>
      <c r="J88" s="1506"/>
      <c r="K88" s="1506"/>
      <c r="L88" s="1507"/>
    </row>
    <row r="89" spans="1:13" ht="14.5" x14ac:dyDescent="0.25">
      <c r="A89" s="1503" t="s">
        <v>2562</v>
      </c>
      <c r="B89" s="1504"/>
      <c r="C89" s="1508" t="e">
        <f>VLOOKUP($M$93,'CAP Data'!$C$3:$Q$2688,11,FALSE)</f>
        <v>#N/A</v>
      </c>
      <c r="D89" s="1508"/>
      <c r="E89" s="482"/>
      <c r="F89" s="1506" t="e">
        <f>VLOOKUP($M$93,'CAP Data'!$C$3:$Q$2688,13,FALSE)</f>
        <v>#N/A</v>
      </c>
      <c r="G89" s="1506"/>
      <c r="H89" s="1506"/>
      <c r="I89" s="1506"/>
      <c r="J89" s="1509" t="e">
        <f>VLOOKUP($M$93,'CAP Data'!$C$3:$Q$2688,14,FALSE)</f>
        <v>#N/A</v>
      </c>
      <c r="K89" s="1509"/>
      <c r="L89" s="1510"/>
    </row>
    <row r="90" spans="1:13" ht="39" customHeight="1" thickBot="1" x14ac:dyDescent="0.3">
      <c r="A90" s="1489" t="s">
        <v>2563</v>
      </c>
      <c r="B90" s="1490"/>
      <c r="C90" s="1491" t="e">
        <f>VLOOKUP($M$93,'CAP Data'!$C$3:$Q$2688,15,FALSE)</f>
        <v>#N/A</v>
      </c>
      <c r="D90" s="1492"/>
      <c r="E90" s="1492"/>
      <c r="F90" s="1492"/>
      <c r="G90" s="1492"/>
      <c r="H90" s="1492"/>
      <c r="I90" s="1492"/>
      <c r="J90" s="1492"/>
      <c r="K90" s="1492"/>
      <c r="L90" s="1493"/>
    </row>
    <row r="91" spans="1:13" ht="13" thickBot="1" x14ac:dyDescent="0.3"/>
    <row r="92" spans="1:13" ht="15.5" x14ac:dyDescent="0.35">
      <c r="A92" s="479" t="s">
        <v>2623</v>
      </c>
      <c r="B92" s="480">
        <v>15</v>
      </c>
      <c r="C92" s="480"/>
      <c r="D92" s="480"/>
      <c r="E92" s="480"/>
      <c r="F92" s="1494" t="s">
        <v>2558</v>
      </c>
      <c r="G92" s="1494"/>
      <c r="H92" s="1494"/>
      <c r="I92" s="1494"/>
      <c r="J92" s="1494"/>
      <c r="K92" s="1495" t="e">
        <f>CONCATENATE(VLOOKUP($M$93,'CAP Data'!$C$3:$Q$2688,3,FALSE),"-",VLOOKUP($M$93,'CAP Data'!$C$3:$Q$2688,4,FALSE))</f>
        <v>#N/A</v>
      </c>
      <c r="L92" s="1496"/>
      <c r="M92" s="489"/>
    </row>
    <row r="93" spans="1:13" ht="14.5" x14ac:dyDescent="0.25">
      <c r="A93" s="1497" t="s">
        <v>2559</v>
      </c>
      <c r="B93" s="1498"/>
      <c r="C93" s="1499" t="e">
        <f>VLOOKUP($M$93,'CAP Data'!$C$3:$Q$2688,5,FALSE)</f>
        <v>#N/A</v>
      </c>
      <c r="D93" s="1500"/>
      <c r="E93" s="481"/>
      <c r="F93" s="1501" t="s">
        <v>2560</v>
      </c>
      <c r="G93" s="1501"/>
      <c r="H93" s="1501"/>
      <c r="I93" s="1501"/>
      <c r="J93" s="1501"/>
      <c r="K93" s="1501"/>
      <c r="L93" s="1502"/>
      <c r="M93" s="492" t="str">
        <f>CONCATENATE($O$1,B92)</f>
        <v>015</v>
      </c>
    </row>
    <row r="94" spans="1:13" ht="14.5" x14ac:dyDescent="0.25">
      <c r="A94" s="1503" t="s">
        <v>2561</v>
      </c>
      <c r="B94" s="1504"/>
      <c r="C94" s="1505" t="e">
        <f>VLOOKUP($M$93,'CAP Data'!$C$3:$Q$2688,10,FALSE)</f>
        <v>#N/A</v>
      </c>
      <c r="D94" s="1505"/>
      <c r="E94" s="482"/>
      <c r="F94" s="1506" t="e">
        <f>VLOOKUP($M$93,'CAP Data'!$C$3:$Q$2688,12,FALSE)</f>
        <v>#N/A</v>
      </c>
      <c r="G94" s="1506"/>
      <c r="H94" s="1506"/>
      <c r="I94" s="1506"/>
      <c r="J94" s="1506"/>
      <c r="K94" s="1506"/>
      <c r="L94" s="1507"/>
    </row>
    <row r="95" spans="1:13" ht="14.5" x14ac:dyDescent="0.25">
      <c r="A95" s="1503" t="s">
        <v>2562</v>
      </c>
      <c r="B95" s="1504"/>
      <c r="C95" s="1508" t="e">
        <f>VLOOKUP($M$93,'CAP Data'!$C$3:$Q$2688,11,FALSE)</f>
        <v>#N/A</v>
      </c>
      <c r="D95" s="1508"/>
      <c r="E95" s="482"/>
      <c r="F95" s="1506" t="e">
        <f>VLOOKUP($M$93,'CAP Data'!$C$3:$Q$2688,13,FALSE)</f>
        <v>#N/A</v>
      </c>
      <c r="G95" s="1506"/>
      <c r="H95" s="1506"/>
      <c r="I95" s="1506"/>
      <c r="J95" s="1509" t="e">
        <f>VLOOKUP($M$93,'CAP Data'!$C$3:$Q$2688,14,FALSE)</f>
        <v>#N/A</v>
      </c>
      <c r="K95" s="1509"/>
      <c r="L95" s="1510"/>
    </row>
    <row r="96" spans="1:13" ht="39" customHeight="1" thickBot="1" x14ac:dyDescent="0.3">
      <c r="A96" s="1489" t="s">
        <v>2563</v>
      </c>
      <c r="B96" s="1490"/>
      <c r="C96" s="1491" t="e">
        <f>VLOOKUP($M$93,'CAP Data'!$C$3:$Q$2688,15,FALSE)</f>
        <v>#N/A</v>
      </c>
      <c r="D96" s="1492"/>
      <c r="E96" s="1492"/>
      <c r="F96" s="1492"/>
      <c r="G96" s="1492"/>
      <c r="H96" s="1492"/>
      <c r="I96" s="1492"/>
      <c r="J96" s="1492"/>
      <c r="K96" s="1492"/>
      <c r="L96" s="1493"/>
    </row>
    <row r="97" spans="1:13" ht="13" thickBot="1" x14ac:dyDescent="0.3"/>
    <row r="98" spans="1:13" ht="15.5" x14ac:dyDescent="0.35">
      <c r="A98" s="479" t="s">
        <v>2623</v>
      </c>
      <c r="B98" s="480">
        <v>16</v>
      </c>
      <c r="C98" s="480"/>
      <c r="D98" s="480"/>
      <c r="E98" s="480"/>
      <c r="F98" s="1494" t="s">
        <v>2558</v>
      </c>
      <c r="G98" s="1494"/>
      <c r="H98" s="1494"/>
      <c r="I98" s="1494"/>
      <c r="J98" s="1494"/>
      <c r="K98" s="1495" t="e">
        <f>CONCATENATE(VLOOKUP($M$99,'CAP Data'!$C$3:$Q$2688,3,FALSE),"-",VLOOKUP($M$99,'CAP Data'!$C$3:$Q$2688,4,FALSE))</f>
        <v>#N/A</v>
      </c>
      <c r="L98" s="1496"/>
      <c r="M98" s="489"/>
    </row>
    <row r="99" spans="1:13" ht="14.5" x14ac:dyDescent="0.25">
      <c r="A99" s="1497" t="s">
        <v>2559</v>
      </c>
      <c r="B99" s="1498"/>
      <c r="C99" s="1499" t="e">
        <f>VLOOKUP($M$99,'CAP Data'!$C$3:$Q$2688,5,FALSE)</f>
        <v>#N/A</v>
      </c>
      <c r="D99" s="1500"/>
      <c r="E99" s="481"/>
      <c r="F99" s="1501" t="s">
        <v>2560</v>
      </c>
      <c r="G99" s="1501"/>
      <c r="H99" s="1501"/>
      <c r="I99" s="1501"/>
      <c r="J99" s="1501"/>
      <c r="K99" s="1501"/>
      <c r="L99" s="1502"/>
      <c r="M99" s="492" t="str">
        <f>CONCATENATE($O$1,B98)</f>
        <v>016</v>
      </c>
    </row>
    <row r="100" spans="1:13" ht="14.5" x14ac:dyDescent="0.25">
      <c r="A100" s="1503" t="s">
        <v>2561</v>
      </c>
      <c r="B100" s="1504"/>
      <c r="C100" s="1505" t="e">
        <f>VLOOKUP($M$99,'CAP Data'!$C$3:$Q$2688,10,FALSE)</f>
        <v>#N/A</v>
      </c>
      <c r="D100" s="1505"/>
      <c r="E100" s="482"/>
      <c r="F100" s="1506" t="e">
        <f>VLOOKUP($M$99,'CAP Data'!$C$3:$Q$2688,12,FALSE)</f>
        <v>#N/A</v>
      </c>
      <c r="G100" s="1506"/>
      <c r="H100" s="1506"/>
      <c r="I100" s="1506"/>
      <c r="J100" s="1506"/>
      <c r="K100" s="1506"/>
      <c r="L100" s="1507"/>
    </row>
    <row r="101" spans="1:13" ht="14.5" x14ac:dyDescent="0.25">
      <c r="A101" s="1503" t="s">
        <v>2562</v>
      </c>
      <c r="B101" s="1504"/>
      <c r="C101" s="1508" t="e">
        <f>VLOOKUP($M$99,'CAP Data'!$C$3:$Q$2688,11,FALSE)</f>
        <v>#N/A</v>
      </c>
      <c r="D101" s="1508"/>
      <c r="E101" s="482"/>
      <c r="F101" s="1506" t="e">
        <f>VLOOKUP($M$99,'CAP Data'!$C$3:$Q$2688,13,FALSE)</f>
        <v>#N/A</v>
      </c>
      <c r="G101" s="1506"/>
      <c r="H101" s="1506"/>
      <c r="I101" s="1506"/>
      <c r="J101" s="1509" t="e">
        <f>VLOOKUP($M$99,'CAP Data'!$C$3:$Q$2688,14,FALSE)</f>
        <v>#N/A</v>
      </c>
      <c r="K101" s="1509"/>
      <c r="L101" s="1510"/>
    </row>
    <row r="102" spans="1:13" ht="39" customHeight="1" thickBot="1" x14ac:dyDescent="0.3">
      <c r="A102" s="1489" t="s">
        <v>2563</v>
      </c>
      <c r="B102" s="1490"/>
      <c r="C102" s="1491" t="e">
        <f>VLOOKUP($M$99,'CAP Data'!$C$3:$Q$2688,15,FALSE)</f>
        <v>#N/A</v>
      </c>
      <c r="D102" s="1492"/>
      <c r="E102" s="1492"/>
      <c r="F102" s="1492"/>
      <c r="G102" s="1492"/>
      <c r="H102" s="1492"/>
      <c r="I102" s="1492"/>
      <c r="J102" s="1492"/>
      <c r="K102" s="1492"/>
      <c r="L102" s="1493"/>
    </row>
    <row r="103" spans="1:13" ht="13" thickBot="1" x14ac:dyDescent="0.3"/>
    <row r="104" spans="1:13" ht="15.5" x14ac:dyDescent="0.35">
      <c r="A104" s="479" t="s">
        <v>2623</v>
      </c>
      <c r="B104" s="480">
        <v>17</v>
      </c>
      <c r="C104" s="480"/>
      <c r="D104" s="480"/>
      <c r="E104" s="480"/>
      <c r="F104" s="1494" t="s">
        <v>2558</v>
      </c>
      <c r="G104" s="1494"/>
      <c r="H104" s="1494"/>
      <c r="I104" s="1494"/>
      <c r="J104" s="1494"/>
      <c r="K104" s="1495" t="e">
        <f>CONCATENATE(VLOOKUP($M$105,'CAP Data'!$C$3:$Q$2688,3,FALSE),"-",VLOOKUP($M$105,'CAP Data'!$C$3:$Q$2688,4,FALSE))</f>
        <v>#N/A</v>
      </c>
      <c r="L104" s="1496"/>
      <c r="M104" s="489"/>
    </row>
    <row r="105" spans="1:13" ht="14.5" x14ac:dyDescent="0.25">
      <c r="A105" s="1497" t="s">
        <v>2559</v>
      </c>
      <c r="B105" s="1498"/>
      <c r="C105" s="1499" t="e">
        <f>VLOOKUP($M$105,'CAP Data'!$C$3:$Q$2688,5,FALSE)</f>
        <v>#N/A</v>
      </c>
      <c r="D105" s="1500"/>
      <c r="E105" s="481"/>
      <c r="F105" s="1501" t="s">
        <v>2560</v>
      </c>
      <c r="G105" s="1501"/>
      <c r="H105" s="1501"/>
      <c r="I105" s="1501"/>
      <c r="J105" s="1501"/>
      <c r="K105" s="1501"/>
      <c r="L105" s="1502"/>
      <c r="M105" s="492" t="str">
        <f>CONCATENATE($O$1,B104)</f>
        <v>017</v>
      </c>
    </row>
    <row r="106" spans="1:13" ht="14.5" x14ac:dyDescent="0.25">
      <c r="A106" s="1503" t="s">
        <v>2561</v>
      </c>
      <c r="B106" s="1504"/>
      <c r="C106" s="1505" t="e">
        <f>VLOOKUP($M$105,'CAP Data'!$C$3:$Q$2688,10,FALSE)</f>
        <v>#N/A</v>
      </c>
      <c r="D106" s="1505"/>
      <c r="E106" s="482"/>
      <c r="F106" s="1506" t="e">
        <f>VLOOKUP($M$105,'CAP Data'!$C$3:$Q$2688,12,FALSE)</f>
        <v>#N/A</v>
      </c>
      <c r="G106" s="1506"/>
      <c r="H106" s="1506"/>
      <c r="I106" s="1506"/>
      <c r="J106" s="1506"/>
      <c r="K106" s="1506"/>
      <c r="L106" s="1507"/>
    </row>
    <row r="107" spans="1:13" ht="14.5" x14ac:dyDescent="0.25">
      <c r="A107" s="1503" t="s">
        <v>2562</v>
      </c>
      <c r="B107" s="1504"/>
      <c r="C107" s="1508" t="e">
        <f>VLOOKUP($M$105,'CAP Data'!$C$3:$Q$2688,11,FALSE)</f>
        <v>#N/A</v>
      </c>
      <c r="D107" s="1508"/>
      <c r="E107" s="482"/>
      <c r="F107" s="1506" t="e">
        <f>VLOOKUP($M$105,'CAP Data'!$C$3:$Q$2688,13,FALSE)</f>
        <v>#N/A</v>
      </c>
      <c r="G107" s="1506"/>
      <c r="H107" s="1506"/>
      <c r="I107" s="1506"/>
      <c r="J107" s="1509" t="e">
        <f>VLOOKUP($M$105,'CAP Data'!$C$3:$Q$2688,14,FALSE)</f>
        <v>#N/A</v>
      </c>
      <c r="K107" s="1509"/>
      <c r="L107" s="1510"/>
    </row>
    <row r="108" spans="1:13" ht="39" customHeight="1" thickBot="1" x14ac:dyDescent="0.3">
      <c r="A108" s="1489" t="s">
        <v>2563</v>
      </c>
      <c r="B108" s="1490"/>
      <c r="C108" s="1491" t="e">
        <f>VLOOKUP($M$105,'CAP Data'!$C$3:$Q$2688,15,FALSE)</f>
        <v>#N/A</v>
      </c>
      <c r="D108" s="1492"/>
      <c r="E108" s="1492"/>
      <c r="F108" s="1492"/>
      <c r="G108" s="1492"/>
      <c r="H108" s="1492"/>
      <c r="I108" s="1492"/>
      <c r="J108" s="1492"/>
      <c r="K108" s="1492"/>
      <c r="L108" s="1493"/>
    </row>
    <row r="109" spans="1:13" ht="13" thickBot="1" x14ac:dyDescent="0.3"/>
    <row r="110" spans="1:13" ht="15.5" x14ac:dyDescent="0.35">
      <c r="A110" s="479" t="s">
        <v>2623</v>
      </c>
      <c r="B110" s="480">
        <v>18</v>
      </c>
      <c r="C110" s="480"/>
      <c r="D110" s="480"/>
      <c r="E110" s="480"/>
      <c r="F110" s="1494" t="s">
        <v>2558</v>
      </c>
      <c r="G110" s="1494"/>
      <c r="H110" s="1494"/>
      <c r="I110" s="1494"/>
      <c r="J110" s="1494"/>
      <c r="K110" s="1495" t="e">
        <f>CONCATENATE(VLOOKUP($M$111,'CAP Data'!$C$3:$Q$2688,3,FALSE),"-",VLOOKUP($M$111,'CAP Data'!$C$3:$Q$2688,4,FALSE))</f>
        <v>#N/A</v>
      </c>
      <c r="L110" s="1496"/>
      <c r="M110" s="489"/>
    </row>
    <row r="111" spans="1:13" ht="14.5" x14ac:dyDescent="0.25">
      <c r="A111" s="1497" t="s">
        <v>2559</v>
      </c>
      <c r="B111" s="1498"/>
      <c r="C111" s="1499" t="e">
        <f>VLOOKUP($M$111,'CAP Data'!$C$3:$Q$2688,5,FALSE)</f>
        <v>#N/A</v>
      </c>
      <c r="D111" s="1500"/>
      <c r="E111" s="481"/>
      <c r="F111" s="1501" t="s">
        <v>2560</v>
      </c>
      <c r="G111" s="1501"/>
      <c r="H111" s="1501"/>
      <c r="I111" s="1501"/>
      <c r="J111" s="1501"/>
      <c r="K111" s="1501"/>
      <c r="L111" s="1502"/>
      <c r="M111" s="492" t="str">
        <f>CONCATENATE($O$1,B110)</f>
        <v>018</v>
      </c>
    </row>
    <row r="112" spans="1:13" ht="14.5" x14ac:dyDescent="0.25">
      <c r="A112" s="1503" t="s">
        <v>2561</v>
      </c>
      <c r="B112" s="1504"/>
      <c r="C112" s="1505" t="e">
        <f>VLOOKUP($M$111,'CAP Data'!$C$3:$Q$2688,10,FALSE)</f>
        <v>#N/A</v>
      </c>
      <c r="D112" s="1505"/>
      <c r="E112" s="482"/>
      <c r="F112" s="1506" t="e">
        <f>VLOOKUP($M$111,'CAP Data'!$C$3:$Q$2688,12,FALSE)</f>
        <v>#N/A</v>
      </c>
      <c r="G112" s="1506"/>
      <c r="H112" s="1506"/>
      <c r="I112" s="1506"/>
      <c r="J112" s="1506"/>
      <c r="K112" s="1506"/>
      <c r="L112" s="1507"/>
    </row>
    <row r="113" spans="1:13" ht="14.5" x14ac:dyDescent="0.25">
      <c r="A113" s="1503" t="s">
        <v>2562</v>
      </c>
      <c r="B113" s="1504"/>
      <c r="C113" s="1508" t="e">
        <f>VLOOKUP($M$111,'CAP Data'!$C$3:$Q$2688,11,FALSE)</f>
        <v>#N/A</v>
      </c>
      <c r="D113" s="1508"/>
      <c r="E113" s="482"/>
      <c r="F113" s="1506" t="e">
        <f>VLOOKUP($M$111,'CAP Data'!$C$3:$Q$2688,13,FALSE)</f>
        <v>#N/A</v>
      </c>
      <c r="G113" s="1506"/>
      <c r="H113" s="1506"/>
      <c r="I113" s="1506"/>
      <c r="J113" s="1509" t="e">
        <f>VLOOKUP($M$111,'CAP Data'!$C$3:$Q$2688,14,FALSE)</f>
        <v>#N/A</v>
      </c>
      <c r="K113" s="1509"/>
      <c r="L113" s="1510"/>
    </row>
    <row r="114" spans="1:13" ht="39" customHeight="1" thickBot="1" x14ac:dyDescent="0.3">
      <c r="A114" s="1489" t="s">
        <v>2563</v>
      </c>
      <c r="B114" s="1490"/>
      <c r="C114" s="1491" t="e">
        <f>VLOOKUP($M$111,'CAP Data'!$C$3:$Q$2688,15,FALSE)</f>
        <v>#N/A</v>
      </c>
      <c r="D114" s="1492"/>
      <c r="E114" s="1492"/>
      <c r="F114" s="1492"/>
      <c r="G114" s="1492"/>
      <c r="H114" s="1492"/>
      <c r="I114" s="1492"/>
      <c r="J114" s="1492"/>
      <c r="K114" s="1492"/>
      <c r="L114" s="1493"/>
    </row>
    <row r="115" spans="1:13" ht="13" thickBot="1" x14ac:dyDescent="0.3"/>
    <row r="116" spans="1:13" ht="15.5" x14ac:dyDescent="0.35">
      <c r="A116" s="479" t="s">
        <v>2623</v>
      </c>
      <c r="B116" s="480">
        <v>19</v>
      </c>
      <c r="C116" s="480"/>
      <c r="D116" s="480"/>
      <c r="E116" s="480"/>
      <c r="F116" s="1494" t="s">
        <v>2558</v>
      </c>
      <c r="G116" s="1494"/>
      <c r="H116" s="1494"/>
      <c r="I116" s="1494"/>
      <c r="J116" s="1494"/>
      <c r="K116" s="1495" t="e">
        <f>CONCATENATE(VLOOKUP($M$117,'CAP Data'!$C$3:$Q$2688,3,FALSE),"-",VLOOKUP($M$117,'CAP Data'!$C$3:$Q$2688,4,FALSE))</f>
        <v>#N/A</v>
      </c>
      <c r="L116" s="1496"/>
      <c r="M116" s="489"/>
    </row>
    <row r="117" spans="1:13" ht="14.5" x14ac:dyDescent="0.25">
      <c r="A117" s="1497" t="s">
        <v>2559</v>
      </c>
      <c r="B117" s="1498"/>
      <c r="C117" s="1499" t="e">
        <f>VLOOKUP($M$117,'CAP Data'!$C$3:$Q$2688,5,FALSE)</f>
        <v>#N/A</v>
      </c>
      <c r="D117" s="1500"/>
      <c r="E117" s="481"/>
      <c r="F117" s="1501" t="s">
        <v>2560</v>
      </c>
      <c r="G117" s="1501"/>
      <c r="H117" s="1501"/>
      <c r="I117" s="1501"/>
      <c r="J117" s="1501"/>
      <c r="K117" s="1501"/>
      <c r="L117" s="1502"/>
      <c r="M117" s="492" t="str">
        <f>CONCATENATE($O$1,B116)</f>
        <v>019</v>
      </c>
    </row>
    <row r="118" spans="1:13" ht="14.5" x14ac:dyDescent="0.25">
      <c r="A118" s="1503" t="s">
        <v>2561</v>
      </c>
      <c r="B118" s="1504"/>
      <c r="C118" s="1505" t="e">
        <f>VLOOKUP($M$117,'CAP Data'!$C$3:$Q$2688,10,FALSE)</f>
        <v>#N/A</v>
      </c>
      <c r="D118" s="1505"/>
      <c r="E118" s="482"/>
      <c r="F118" s="1506" t="e">
        <f>VLOOKUP($M$117,'CAP Data'!$C$3:$Q$2688,12,FALSE)</f>
        <v>#N/A</v>
      </c>
      <c r="G118" s="1506"/>
      <c r="H118" s="1506"/>
      <c r="I118" s="1506"/>
      <c r="J118" s="1506"/>
      <c r="K118" s="1506"/>
      <c r="L118" s="1507"/>
    </row>
    <row r="119" spans="1:13" ht="14.5" x14ac:dyDescent="0.25">
      <c r="A119" s="1503" t="s">
        <v>2562</v>
      </c>
      <c r="B119" s="1504"/>
      <c r="C119" s="1508" t="e">
        <f>VLOOKUP($M$117,'CAP Data'!$C$3:$Q$2688,11,FALSE)</f>
        <v>#N/A</v>
      </c>
      <c r="D119" s="1508"/>
      <c r="E119" s="482"/>
      <c r="F119" s="1506" t="e">
        <f>VLOOKUP($M$117,'CAP Data'!$C$3:$Q$2688,13,FALSE)</f>
        <v>#N/A</v>
      </c>
      <c r="G119" s="1506"/>
      <c r="H119" s="1506"/>
      <c r="I119" s="1506"/>
      <c r="J119" s="1509" t="e">
        <f>VLOOKUP($M$117,'CAP Data'!$C$3:$Q$2688,14,FALSE)</f>
        <v>#N/A</v>
      </c>
      <c r="K119" s="1509"/>
      <c r="L119" s="1510"/>
    </row>
    <row r="120" spans="1:13" ht="39" customHeight="1" thickBot="1" x14ac:dyDescent="0.3">
      <c r="A120" s="1489" t="s">
        <v>2563</v>
      </c>
      <c r="B120" s="1490"/>
      <c r="C120" s="1491" t="e">
        <f>VLOOKUP($M$117,'CAP Data'!$C$3:$Q$2688,15,FALSE)</f>
        <v>#N/A</v>
      </c>
      <c r="D120" s="1492"/>
      <c r="E120" s="1492"/>
      <c r="F120" s="1492"/>
      <c r="G120" s="1492"/>
      <c r="H120" s="1492"/>
      <c r="I120" s="1492"/>
      <c r="J120" s="1492"/>
      <c r="K120" s="1492"/>
      <c r="L120" s="1493"/>
    </row>
    <row r="121" spans="1:13" ht="13" thickBot="1" x14ac:dyDescent="0.3"/>
    <row r="122" spans="1:13" ht="15.5" x14ac:dyDescent="0.35">
      <c r="A122" s="479" t="s">
        <v>2623</v>
      </c>
      <c r="B122" s="480">
        <v>20</v>
      </c>
      <c r="C122" s="480"/>
      <c r="D122" s="480"/>
      <c r="E122" s="480"/>
      <c r="F122" s="1494" t="s">
        <v>2558</v>
      </c>
      <c r="G122" s="1494"/>
      <c r="H122" s="1494"/>
      <c r="I122" s="1494"/>
      <c r="J122" s="1494"/>
      <c r="K122" s="1495" t="e">
        <f>CONCATENATE(VLOOKUP($M$123,'CAP Data'!$C$3:$Q$2688,3,FALSE),"-",VLOOKUP($M$123,'CAP Data'!$C$3:$Q$2688,4,FALSE))</f>
        <v>#N/A</v>
      </c>
      <c r="L122" s="1496"/>
      <c r="M122" s="489"/>
    </row>
    <row r="123" spans="1:13" ht="14.5" x14ac:dyDescent="0.25">
      <c r="A123" s="1497" t="s">
        <v>2559</v>
      </c>
      <c r="B123" s="1498"/>
      <c r="C123" s="1499" t="e">
        <f>VLOOKUP($M$123,'CAP Data'!$C$3:$Q$2688,5,FALSE)</f>
        <v>#N/A</v>
      </c>
      <c r="D123" s="1500"/>
      <c r="E123" s="481"/>
      <c r="F123" s="1501" t="s">
        <v>2560</v>
      </c>
      <c r="G123" s="1501"/>
      <c r="H123" s="1501"/>
      <c r="I123" s="1501"/>
      <c r="J123" s="1501"/>
      <c r="K123" s="1501"/>
      <c r="L123" s="1502"/>
      <c r="M123" s="492" t="str">
        <f>CONCATENATE($O$1,B122)</f>
        <v>020</v>
      </c>
    </row>
    <row r="124" spans="1:13" ht="14.5" x14ac:dyDescent="0.25">
      <c r="A124" s="1503" t="s">
        <v>2561</v>
      </c>
      <c r="B124" s="1504"/>
      <c r="C124" s="1505" t="e">
        <f>VLOOKUP($M$123,'CAP Data'!$C$3:$Q$2688,10,FALSE)</f>
        <v>#N/A</v>
      </c>
      <c r="D124" s="1505"/>
      <c r="E124" s="482"/>
      <c r="F124" s="1506" t="e">
        <f>VLOOKUP($M$123,'CAP Data'!$C$3:$Q$2688,12,FALSE)</f>
        <v>#N/A</v>
      </c>
      <c r="G124" s="1506"/>
      <c r="H124" s="1506"/>
      <c r="I124" s="1506"/>
      <c r="J124" s="1506"/>
      <c r="K124" s="1506"/>
      <c r="L124" s="1507"/>
    </row>
    <row r="125" spans="1:13" ht="14.5" x14ac:dyDescent="0.25">
      <c r="A125" s="1503" t="s">
        <v>2562</v>
      </c>
      <c r="B125" s="1504"/>
      <c r="C125" s="1508" t="e">
        <f>VLOOKUP($M$123,'CAP Data'!$C$3:$Q$2688,11,FALSE)</f>
        <v>#N/A</v>
      </c>
      <c r="D125" s="1508"/>
      <c r="E125" s="482"/>
      <c r="F125" s="1506" t="e">
        <f>VLOOKUP($M$123,'CAP Data'!$C$3:$Q$2688,13,FALSE)</f>
        <v>#N/A</v>
      </c>
      <c r="G125" s="1506"/>
      <c r="H125" s="1506"/>
      <c r="I125" s="1506"/>
      <c r="J125" s="1509" t="e">
        <f>VLOOKUP($M$123,'CAP Data'!$C$3:$Q$2688,14,FALSE)</f>
        <v>#N/A</v>
      </c>
      <c r="K125" s="1509"/>
      <c r="L125" s="1510"/>
    </row>
    <row r="126" spans="1:13" ht="39" customHeight="1" thickBot="1" x14ac:dyDescent="0.3">
      <c r="A126" s="1489" t="s">
        <v>2563</v>
      </c>
      <c r="B126" s="1490"/>
      <c r="C126" s="1491" t="e">
        <f>VLOOKUP($M$123,'CAP Data'!$C$3:$Q$2688,15,FALSE)</f>
        <v>#N/A</v>
      </c>
      <c r="D126" s="1492"/>
      <c r="E126" s="1492"/>
      <c r="F126" s="1492"/>
      <c r="G126" s="1492"/>
      <c r="H126" s="1492"/>
      <c r="I126" s="1492"/>
      <c r="J126" s="1492"/>
      <c r="K126" s="1492"/>
      <c r="L126" s="1493"/>
    </row>
    <row r="127" spans="1:13" ht="13.5" customHeight="1" thickBot="1" x14ac:dyDescent="0.3">
      <c r="A127" s="499"/>
      <c r="B127" s="500"/>
      <c r="C127" s="501"/>
      <c r="D127" s="501"/>
      <c r="E127" s="501"/>
      <c r="F127" s="501"/>
      <c r="G127" s="501"/>
      <c r="H127" s="501"/>
      <c r="I127" s="501"/>
      <c r="J127" s="501"/>
      <c r="K127" s="501"/>
      <c r="L127" s="502"/>
    </row>
    <row r="128" spans="1:13" ht="15.5" x14ac:dyDescent="0.25">
      <c r="A128" s="479" t="s">
        <v>2623</v>
      </c>
      <c r="B128" s="480">
        <v>21</v>
      </c>
      <c r="C128" s="480"/>
      <c r="D128" s="480"/>
      <c r="E128" s="480"/>
      <c r="F128" s="1494" t="s">
        <v>2558</v>
      </c>
      <c r="G128" s="1494"/>
      <c r="H128" s="1494"/>
      <c r="I128" s="1494"/>
      <c r="J128" s="1494"/>
      <c r="K128" s="1495" t="e">
        <f>CONCATENATE(VLOOKUP($M$123,'CAP Data'!$C$3:$Q$2688,3,FALSE),"-",VLOOKUP($M$123,'CAP Data'!$C$3:$Q$2688,4,FALSE))</f>
        <v>#N/A</v>
      </c>
      <c r="L128" s="1496"/>
    </row>
    <row r="129" spans="1:13" ht="14.5" x14ac:dyDescent="0.25">
      <c r="A129" s="1497" t="s">
        <v>2559</v>
      </c>
      <c r="B129" s="1498"/>
      <c r="C129" s="1499" t="e">
        <f>VLOOKUP($M$129,'CAP Data'!$C$3:$Q$2688,5,FALSE)</f>
        <v>#N/A</v>
      </c>
      <c r="D129" s="1500"/>
      <c r="E129" s="481"/>
      <c r="F129" s="1501" t="s">
        <v>2560</v>
      </c>
      <c r="G129" s="1501"/>
      <c r="H129" s="1501"/>
      <c r="I129" s="1501"/>
      <c r="J129" s="1501"/>
      <c r="K129" s="1501"/>
      <c r="L129" s="1502"/>
      <c r="M129" s="492" t="str">
        <f>CONCATENATE($O$1,B128)</f>
        <v>021</v>
      </c>
    </row>
    <row r="130" spans="1:13" ht="14.5" x14ac:dyDescent="0.25">
      <c r="A130" s="1503" t="s">
        <v>2561</v>
      </c>
      <c r="B130" s="1504"/>
      <c r="C130" s="1505" t="e">
        <f>VLOOKUP($M$129,'CAP Data'!$C$3:$Q$2688,10,FALSE)</f>
        <v>#N/A</v>
      </c>
      <c r="D130" s="1505"/>
      <c r="E130" s="482"/>
      <c r="F130" s="1506" t="e">
        <f>VLOOKUP($M$129,'CAP Data'!$C$3:$Q$2688,12,FALSE)</f>
        <v>#N/A</v>
      </c>
      <c r="G130" s="1506"/>
      <c r="H130" s="1506"/>
      <c r="I130" s="1506"/>
      <c r="J130" s="1506"/>
      <c r="K130" s="1506"/>
      <c r="L130" s="1507"/>
    </row>
    <row r="131" spans="1:13" ht="14.5" x14ac:dyDescent="0.25">
      <c r="A131" s="1503" t="s">
        <v>2562</v>
      </c>
      <c r="B131" s="1504"/>
      <c r="C131" s="1508" t="e">
        <f>VLOOKUP($M$129,'CAP Data'!$C$3:$Q$2688,11,FALSE)</f>
        <v>#N/A</v>
      </c>
      <c r="D131" s="1508"/>
      <c r="E131" s="482"/>
      <c r="F131" s="1506" t="e">
        <f>VLOOKUP($M$129,'CAP Data'!$C$3:$Q$2688,13,FALSE)</f>
        <v>#N/A</v>
      </c>
      <c r="G131" s="1506"/>
      <c r="H131" s="1506"/>
      <c r="I131" s="1506"/>
      <c r="J131" s="1509" t="e">
        <f>VLOOKUP($M$129,'CAP Data'!$C$3:$Q$2688,14,FALSE)</f>
        <v>#N/A</v>
      </c>
      <c r="K131" s="1509"/>
      <c r="L131" s="1510"/>
    </row>
    <row r="132" spans="1:13" ht="39" customHeight="1" thickBot="1" x14ac:dyDescent="0.3">
      <c r="A132" s="1489" t="s">
        <v>2563</v>
      </c>
      <c r="B132" s="1490"/>
      <c r="C132" s="1491" t="e">
        <f>VLOOKUP($M$129,'CAP Data'!$C$3:$Q$2688,15,FALSE)</f>
        <v>#N/A</v>
      </c>
      <c r="D132" s="1492"/>
      <c r="E132" s="1492"/>
      <c r="F132" s="1492"/>
      <c r="G132" s="1492"/>
      <c r="H132" s="1492"/>
      <c r="I132" s="1492"/>
      <c r="J132" s="1492"/>
      <c r="K132" s="1492"/>
      <c r="L132" s="1493"/>
    </row>
  </sheetData>
  <sheetProtection algorithmName="SHA-512" hashValue="i27eV2UKQwQvMm1TBIg0iF1uNFMTGDdpv1m17ixJbKRx49LRZQkjL87u18bTAxPB0onhjiV2PJu6IyjJftbKsA==" saltValue="rExYn1NUjPsuLTXX3/iYFg==" spinCount="100000" sheet="1" objects="1" scenarios="1"/>
  <mergeCells count="298">
    <mergeCell ref="A126:B126"/>
    <mergeCell ref="C126:L126"/>
    <mergeCell ref="A124:B124"/>
    <mergeCell ref="C124:D124"/>
    <mergeCell ref="F124:L124"/>
    <mergeCell ref="A125:B125"/>
    <mergeCell ref="C125:D125"/>
    <mergeCell ref="F125:I125"/>
    <mergeCell ref="J125:L125"/>
    <mergeCell ref="A120:B120"/>
    <mergeCell ref="C120:L120"/>
    <mergeCell ref="F122:J122"/>
    <mergeCell ref="K122:L122"/>
    <mergeCell ref="A123:B123"/>
    <mergeCell ref="C123:D123"/>
    <mergeCell ref="F123:L123"/>
    <mergeCell ref="A118:B118"/>
    <mergeCell ref="C118:D118"/>
    <mergeCell ref="F118:L118"/>
    <mergeCell ref="A119:B119"/>
    <mergeCell ref="C119:D119"/>
    <mergeCell ref="F119:I119"/>
    <mergeCell ref="J119:L119"/>
    <mergeCell ref="A114:B114"/>
    <mergeCell ref="C114:L114"/>
    <mergeCell ref="F116:J116"/>
    <mergeCell ref="K116:L116"/>
    <mergeCell ref="A117:B117"/>
    <mergeCell ref="C117:D117"/>
    <mergeCell ref="F117:L117"/>
    <mergeCell ref="A112:B112"/>
    <mergeCell ref="C112:D112"/>
    <mergeCell ref="F112:L112"/>
    <mergeCell ref="A113:B113"/>
    <mergeCell ref="C113:D113"/>
    <mergeCell ref="F113:I113"/>
    <mergeCell ref="J113:L113"/>
    <mergeCell ref="A108:B108"/>
    <mergeCell ref="C108:L108"/>
    <mergeCell ref="F110:J110"/>
    <mergeCell ref="K110:L110"/>
    <mergeCell ref="A111:B111"/>
    <mergeCell ref="C111:D111"/>
    <mergeCell ref="F111:L111"/>
    <mergeCell ref="A106:B106"/>
    <mergeCell ref="C106:D106"/>
    <mergeCell ref="F106:L106"/>
    <mergeCell ref="A107:B107"/>
    <mergeCell ref="C107:D107"/>
    <mergeCell ref="F107:I107"/>
    <mergeCell ref="J107:L107"/>
    <mergeCell ref="A102:B102"/>
    <mergeCell ref="C102:L102"/>
    <mergeCell ref="F104:J104"/>
    <mergeCell ref="K104:L104"/>
    <mergeCell ref="A105:B105"/>
    <mergeCell ref="C105:D105"/>
    <mergeCell ref="F105:L105"/>
    <mergeCell ref="A100:B100"/>
    <mergeCell ref="C100:D100"/>
    <mergeCell ref="F100:L100"/>
    <mergeCell ref="A101:B101"/>
    <mergeCell ref="C101:D101"/>
    <mergeCell ref="F101:I101"/>
    <mergeCell ref="J101:L101"/>
    <mergeCell ref="A96:B96"/>
    <mergeCell ref="C96:L96"/>
    <mergeCell ref="F98:J98"/>
    <mergeCell ref="K98:L98"/>
    <mergeCell ref="A99:B99"/>
    <mergeCell ref="C99:D99"/>
    <mergeCell ref="F99:L99"/>
    <mergeCell ref="A94:B94"/>
    <mergeCell ref="C94:D94"/>
    <mergeCell ref="F94:L94"/>
    <mergeCell ref="A95:B95"/>
    <mergeCell ref="C95:D95"/>
    <mergeCell ref="F95:I95"/>
    <mergeCell ref="J95:L95"/>
    <mergeCell ref="A90:B90"/>
    <mergeCell ref="C90:L90"/>
    <mergeCell ref="F92:J92"/>
    <mergeCell ref="K92:L92"/>
    <mergeCell ref="A93:B93"/>
    <mergeCell ref="C93:D93"/>
    <mergeCell ref="F93:L93"/>
    <mergeCell ref="A88:B88"/>
    <mergeCell ref="C88:D88"/>
    <mergeCell ref="F88:L88"/>
    <mergeCell ref="A89:B89"/>
    <mergeCell ref="C89:D89"/>
    <mergeCell ref="F89:I89"/>
    <mergeCell ref="J89:L89"/>
    <mergeCell ref="A84:B84"/>
    <mergeCell ref="C84:L84"/>
    <mergeCell ref="F86:J86"/>
    <mergeCell ref="K86:L86"/>
    <mergeCell ref="A87:B87"/>
    <mergeCell ref="C87:D87"/>
    <mergeCell ref="F87:L87"/>
    <mergeCell ref="A82:B82"/>
    <mergeCell ref="C82:D82"/>
    <mergeCell ref="F82:L82"/>
    <mergeCell ref="A83:B83"/>
    <mergeCell ref="C83:D83"/>
    <mergeCell ref="F83:I83"/>
    <mergeCell ref="J83:L83"/>
    <mergeCell ref="A78:B78"/>
    <mergeCell ref="C78:L78"/>
    <mergeCell ref="F80:J80"/>
    <mergeCell ref="K80:L80"/>
    <mergeCell ref="A81:B81"/>
    <mergeCell ref="C81:D81"/>
    <mergeCell ref="F81:L81"/>
    <mergeCell ref="A76:B76"/>
    <mergeCell ref="C76:D76"/>
    <mergeCell ref="F76:L76"/>
    <mergeCell ref="A77:B77"/>
    <mergeCell ref="C77:D77"/>
    <mergeCell ref="F77:I77"/>
    <mergeCell ref="J77:L77"/>
    <mergeCell ref="A72:B72"/>
    <mergeCell ref="C72:L72"/>
    <mergeCell ref="F74:J74"/>
    <mergeCell ref="K74:L74"/>
    <mergeCell ref="A75:B75"/>
    <mergeCell ref="C75:D75"/>
    <mergeCell ref="F75:L75"/>
    <mergeCell ref="A70:B70"/>
    <mergeCell ref="C70:D70"/>
    <mergeCell ref="F70:L70"/>
    <mergeCell ref="A71:B71"/>
    <mergeCell ref="C71:D71"/>
    <mergeCell ref="F71:I71"/>
    <mergeCell ref="J71:L71"/>
    <mergeCell ref="A66:B66"/>
    <mergeCell ref="C66:L66"/>
    <mergeCell ref="F68:J68"/>
    <mergeCell ref="K68:L68"/>
    <mergeCell ref="A69:B69"/>
    <mergeCell ref="C69:D69"/>
    <mergeCell ref="F69:L69"/>
    <mergeCell ref="A64:B64"/>
    <mergeCell ref="C64:D64"/>
    <mergeCell ref="F64:L64"/>
    <mergeCell ref="A65:B65"/>
    <mergeCell ref="C65:D65"/>
    <mergeCell ref="F65:I65"/>
    <mergeCell ref="J65:L65"/>
    <mergeCell ref="A60:B60"/>
    <mergeCell ref="C60:L60"/>
    <mergeCell ref="F62:J62"/>
    <mergeCell ref="K62:L62"/>
    <mergeCell ref="A63:B63"/>
    <mergeCell ref="C63:D63"/>
    <mergeCell ref="F63:L63"/>
    <mergeCell ref="A58:B58"/>
    <mergeCell ref="C58:D58"/>
    <mergeCell ref="F58:L58"/>
    <mergeCell ref="A59:B59"/>
    <mergeCell ref="C59:D59"/>
    <mergeCell ref="F59:I59"/>
    <mergeCell ref="J59:L59"/>
    <mergeCell ref="A54:B54"/>
    <mergeCell ref="C54:L54"/>
    <mergeCell ref="F56:J56"/>
    <mergeCell ref="K56:L56"/>
    <mergeCell ref="A57:B57"/>
    <mergeCell ref="C57:D57"/>
    <mergeCell ref="F57:L57"/>
    <mergeCell ref="A52:B52"/>
    <mergeCell ref="C52:D52"/>
    <mergeCell ref="F52:L52"/>
    <mergeCell ref="A53:B53"/>
    <mergeCell ref="C53:D53"/>
    <mergeCell ref="F53:I53"/>
    <mergeCell ref="J53:L53"/>
    <mergeCell ref="A48:B48"/>
    <mergeCell ref="C48:L48"/>
    <mergeCell ref="F50:J50"/>
    <mergeCell ref="K50:L50"/>
    <mergeCell ref="A51:B51"/>
    <mergeCell ref="C51:D51"/>
    <mergeCell ref="F51:L51"/>
    <mergeCell ref="A46:B46"/>
    <mergeCell ref="C46:D46"/>
    <mergeCell ref="F46:L46"/>
    <mergeCell ref="A47:B47"/>
    <mergeCell ref="C47:D47"/>
    <mergeCell ref="F47:I47"/>
    <mergeCell ref="J47:L47"/>
    <mergeCell ref="A42:B42"/>
    <mergeCell ref="C42:L42"/>
    <mergeCell ref="F44:J44"/>
    <mergeCell ref="K44:L44"/>
    <mergeCell ref="A45:B45"/>
    <mergeCell ref="C45:D45"/>
    <mergeCell ref="F45:L45"/>
    <mergeCell ref="A40:B40"/>
    <mergeCell ref="C40:D40"/>
    <mergeCell ref="F40:L40"/>
    <mergeCell ref="A41:B41"/>
    <mergeCell ref="C41:D41"/>
    <mergeCell ref="F41:I41"/>
    <mergeCell ref="J41:L41"/>
    <mergeCell ref="A36:B36"/>
    <mergeCell ref="C36:L36"/>
    <mergeCell ref="F38:J38"/>
    <mergeCell ref="K38:L38"/>
    <mergeCell ref="A39:B39"/>
    <mergeCell ref="C39:D39"/>
    <mergeCell ref="F39:L39"/>
    <mergeCell ref="A34:B34"/>
    <mergeCell ref="C34:D34"/>
    <mergeCell ref="F34:L34"/>
    <mergeCell ref="A35:B35"/>
    <mergeCell ref="C35:D35"/>
    <mergeCell ref="F35:I35"/>
    <mergeCell ref="J35:L35"/>
    <mergeCell ref="A30:B30"/>
    <mergeCell ref="C30:L30"/>
    <mergeCell ref="F32:J32"/>
    <mergeCell ref="K32:L32"/>
    <mergeCell ref="A33:B33"/>
    <mergeCell ref="C33:D33"/>
    <mergeCell ref="F33:L33"/>
    <mergeCell ref="A28:B28"/>
    <mergeCell ref="C28:D28"/>
    <mergeCell ref="F28:L28"/>
    <mergeCell ref="A29:B29"/>
    <mergeCell ref="C29:D29"/>
    <mergeCell ref="F29:I29"/>
    <mergeCell ref="J29:L29"/>
    <mergeCell ref="A2:L2"/>
    <mergeCell ref="A3:L4"/>
    <mergeCell ref="A6:L6"/>
    <mergeCell ref="F8:J8"/>
    <mergeCell ref="K8:L8"/>
    <mergeCell ref="A10:B10"/>
    <mergeCell ref="C10:D10"/>
    <mergeCell ref="F10:L10"/>
    <mergeCell ref="A11:B11"/>
    <mergeCell ref="C11:D11"/>
    <mergeCell ref="F11:I11"/>
    <mergeCell ref="J11:L11"/>
    <mergeCell ref="C17:D17"/>
    <mergeCell ref="F17:I17"/>
    <mergeCell ref="J17:L17"/>
    <mergeCell ref="F26:J26"/>
    <mergeCell ref="K26:L26"/>
    <mergeCell ref="A27:B27"/>
    <mergeCell ref="C27:D27"/>
    <mergeCell ref="F27:L27"/>
    <mergeCell ref="A9:B9"/>
    <mergeCell ref="C9:D9"/>
    <mergeCell ref="F9:L9"/>
    <mergeCell ref="A12:B12"/>
    <mergeCell ref="C12:L12"/>
    <mergeCell ref="F14:J14"/>
    <mergeCell ref="K14:L14"/>
    <mergeCell ref="M2:M7"/>
    <mergeCell ref="A18:B18"/>
    <mergeCell ref="C18:L18"/>
    <mergeCell ref="F20:J20"/>
    <mergeCell ref="K20:L20"/>
    <mergeCell ref="A21:B21"/>
    <mergeCell ref="C21:D21"/>
    <mergeCell ref="F21:L21"/>
    <mergeCell ref="A24:B24"/>
    <mergeCell ref="C24:L24"/>
    <mergeCell ref="A22:B22"/>
    <mergeCell ref="C22:D22"/>
    <mergeCell ref="F22:L22"/>
    <mergeCell ref="A23:B23"/>
    <mergeCell ref="C23:D23"/>
    <mergeCell ref="F23:I23"/>
    <mergeCell ref="J23:L23"/>
    <mergeCell ref="A15:B15"/>
    <mergeCell ref="C15:D15"/>
    <mergeCell ref="F15:L15"/>
    <mergeCell ref="A16:B16"/>
    <mergeCell ref="C16:D16"/>
    <mergeCell ref="F16:L16"/>
    <mergeCell ref="A17:B17"/>
    <mergeCell ref="A132:B132"/>
    <mergeCell ref="C132:L132"/>
    <mergeCell ref="F128:J128"/>
    <mergeCell ref="K128:L128"/>
    <mergeCell ref="A129:B129"/>
    <mergeCell ref="C129:D129"/>
    <mergeCell ref="F129:L129"/>
    <mergeCell ref="A130:B130"/>
    <mergeCell ref="C130:D130"/>
    <mergeCell ref="F130:L130"/>
    <mergeCell ref="A131:B131"/>
    <mergeCell ref="C131:D131"/>
    <mergeCell ref="F131:I131"/>
    <mergeCell ref="J131:L131"/>
  </mergeCells>
  <hyperlinks>
    <hyperlink ref="M2:M7" location="'Capital Expend Project Specific'!A1" display="Return to Capital Expend Project Specific tab" xr:uid="{00000000-0004-0000-0700-000000000000}"/>
  </hyperlinks>
  <pageMargins left="0.7" right="0.7" top="0.75" bottom="0.75" header="0.3" footer="0.3"/>
  <pageSetup scale="76" orientation="portrait" r:id="rId1"/>
  <rowBreaks count="2" manualBreakCount="2">
    <brk id="43" max="12" man="1"/>
    <brk id="85" max="12"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R76"/>
  <sheetViews>
    <sheetView zoomScaleNormal="100" workbookViewId="0"/>
  </sheetViews>
  <sheetFormatPr defaultColWidth="9.1796875" defaultRowHeight="12.5" x14ac:dyDescent="0.25"/>
  <cols>
    <col min="1" max="1" width="10.26953125" style="132" customWidth="1"/>
    <col min="2" max="2" width="36.81640625" style="132" bestFit="1" customWidth="1"/>
    <col min="3" max="3" width="20" style="132" customWidth="1"/>
    <col min="4" max="5" width="14" style="132" bestFit="1" customWidth="1"/>
    <col min="6" max="6" width="15" style="132" bestFit="1" customWidth="1"/>
    <col min="7" max="7" width="14" style="132" bestFit="1" customWidth="1"/>
    <col min="8" max="8" width="16.453125" style="132" bestFit="1" customWidth="1"/>
    <col min="9" max="9" width="16.453125" style="132" customWidth="1"/>
    <col min="10" max="11" width="14.7265625" style="132" bestFit="1" customWidth="1"/>
    <col min="12" max="12" width="15.54296875" style="132" bestFit="1" customWidth="1"/>
    <col min="13" max="13" width="16.26953125" style="132" customWidth="1"/>
    <col min="14" max="14" width="52.453125" style="132" customWidth="1"/>
    <col min="15" max="16384" width="9.1796875" style="132"/>
  </cols>
  <sheetData>
    <row r="1" spans="1:15" ht="18" x14ac:dyDescent="0.4">
      <c r="A1" s="129" t="s">
        <v>1688</v>
      </c>
      <c r="B1" s="130"/>
      <c r="C1" s="131"/>
    </row>
    <row r="2" spans="1:15" x14ac:dyDescent="0.25">
      <c r="A2" s="133" t="s">
        <v>3634</v>
      </c>
      <c r="B2" s="131"/>
      <c r="C2" s="131"/>
    </row>
    <row r="3" spans="1:15" ht="25.5" customHeight="1" x14ac:dyDescent="0.25">
      <c r="A3" s="1524" t="s">
        <v>2986</v>
      </c>
      <c r="B3" s="1525"/>
      <c r="C3" s="1525"/>
    </row>
    <row r="4" spans="1:15" ht="15.5" x14ac:dyDescent="0.35">
      <c r="A4" s="134" t="s">
        <v>1689</v>
      </c>
      <c r="B4" s="134"/>
      <c r="C4" s="134"/>
      <c r="D4" s="135" t="s">
        <v>1690</v>
      </c>
      <c r="E4" s="135"/>
      <c r="F4" s="135"/>
      <c r="G4" s="135"/>
      <c r="H4" s="135"/>
      <c r="I4" s="135"/>
      <c r="J4" s="135"/>
      <c r="K4" s="135"/>
      <c r="L4" s="131"/>
      <c r="M4" s="131"/>
      <c r="N4" s="131"/>
    </row>
    <row r="5" spans="1:15" s="138" customFormat="1" ht="37.5" x14ac:dyDescent="0.25">
      <c r="A5" s="136" t="s">
        <v>669</v>
      </c>
      <c r="B5" s="137" t="s">
        <v>670</v>
      </c>
      <c r="C5" s="137" t="s">
        <v>671</v>
      </c>
      <c r="D5" s="137" t="s">
        <v>672</v>
      </c>
      <c r="E5" s="137" t="s">
        <v>1291</v>
      </c>
      <c r="F5" s="137" t="s">
        <v>600</v>
      </c>
      <c r="G5" s="137" t="s">
        <v>673</v>
      </c>
      <c r="H5" s="137" t="s">
        <v>674</v>
      </c>
      <c r="I5" s="137" t="s">
        <v>675</v>
      </c>
      <c r="J5" s="137" t="s">
        <v>676</v>
      </c>
      <c r="K5" s="137" t="s">
        <v>676</v>
      </c>
      <c r="L5" s="137" t="s">
        <v>677</v>
      </c>
      <c r="M5" s="137" t="s">
        <v>678</v>
      </c>
      <c r="N5" s="137" t="s">
        <v>679</v>
      </c>
    </row>
    <row r="6" spans="1:15" x14ac:dyDescent="0.25">
      <c r="A6" s="131">
        <v>210</v>
      </c>
      <c r="B6" s="131" t="s">
        <v>283</v>
      </c>
      <c r="C6" s="284"/>
      <c r="D6" s="139"/>
      <c r="E6" s="139"/>
      <c r="F6" s="140"/>
      <c r="G6" s="140"/>
      <c r="H6" s="140"/>
      <c r="I6" s="140"/>
      <c r="J6" s="140"/>
      <c r="K6" s="140"/>
      <c r="L6" s="141">
        <f>Code_0210</f>
        <v>0</v>
      </c>
      <c r="M6" s="142">
        <f t="shared" ref="M6:M17" si="0">L6-(C6+D6+E6+F6+G6+H6+I6+J6+K6)</f>
        <v>0</v>
      </c>
      <c r="O6" s="143"/>
    </row>
    <row r="7" spans="1:15" ht="14" x14ac:dyDescent="0.4">
      <c r="A7" s="144">
        <v>220</v>
      </c>
      <c r="B7" s="144" t="s">
        <v>284</v>
      </c>
      <c r="C7" s="145"/>
      <c r="D7" s="145"/>
      <c r="E7" s="145"/>
      <c r="F7" s="145"/>
      <c r="G7" s="145"/>
      <c r="H7" s="145"/>
      <c r="I7" s="145"/>
      <c r="J7" s="145"/>
      <c r="K7" s="145"/>
      <c r="L7" s="146">
        <f>Code_0220</f>
        <v>0</v>
      </c>
      <c r="M7" s="142">
        <f t="shared" si="0"/>
        <v>0</v>
      </c>
      <c r="O7" s="143"/>
    </row>
    <row r="8" spans="1:15" x14ac:dyDescent="0.25">
      <c r="A8" s="131">
        <v>219</v>
      </c>
      <c r="B8" s="131" t="s">
        <v>680</v>
      </c>
      <c r="C8" s="147"/>
      <c r="D8" s="148">
        <f t="shared" ref="D8:K8" si="1">D6+D7</f>
        <v>0</v>
      </c>
      <c r="E8" s="148">
        <f t="shared" si="1"/>
        <v>0</v>
      </c>
      <c r="F8" s="148">
        <f t="shared" si="1"/>
        <v>0</v>
      </c>
      <c r="G8" s="148">
        <f t="shared" si="1"/>
        <v>0</v>
      </c>
      <c r="H8" s="148">
        <f t="shared" si="1"/>
        <v>0</v>
      </c>
      <c r="I8" s="148">
        <f t="shared" si="1"/>
        <v>0</v>
      </c>
      <c r="J8" s="148">
        <f t="shared" si="1"/>
        <v>0</v>
      </c>
      <c r="K8" s="148">
        <f t="shared" si="1"/>
        <v>0</v>
      </c>
      <c r="L8" s="142">
        <f>Code_0219</f>
        <v>0</v>
      </c>
      <c r="M8" s="142">
        <f t="shared" si="0"/>
        <v>0</v>
      </c>
    </row>
    <row r="9" spans="1:15" ht="14" x14ac:dyDescent="0.4">
      <c r="A9" s="144">
        <v>240</v>
      </c>
      <c r="B9" s="144" t="s">
        <v>1270</v>
      </c>
      <c r="C9" s="145"/>
      <c r="D9" s="149"/>
      <c r="E9" s="149"/>
      <c r="F9" s="149"/>
      <c r="G9" s="149"/>
      <c r="H9" s="149"/>
      <c r="I9" s="149"/>
      <c r="J9" s="149"/>
      <c r="K9" s="149"/>
      <c r="L9" s="146">
        <f>Code_0240</f>
        <v>0</v>
      </c>
      <c r="M9" s="142">
        <f t="shared" si="0"/>
        <v>0</v>
      </c>
    </row>
    <row r="10" spans="1:15" x14ac:dyDescent="0.25">
      <c r="A10" s="131">
        <v>250</v>
      </c>
      <c r="B10" s="131" t="s">
        <v>681</v>
      </c>
      <c r="C10" s="147"/>
      <c r="D10" s="148">
        <f t="shared" ref="D10:K10" si="2">D8+D9</f>
        <v>0</v>
      </c>
      <c r="E10" s="148">
        <f t="shared" si="2"/>
        <v>0</v>
      </c>
      <c r="F10" s="148">
        <f t="shared" si="2"/>
        <v>0</v>
      </c>
      <c r="G10" s="148">
        <f t="shared" si="2"/>
        <v>0</v>
      </c>
      <c r="H10" s="148">
        <f t="shared" si="2"/>
        <v>0</v>
      </c>
      <c r="I10" s="148">
        <f t="shared" si="2"/>
        <v>0</v>
      </c>
      <c r="J10" s="148">
        <f t="shared" si="2"/>
        <v>0</v>
      </c>
      <c r="K10" s="148">
        <f t="shared" si="2"/>
        <v>0</v>
      </c>
      <c r="L10" s="142">
        <f>Code_0250</f>
        <v>0</v>
      </c>
      <c r="M10" s="142">
        <f t="shared" si="0"/>
        <v>0</v>
      </c>
    </row>
    <row r="11" spans="1:15" s="138" customFormat="1" x14ac:dyDescent="0.25">
      <c r="A11" s="150">
        <v>260</v>
      </c>
      <c r="B11" s="150" t="s">
        <v>1757</v>
      </c>
      <c r="C11" s="151"/>
      <c r="D11" s="151"/>
      <c r="E11" s="151"/>
      <c r="F11" s="151"/>
      <c r="G11" s="152"/>
      <c r="H11" s="151"/>
      <c r="I11" s="151"/>
      <c r="J11" s="151"/>
      <c r="K11" s="151"/>
      <c r="L11" s="153">
        <f>Code_0260</f>
        <v>0</v>
      </c>
      <c r="M11" s="153">
        <f t="shared" si="0"/>
        <v>0</v>
      </c>
      <c r="N11" s="154"/>
    </row>
    <row r="12" spans="1:15" s="138" customFormat="1" x14ac:dyDescent="0.25">
      <c r="A12" s="155">
        <v>200</v>
      </c>
      <c r="B12" s="155" t="s">
        <v>682</v>
      </c>
      <c r="C12" s="156"/>
      <c r="D12" s="148">
        <f t="shared" ref="D12:K12" si="3">D10-D11</f>
        <v>0</v>
      </c>
      <c r="E12" s="148">
        <f t="shared" si="3"/>
        <v>0</v>
      </c>
      <c r="F12" s="148">
        <f t="shared" si="3"/>
        <v>0</v>
      </c>
      <c r="G12" s="148">
        <f t="shared" si="3"/>
        <v>0</v>
      </c>
      <c r="H12" s="148">
        <f t="shared" si="3"/>
        <v>0</v>
      </c>
      <c r="I12" s="148">
        <f t="shared" si="3"/>
        <v>0</v>
      </c>
      <c r="J12" s="148">
        <f t="shared" si="3"/>
        <v>0</v>
      </c>
      <c r="K12" s="148">
        <f t="shared" si="3"/>
        <v>0</v>
      </c>
      <c r="L12" s="157">
        <f>Code_0200</f>
        <v>0</v>
      </c>
      <c r="M12" s="142">
        <f t="shared" si="0"/>
        <v>0</v>
      </c>
    </row>
    <row r="13" spans="1:15" x14ac:dyDescent="0.25">
      <c r="A13" s="131"/>
      <c r="B13" s="131"/>
      <c r="C13" s="147"/>
      <c r="D13" s="140"/>
      <c r="E13" s="140"/>
      <c r="F13" s="147"/>
      <c r="G13" s="147"/>
      <c r="H13" s="147"/>
      <c r="I13" s="147"/>
      <c r="J13" s="147"/>
      <c r="K13" s="147"/>
      <c r="L13" s="142"/>
      <c r="M13" s="142">
        <f t="shared" si="0"/>
        <v>0</v>
      </c>
    </row>
    <row r="14" spans="1:15" x14ac:dyDescent="0.25">
      <c r="A14" s="131">
        <v>320</v>
      </c>
      <c r="B14" s="131" t="s">
        <v>1275</v>
      </c>
      <c r="C14" s="140"/>
      <c r="D14" s="140"/>
      <c r="E14" s="140"/>
      <c r="F14" s="147"/>
      <c r="G14" s="147"/>
      <c r="H14" s="147"/>
      <c r="I14" s="147"/>
      <c r="J14" s="147"/>
      <c r="K14" s="147"/>
      <c r="L14" s="148">
        <f>Code_0320</f>
        <v>0</v>
      </c>
      <c r="M14" s="142">
        <f t="shared" si="0"/>
        <v>0</v>
      </c>
    </row>
    <row r="15" spans="1:15" s="138" customFormat="1" x14ac:dyDescent="0.25">
      <c r="A15" s="155">
        <v>330</v>
      </c>
      <c r="B15" s="155" t="s">
        <v>1276</v>
      </c>
      <c r="C15" s="140"/>
      <c r="D15" s="140"/>
      <c r="E15" s="140"/>
      <c r="F15" s="156"/>
      <c r="G15" s="156"/>
      <c r="H15" s="156"/>
      <c r="I15" s="156"/>
      <c r="J15" s="156"/>
      <c r="K15" s="156"/>
      <c r="L15" s="148">
        <f>Code_0330</f>
        <v>0</v>
      </c>
      <c r="M15" s="157">
        <f t="shared" si="0"/>
        <v>0</v>
      </c>
    </row>
    <row r="16" spans="1:15" s="138" customFormat="1" x14ac:dyDescent="0.25">
      <c r="A16" s="155">
        <v>333</v>
      </c>
      <c r="B16" s="158" t="s">
        <v>1277</v>
      </c>
      <c r="C16" s="140"/>
      <c r="D16" s="140"/>
      <c r="E16" s="140"/>
      <c r="F16" s="156"/>
      <c r="G16" s="156"/>
      <c r="H16" s="156"/>
      <c r="I16" s="156"/>
      <c r="J16" s="156"/>
      <c r="K16" s="156"/>
      <c r="L16" s="148">
        <f>Code_0333</f>
        <v>0</v>
      </c>
      <c r="M16" s="157">
        <f t="shared" si="0"/>
        <v>0</v>
      </c>
    </row>
    <row r="17" spans="1:18" s="138" customFormat="1" ht="13" thickBot="1" x14ac:dyDescent="0.3">
      <c r="A17" s="159">
        <v>300</v>
      </c>
      <c r="B17" s="159" t="s">
        <v>1278</v>
      </c>
      <c r="C17" s="160"/>
      <c r="D17" s="161">
        <f t="shared" ref="D17:K17" si="4">D12+D14-D15+D16</f>
        <v>0</v>
      </c>
      <c r="E17" s="161">
        <f t="shared" si="4"/>
        <v>0</v>
      </c>
      <c r="F17" s="161">
        <f t="shared" si="4"/>
        <v>0</v>
      </c>
      <c r="G17" s="161">
        <f t="shared" si="4"/>
        <v>0</v>
      </c>
      <c r="H17" s="161">
        <f t="shared" si="4"/>
        <v>0</v>
      </c>
      <c r="I17" s="161">
        <f t="shared" si="4"/>
        <v>0</v>
      </c>
      <c r="J17" s="161">
        <f t="shared" si="4"/>
        <v>0</v>
      </c>
      <c r="K17" s="161">
        <f t="shared" si="4"/>
        <v>0</v>
      </c>
      <c r="L17" s="162">
        <f>Code_0300</f>
        <v>0</v>
      </c>
      <c r="M17" s="162">
        <f t="shared" si="0"/>
        <v>0</v>
      </c>
      <c r="N17" s="163"/>
    </row>
    <row r="18" spans="1:18" s="138" customFormat="1" ht="13" thickTop="1" x14ac:dyDescent="0.25">
      <c r="A18" s="155"/>
      <c r="B18" s="155"/>
      <c r="C18" s="156"/>
      <c r="D18" s="156"/>
      <c r="E18" s="156"/>
      <c r="F18" s="156"/>
      <c r="G18" s="156"/>
      <c r="H18" s="156"/>
      <c r="I18" s="156"/>
      <c r="J18" s="156"/>
      <c r="K18" s="156"/>
      <c r="L18" s="157"/>
      <c r="M18" s="164"/>
    </row>
    <row r="19" spans="1:18" s="138" customFormat="1" x14ac:dyDescent="0.25">
      <c r="A19" s="165">
        <v>340</v>
      </c>
      <c r="B19" s="165" t="s">
        <v>683</v>
      </c>
      <c r="C19" s="156"/>
      <c r="D19" s="156"/>
      <c r="E19" s="156"/>
      <c r="F19" s="156"/>
      <c r="G19" s="156"/>
      <c r="H19" s="156"/>
      <c r="I19" s="156"/>
      <c r="J19" s="156"/>
      <c r="K19" s="156"/>
      <c r="L19" s="157">
        <f>Code_0340</f>
        <v>0</v>
      </c>
      <c r="M19" s="142">
        <f>L19-(C19+D19+E19+F19+G19+H19+I19+J19+K19)</f>
        <v>0</v>
      </c>
    </row>
    <row r="20" spans="1:18" s="138" customFormat="1" x14ac:dyDescent="0.25">
      <c r="A20" s="166"/>
      <c r="B20" s="166"/>
      <c r="C20" s="167"/>
      <c r="D20" s="167"/>
      <c r="E20" s="167"/>
      <c r="F20" s="167"/>
      <c r="G20" s="167"/>
      <c r="H20" s="167"/>
      <c r="I20" s="167"/>
      <c r="J20" s="167"/>
      <c r="K20" s="167"/>
      <c r="L20" s="167"/>
      <c r="M20" s="168"/>
    </row>
    <row r="21" spans="1:18" s="138" customFormat="1" x14ac:dyDescent="0.25">
      <c r="A21" s="166"/>
      <c r="B21" s="166"/>
      <c r="C21" s="167"/>
      <c r="D21" s="167"/>
      <c r="E21" s="167"/>
      <c r="F21" s="167"/>
      <c r="G21" s="167"/>
      <c r="H21" s="167"/>
      <c r="I21" s="167"/>
      <c r="J21" s="167"/>
      <c r="K21" s="167"/>
      <c r="L21" s="167"/>
      <c r="M21" s="168"/>
    </row>
    <row r="22" spans="1:18" s="138" customFormat="1" x14ac:dyDescent="0.25">
      <c r="A22" s="166"/>
      <c r="B22" s="166"/>
      <c r="C22" s="167"/>
      <c r="D22" s="167"/>
      <c r="E22" s="167"/>
      <c r="F22" s="167"/>
      <c r="G22" s="167"/>
      <c r="H22" s="167"/>
      <c r="I22" s="167"/>
      <c r="J22" s="167"/>
      <c r="K22" s="167"/>
      <c r="L22" s="167"/>
      <c r="M22" s="168"/>
    </row>
    <row r="23" spans="1:18" s="138" customFormat="1" x14ac:dyDescent="0.25">
      <c r="A23" s="166"/>
      <c r="B23" s="166"/>
      <c r="C23" s="167"/>
      <c r="D23" s="167"/>
      <c r="E23" s="167"/>
      <c r="F23" s="167"/>
      <c r="G23" s="167"/>
      <c r="H23" s="167"/>
      <c r="I23" s="167"/>
      <c r="J23" s="167"/>
      <c r="K23" s="167"/>
      <c r="L23" s="167"/>
      <c r="M23" s="168"/>
    </row>
    <row r="24" spans="1:18" s="138" customFormat="1" x14ac:dyDescent="0.25">
      <c r="A24" s="166"/>
      <c r="B24" s="166"/>
      <c r="C24" s="167"/>
      <c r="D24" s="167"/>
      <c r="E24" s="167"/>
      <c r="F24" s="167"/>
      <c r="G24" s="167"/>
      <c r="H24" s="167"/>
      <c r="I24" s="167"/>
      <c r="J24" s="167"/>
      <c r="K24" s="167"/>
      <c r="L24" s="167"/>
      <c r="M24" s="168"/>
    </row>
    <row r="25" spans="1:18" s="138" customFormat="1" x14ac:dyDescent="0.25">
      <c r="A25" s="166"/>
      <c r="B25" s="166"/>
      <c r="C25" s="167"/>
      <c r="D25" s="167"/>
      <c r="E25" s="167"/>
      <c r="F25" s="167"/>
      <c r="G25" s="167"/>
      <c r="H25" s="167"/>
      <c r="I25" s="167"/>
      <c r="J25" s="167"/>
      <c r="K25" s="167"/>
      <c r="L25" s="167"/>
      <c r="M25" s="168"/>
    </row>
    <row r="26" spans="1:18" ht="15.5" x14ac:dyDescent="0.35">
      <c r="A26" s="134" t="s">
        <v>2626</v>
      </c>
      <c r="B26" s="134"/>
      <c r="C26" s="134"/>
      <c r="D26" s="135" t="s">
        <v>1690</v>
      </c>
      <c r="E26" s="135"/>
      <c r="F26" s="135"/>
      <c r="G26" s="135"/>
      <c r="H26" s="135"/>
      <c r="I26" s="135"/>
      <c r="J26" s="135"/>
      <c r="K26" s="135"/>
      <c r="L26" s="131"/>
      <c r="M26" s="131"/>
      <c r="N26" s="131"/>
    </row>
    <row r="27" spans="1:18" s="138" customFormat="1" ht="25" x14ac:dyDescent="0.25">
      <c r="A27" s="169" t="s">
        <v>684</v>
      </c>
      <c r="B27" s="170" t="s">
        <v>670</v>
      </c>
      <c r="C27" s="171" t="s">
        <v>685</v>
      </c>
      <c r="D27" s="169" t="s">
        <v>672</v>
      </c>
      <c r="E27" s="169" t="s">
        <v>1291</v>
      </c>
      <c r="F27" s="169" t="s">
        <v>600</v>
      </c>
      <c r="G27" s="169" t="s">
        <v>673</v>
      </c>
      <c r="H27" s="169" t="s">
        <v>674</v>
      </c>
      <c r="I27" s="169" t="s">
        <v>686</v>
      </c>
      <c r="J27" s="169" t="s">
        <v>676</v>
      </c>
      <c r="K27" s="169" t="s">
        <v>676</v>
      </c>
      <c r="L27" s="169" t="s">
        <v>677</v>
      </c>
      <c r="M27" s="169" t="s">
        <v>678</v>
      </c>
      <c r="N27" s="172" t="s">
        <v>687</v>
      </c>
    </row>
    <row r="28" spans="1:18" x14ac:dyDescent="0.25">
      <c r="A28" s="131">
        <v>740</v>
      </c>
      <c r="B28" s="131" t="s">
        <v>283</v>
      </c>
      <c r="C28" s="139"/>
      <c r="D28" s="139"/>
      <c r="E28" s="139"/>
      <c r="F28" s="140"/>
      <c r="G28" s="140"/>
      <c r="H28" s="140"/>
      <c r="I28" s="140"/>
      <c r="J28" s="140"/>
      <c r="K28" s="140"/>
      <c r="L28" s="141">
        <f>Code_0740</f>
        <v>0</v>
      </c>
      <c r="M28" s="142">
        <f t="shared" ref="M28:M39" si="5">L28-(C28+D28+E28+F28+G28+H28+I28+J28+K28)</f>
        <v>0</v>
      </c>
      <c r="R28" s="143"/>
    </row>
    <row r="29" spans="1:18" s="173" customFormat="1" ht="14" x14ac:dyDescent="0.4">
      <c r="A29" s="144">
        <v>760</v>
      </c>
      <c r="B29" s="144" t="s">
        <v>284</v>
      </c>
      <c r="C29" s="145"/>
      <c r="D29" s="145"/>
      <c r="E29" s="145"/>
      <c r="F29" s="145"/>
      <c r="G29" s="145"/>
      <c r="H29" s="145"/>
      <c r="I29" s="145"/>
      <c r="J29" s="145"/>
      <c r="K29" s="145"/>
      <c r="L29" s="146">
        <f>Code_8063</f>
        <v>0</v>
      </c>
      <c r="M29" s="142">
        <f t="shared" si="5"/>
        <v>0</v>
      </c>
      <c r="R29" s="174"/>
    </row>
    <row r="30" spans="1:18" ht="13.5" customHeight="1" x14ac:dyDescent="0.25">
      <c r="A30" s="131">
        <v>750</v>
      </c>
      <c r="B30" s="131" t="s">
        <v>680</v>
      </c>
      <c r="C30" s="147"/>
      <c r="D30" s="148">
        <f t="shared" ref="D30:K30" si="6">D28+D29</f>
        <v>0</v>
      </c>
      <c r="E30" s="148">
        <f t="shared" si="6"/>
        <v>0</v>
      </c>
      <c r="F30" s="148">
        <f t="shared" si="6"/>
        <v>0</v>
      </c>
      <c r="G30" s="148">
        <f t="shared" si="6"/>
        <v>0</v>
      </c>
      <c r="H30" s="148">
        <f t="shared" si="6"/>
        <v>0</v>
      </c>
      <c r="I30" s="148">
        <f t="shared" si="6"/>
        <v>0</v>
      </c>
      <c r="J30" s="148">
        <f t="shared" si="6"/>
        <v>0</v>
      </c>
      <c r="K30" s="148">
        <f t="shared" si="6"/>
        <v>0</v>
      </c>
      <c r="L30" s="142">
        <f>Code_0750</f>
        <v>0</v>
      </c>
      <c r="M30" s="142">
        <f t="shared" si="5"/>
        <v>0</v>
      </c>
    </row>
    <row r="31" spans="1:18" s="173" customFormat="1" ht="14" x14ac:dyDescent="0.4">
      <c r="A31" s="144">
        <v>770</v>
      </c>
      <c r="B31" s="144" t="s">
        <v>1270</v>
      </c>
      <c r="C31" s="145"/>
      <c r="D31" s="149"/>
      <c r="E31" s="149"/>
      <c r="F31" s="149"/>
      <c r="G31" s="149"/>
      <c r="H31" s="149"/>
      <c r="I31" s="149"/>
      <c r="J31" s="149"/>
      <c r="K31" s="149"/>
      <c r="L31" s="146">
        <f>Code_0770</f>
        <v>0</v>
      </c>
      <c r="M31" s="142">
        <f t="shared" si="5"/>
        <v>0</v>
      </c>
    </row>
    <row r="32" spans="1:18" x14ac:dyDescent="0.25">
      <c r="A32" s="131">
        <v>780</v>
      </c>
      <c r="B32" s="131" t="s">
        <v>681</v>
      </c>
      <c r="C32" s="147"/>
      <c r="D32" s="148">
        <f t="shared" ref="D32:K32" si="7">D30+D31</f>
        <v>0</v>
      </c>
      <c r="E32" s="148">
        <f t="shared" si="7"/>
        <v>0</v>
      </c>
      <c r="F32" s="148">
        <f t="shared" si="7"/>
        <v>0</v>
      </c>
      <c r="G32" s="148">
        <f t="shared" si="7"/>
        <v>0</v>
      </c>
      <c r="H32" s="148">
        <f t="shared" si="7"/>
        <v>0</v>
      </c>
      <c r="I32" s="148">
        <f t="shared" si="7"/>
        <v>0</v>
      </c>
      <c r="J32" s="148">
        <f t="shared" si="7"/>
        <v>0</v>
      </c>
      <c r="K32" s="148">
        <f t="shared" si="7"/>
        <v>0</v>
      </c>
      <c r="L32" s="142">
        <f>Code_0780</f>
        <v>0</v>
      </c>
      <c r="M32" s="142">
        <f t="shared" si="5"/>
        <v>0</v>
      </c>
    </row>
    <row r="33" spans="1:14" s="138" customFormat="1" x14ac:dyDescent="0.25">
      <c r="A33" s="150">
        <v>790</v>
      </c>
      <c r="B33" s="150" t="s">
        <v>1757</v>
      </c>
      <c r="C33" s="151"/>
      <c r="D33" s="151"/>
      <c r="E33" s="151"/>
      <c r="F33" s="151"/>
      <c r="G33" s="152"/>
      <c r="H33" s="151"/>
      <c r="I33" s="151"/>
      <c r="J33" s="151"/>
      <c r="K33" s="151"/>
      <c r="L33" s="153">
        <f>Code_0790</f>
        <v>0</v>
      </c>
      <c r="M33" s="153">
        <f t="shared" si="5"/>
        <v>0</v>
      </c>
      <c r="N33" s="175"/>
    </row>
    <row r="34" spans="1:14" s="138" customFormat="1" x14ac:dyDescent="0.25">
      <c r="A34" s="155">
        <v>700</v>
      </c>
      <c r="B34" s="155" t="s">
        <v>688</v>
      </c>
      <c r="C34" s="156"/>
      <c r="D34" s="148">
        <f t="shared" ref="D34:K34" si="8">D32-D33</f>
        <v>0</v>
      </c>
      <c r="E34" s="148">
        <f t="shared" si="8"/>
        <v>0</v>
      </c>
      <c r="F34" s="148">
        <f t="shared" si="8"/>
        <v>0</v>
      </c>
      <c r="G34" s="148">
        <f t="shared" si="8"/>
        <v>0</v>
      </c>
      <c r="H34" s="148">
        <f t="shared" si="8"/>
        <v>0</v>
      </c>
      <c r="I34" s="148">
        <f t="shared" si="8"/>
        <v>0</v>
      </c>
      <c r="J34" s="148">
        <f t="shared" si="8"/>
        <v>0</v>
      </c>
      <c r="K34" s="148">
        <f t="shared" si="8"/>
        <v>0</v>
      </c>
      <c r="L34" s="157">
        <f>Code_0700</f>
        <v>0</v>
      </c>
      <c r="M34" s="142">
        <f t="shared" si="5"/>
        <v>0</v>
      </c>
      <c r="N34" s="167"/>
    </row>
    <row r="35" spans="1:14" x14ac:dyDescent="0.25">
      <c r="A35" s="131"/>
      <c r="B35" s="131"/>
      <c r="C35" s="147"/>
      <c r="D35" s="147"/>
      <c r="E35" s="147"/>
      <c r="F35" s="140"/>
      <c r="G35" s="140"/>
      <c r="H35" s="147"/>
      <c r="I35" s="147"/>
      <c r="J35" s="147"/>
      <c r="K35" s="147"/>
      <c r="L35" s="142"/>
      <c r="M35" s="142">
        <f t="shared" si="5"/>
        <v>0</v>
      </c>
    </row>
    <row r="36" spans="1:14" x14ac:dyDescent="0.25">
      <c r="A36" s="131">
        <v>820</v>
      </c>
      <c r="B36" s="131" t="s">
        <v>1275</v>
      </c>
      <c r="C36" s="140"/>
      <c r="D36" s="140"/>
      <c r="E36" s="140"/>
      <c r="F36" s="140"/>
      <c r="G36" s="140"/>
      <c r="H36" s="140"/>
      <c r="I36" s="140"/>
      <c r="J36" s="140"/>
      <c r="K36" s="140"/>
      <c r="L36" s="176">
        <f>Code_0820</f>
        <v>0</v>
      </c>
      <c r="M36" s="142">
        <f t="shared" si="5"/>
        <v>0</v>
      </c>
    </row>
    <row r="37" spans="1:14" s="138" customFormat="1" x14ac:dyDescent="0.25">
      <c r="A37" s="155">
        <v>830</v>
      </c>
      <c r="B37" s="155" t="s">
        <v>1276</v>
      </c>
      <c r="C37" s="140"/>
      <c r="D37" s="156"/>
      <c r="E37" s="156"/>
      <c r="F37" s="140"/>
      <c r="G37" s="156"/>
      <c r="H37" s="156"/>
      <c r="I37" s="156"/>
      <c r="J37" s="156"/>
      <c r="K37" s="156"/>
      <c r="L37" s="148">
        <f>Code_0830</f>
        <v>0</v>
      </c>
      <c r="M37" s="157">
        <f t="shared" si="5"/>
        <v>0</v>
      </c>
      <c r="N37" s="167"/>
    </row>
    <row r="38" spans="1:14" s="138" customFormat="1" x14ac:dyDescent="0.25">
      <c r="A38" s="155">
        <v>831</v>
      </c>
      <c r="B38" s="158" t="s">
        <v>1277</v>
      </c>
      <c r="C38" s="140"/>
      <c r="D38" s="156"/>
      <c r="E38" s="156"/>
      <c r="F38" s="140"/>
      <c r="G38" s="156"/>
      <c r="H38" s="156"/>
      <c r="I38" s="156"/>
      <c r="J38" s="156"/>
      <c r="K38" s="156"/>
      <c r="L38" s="148">
        <f>Code_0831</f>
        <v>0</v>
      </c>
      <c r="M38" s="157">
        <f t="shared" si="5"/>
        <v>0</v>
      </c>
      <c r="N38" s="167"/>
    </row>
    <row r="39" spans="1:14" s="138" customFormat="1" ht="13" thickBot="1" x14ac:dyDescent="0.3">
      <c r="A39" s="159">
        <v>800</v>
      </c>
      <c r="B39" s="159" t="s">
        <v>1278</v>
      </c>
      <c r="C39" s="160"/>
      <c r="D39" s="161">
        <f t="shared" ref="D39:K39" si="9">D34+D36-D37+D38</f>
        <v>0</v>
      </c>
      <c r="E39" s="161">
        <f t="shared" si="9"/>
        <v>0</v>
      </c>
      <c r="F39" s="161">
        <f t="shared" si="9"/>
        <v>0</v>
      </c>
      <c r="G39" s="161">
        <f t="shared" si="9"/>
        <v>0</v>
      </c>
      <c r="H39" s="161">
        <f t="shared" si="9"/>
        <v>0</v>
      </c>
      <c r="I39" s="161">
        <f t="shared" si="9"/>
        <v>0</v>
      </c>
      <c r="J39" s="161">
        <f t="shared" si="9"/>
        <v>0</v>
      </c>
      <c r="K39" s="161">
        <f t="shared" si="9"/>
        <v>0</v>
      </c>
      <c r="L39" s="162">
        <f>Code_0800</f>
        <v>0</v>
      </c>
      <c r="M39" s="162">
        <f t="shared" si="5"/>
        <v>0</v>
      </c>
      <c r="N39" s="177"/>
    </row>
    <row r="40" spans="1:14" ht="13" thickTop="1" x14ac:dyDescent="0.25">
      <c r="A40" s="131"/>
      <c r="B40" s="131"/>
      <c r="C40" s="156"/>
      <c r="D40" s="147"/>
      <c r="E40" s="147"/>
      <c r="F40" s="147"/>
      <c r="G40" s="147"/>
      <c r="H40" s="147"/>
      <c r="I40" s="147"/>
      <c r="J40" s="147"/>
      <c r="K40" s="147"/>
      <c r="L40" s="157"/>
      <c r="M40" s="164"/>
    </row>
    <row r="41" spans="1:14" s="138" customFormat="1" x14ac:dyDescent="0.25">
      <c r="A41" s="165">
        <v>840</v>
      </c>
      <c r="B41" s="165" t="s">
        <v>683</v>
      </c>
      <c r="C41" s="156"/>
      <c r="D41" s="156"/>
      <c r="E41" s="156"/>
      <c r="F41" s="156"/>
      <c r="G41" s="156"/>
      <c r="H41" s="156"/>
      <c r="I41" s="156"/>
      <c r="J41" s="156"/>
      <c r="K41" s="156"/>
      <c r="L41" s="157">
        <f>Code_0840</f>
        <v>0</v>
      </c>
      <c r="M41" s="142">
        <f>L41-(C41+D41+E41+F41+G41+H41+I41+J41+K41)</f>
        <v>0</v>
      </c>
    </row>
    <row r="42" spans="1:14" x14ac:dyDescent="0.25">
      <c r="C42" s="168"/>
      <c r="D42" s="168"/>
      <c r="E42" s="168"/>
      <c r="F42" s="168"/>
      <c r="G42" s="168"/>
      <c r="H42" s="168"/>
      <c r="I42" s="168"/>
      <c r="J42" s="168"/>
      <c r="K42" s="168"/>
      <c r="L42" s="168"/>
      <c r="M42" s="168"/>
    </row>
    <row r="43" spans="1:14" ht="13" x14ac:dyDescent="0.3">
      <c r="A43" s="178" t="s">
        <v>689</v>
      </c>
      <c r="B43" s="178"/>
      <c r="C43" s="179"/>
      <c r="D43" s="168"/>
      <c r="E43" s="168"/>
      <c r="F43" s="168"/>
      <c r="G43" s="168"/>
      <c r="H43" s="168"/>
      <c r="I43" s="168"/>
      <c r="J43" s="168"/>
      <c r="K43" s="168"/>
      <c r="L43" s="168"/>
      <c r="M43" s="168"/>
    </row>
    <row r="44" spans="1:14" ht="13" x14ac:dyDescent="0.3">
      <c r="A44" s="178" t="s">
        <v>690</v>
      </c>
      <c r="B44" s="178"/>
      <c r="C44" s="179"/>
      <c r="D44" s="168"/>
      <c r="E44" s="168"/>
      <c r="F44" s="168"/>
      <c r="G44" s="168"/>
      <c r="H44" s="168"/>
      <c r="I44" s="168"/>
      <c r="J44" s="168"/>
      <c r="K44" s="168"/>
      <c r="L44" s="168"/>
      <c r="M44" s="168"/>
    </row>
    <row r="45" spans="1:14" ht="13" x14ac:dyDescent="0.3">
      <c r="A45" s="180" t="s">
        <v>691</v>
      </c>
      <c r="B45" s="180"/>
      <c r="C45" s="181"/>
      <c r="D45" s="168"/>
      <c r="E45" s="168"/>
      <c r="F45" s="168"/>
      <c r="G45" s="168"/>
      <c r="H45" s="168"/>
      <c r="I45" s="168"/>
      <c r="J45" s="168"/>
      <c r="K45" s="168"/>
      <c r="L45" s="168"/>
      <c r="M45" s="168"/>
    </row>
    <row r="46" spans="1:14" ht="13" x14ac:dyDescent="0.3">
      <c r="A46" s="180" t="s">
        <v>1721</v>
      </c>
      <c r="B46" s="180"/>
      <c r="C46" s="181"/>
      <c r="D46" s="168"/>
      <c r="E46" s="168"/>
      <c r="F46" s="168"/>
      <c r="G46" s="168"/>
      <c r="H46" s="168"/>
      <c r="I46" s="168"/>
      <c r="J46" s="168"/>
      <c r="K46" s="168"/>
      <c r="L46" s="168"/>
      <c r="M46" s="168"/>
    </row>
    <row r="47" spans="1:14" x14ac:dyDescent="0.25">
      <c r="C47" s="168"/>
      <c r="D47" s="168"/>
      <c r="E47" s="168"/>
      <c r="F47" s="168"/>
      <c r="G47" s="168"/>
      <c r="H47" s="168"/>
      <c r="I47" s="168"/>
      <c r="J47" s="168"/>
      <c r="K47" s="168"/>
      <c r="L47" s="168"/>
      <c r="M47" s="168"/>
    </row>
    <row r="48" spans="1:14" x14ac:dyDescent="0.25">
      <c r="C48" s="168"/>
      <c r="D48" s="168"/>
      <c r="E48" s="168"/>
      <c r="F48" s="168"/>
      <c r="G48" s="168"/>
      <c r="H48" s="168"/>
      <c r="I48" s="168"/>
      <c r="J48" s="168"/>
      <c r="K48" s="168"/>
      <c r="L48" s="168"/>
      <c r="M48" s="168"/>
    </row>
    <row r="49" spans="3:13" x14ac:dyDescent="0.25">
      <c r="C49" s="168"/>
      <c r="D49" s="168"/>
      <c r="E49" s="168"/>
      <c r="F49" s="168"/>
      <c r="G49" s="168"/>
      <c r="H49" s="168"/>
      <c r="I49" s="168"/>
      <c r="J49" s="168"/>
      <c r="K49" s="168"/>
      <c r="L49" s="168"/>
      <c r="M49" s="168"/>
    </row>
    <row r="50" spans="3:13" x14ac:dyDescent="0.25">
      <c r="C50" s="168"/>
      <c r="D50" s="168"/>
      <c r="E50" s="168"/>
      <c r="F50" s="168"/>
      <c r="G50" s="168"/>
      <c r="H50" s="168"/>
      <c r="I50" s="168"/>
      <c r="J50" s="168"/>
      <c r="K50" s="168"/>
      <c r="L50" s="168"/>
      <c r="M50" s="168"/>
    </row>
    <row r="51" spans="3:13" x14ac:dyDescent="0.25">
      <c r="C51" s="168"/>
      <c r="D51" s="168"/>
      <c r="E51" s="168"/>
      <c r="F51" s="168"/>
      <c r="G51" s="168"/>
      <c r="H51" s="168"/>
      <c r="I51" s="168"/>
      <c r="J51" s="168"/>
      <c r="K51" s="168"/>
      <c r="L51" s="168"/>
      <c r="M51" s="168"/>
    </row>
    <row r="52" spans="3:13" x14ac:dyDescent="0.25">
      <c r="C52" s="168"/>
      <c r="D52" s="168"/>
      <c r="E52" s="168"/>
      <c r="F52" s="168"/>
      <c r="G52" s="168"/>
      <c r="H52" s="168"/>
      <c r="I52" s="168"/>
      <c r="J52" s="168"/>
      <c r="K52" s="168"/>
      <c r="L52" s="168"/>
      <c r="M52" s="168"/>
    </row>
    <row r="53" spans="3:13" x14ac:dyDescent="0.25">
      <c r="C53" s="168"/>
      <c r="D53" s="168"/>
      <c r="E53" s="168"/>
      <c r="F53" s="168"/>
      <c r="G53" s="168"/>
      <c r="H53" s="168"/>
      <c r="I53" s="168"/>
      <c r="J53" s="168"/>
      <c r="K53" s="168"/>
      <c r="L53" s="168"/>
      <c r="M53" s="168"/>
    </row>
    <row r="54" spans="3:13" x14ac:dyDescent="0.25">
      <c r="C54" s="168"/>
      <c r="D54" s="168"/>
      <c r="E54" s="168"/>
      <c r="F54" s="168"/>
      <c r="G54" s="168"/>
      <c r="H54" s="168"/>
      <c r="I54" s="168"/>
      <c r="J54" s="168"/>
      <c r="K54" s="168"/>
      <c r="L54" s="168"/>
      <c r="M54" s="168"/>
    </row>
    <row r="55" spans="3:13" x14ac:dyDescent="0.25">
      <c r="C55" s="168"/>
      <c r="D55" s="168"/>
      <c r="E55" s="168"/>
      <c r="F55" s="168"/>
      <c r="G55" s="168"/>
      <c r="H55" s="168"/>
      <c r="I55" s="168"/>
      <c r="J55" s="168"/>
      <c r="K55" s="168"/>
      <c r="L55" s="168"/>
      <c r="M55" s="168"/>
    </row>
    <row r="56" spans="3:13" x14ac:dyDescent="0.25">
      <c r="C56" s="168"/>
      <c r="D56" s="168"/>
      <c r="E56" s="168"/>
      <c r="F56" s="168"/>
      <c r="G56" s="168"/>
      <c r="H56" s="168"/>
      <c r="I56" s="168"/>
      <c r="J56" s="168"/>
      <c r="K56" s="168"/>
      <c r="L56" s="168"/>
      <c r="M56" s="168"/>
    </row>
    <row r="57" spans="3:13" x14ac:dyDescent="0.25">
      <c r="C57" s="168"/>
      <c r="D57" s="168"/>
      <c r="E57" s="168"/>
      <c r="F57" s="168"/>
      <c r="G57" s="168"/>
      <c r="H57" s="168"/>
      <c r="I57" s="168"/>
      <c r="J57" s="168"/>
      <c r="K57" s="168"/>
      <c r="L57" s="168"/>
      <c r="M57" s="168"/>
    </row>
    <row r="58" spans="3:13" x14ac:dyDescent="0.25">
      <c r="C58" s="168"/>
      <c r="D58" s="168"/>
      <c r="E58" s="168"/>
      <c r="F58" s="168"/>
      <c r="G58" s="168"/>
      <c r="H58" s="168"/>
      <c r="I58" s="168"/>
      <c r="J58" s="168"/>
      <c r="K58" s="168"/>
      <c r="L58" s="168"/>
      <c r="M58" s="168"/>
    </row>
    <row r="59" spans="3:13" x14ac:dyDescent="0.25">
      <c r="C59" s="168"/>
      <c r="D59" s="168"/>
      <c r="E59" s="168"/>
      <c r="F59" s="168"/>
      <c r="G59" s="168"/>
      <c r="H59" s="168"/>
      <c r="I59" s="168"/>
      <c r="J59" s="168"/>
      <c r="K59" s="168"/>
      <c r="L59" s="168"/>
      <c r="M59" s="168"/>
    </row>
    <row r="60" spans="3:13" x14ac:dyDescent="0.25">
      <c r="C60" s="168"/>
      <c r="D60" s="168"/>
      <c r="E60" s="168"/>
      <c r="F60" s="168"/>
      <c r="G60" s="168"/>
      <c r="H60" s="168"/>
      <c r="I60" s="168"/>
      <c r="J60" s="168"/>
      <c r="K60" s="168"/>
      <c r="L60" s="168"/>
      <c r="M60" s="168"/>
    </row>
    <row r="61" spans="3:13" x14ac:dyDescent="0.25">
      <c r="C61" s="168"/>
      <c r="D61" s="168"/>
      <c r="E61" s="168"/>
      <c r="F61" s="168"/>
      <c r="G61" s="168"/>
      <c r="H61" s="168"/>
      <c r="I61" s="168"/>
      <c r="J61" s="168"/>
      <c r="K61" s="168"/>
      <c r="L61" s="168"/>
      <c r="M61" s="168"/>
    </row>
    <row r="62" spans="3:13" x14ac:dyDescent="0.25">
      <c r="C62" s="168"/>
      <c r="D62" s="168"/>
      <c r="E62" s="168"/>
      <c r="F62" s="168"/>
      <c r="G62" s="168"/>
      <c r="H62" s="168"/>
      <c r="I62" s="168"/>
      <c r="J62" s="168"/>
      <c r="K62" s="168"/>
      <c r="L62" s="168"/>
      <c r="M62" s="168"/>
    </row>
    <row r="63" spans="3:13" x14ac:dyDescent="0.25">
      <c r="C63" s="168"/>
      <c r="D63" s="168"/>
      <c r="E63" s="168"/>
      <c r="F63" s="168"/>
      <c r="G63" s="168"/>
      <c r="H63" s="168"/>
      <c r="I63" s="168"/>
      <c r="J63" s="168"/>
      <c r="K63" s="168"/>
      <c r="L63" s="168"/>
      <c r="M63" s="168"/>
    </row>
    <row r="64" spans="3:13" x14ac:dyDescent="0.25">
      <c r="C64" s="168"/>
      <c r="D64" s="168"/>
      <c r="E64" s="168"/>
      <c r="F64" s="168"/>
      <c r="G64" s="168"/>
      <c r="H64" s="168"/>
      <c r="I64" s="168"/>
      <c r="J64" s="168"/>
      <c r="K64" s="168"/>
      <c r="L64" s="168"/>
      <c r="M64" s="168"/>
    </row>
    <row r="65" spans="3:13" x14ac:dyDescent="0.25">
      <c r="C65" s="168"/>
      <c r="D65" s="168"/>
      <c r="E65" s="168"/>
      <c r="F65" s="168"/>
      <c r="G65" s="168"/>
      <c r="H65" s="168"/>
      <c r="I65" s="168"/>
      <c r="J65" s="168"/>
      <c r="K65" s="168"/>
      <c r="L65" s="168"/>
      <c r="M65" s="168"/>
    </row>
    <row r="66" spans="3:13" x14ac:dyDescent="0.25">
      <c r="C66" s="168"/>
      <c r="D66" s="168"/>
      <c r="E66" s="168"/>
      <c r="F66" s="168"/>
      <c r="G66" s="168"/>
      <c r="H66" s="168"/>
      <c r="I66" s="168"/>
      <c r="J66" s="168"/>
      <c r="K66" s="168"/>
      <c r="L66" s="168"/>
      <c r="M66" s="168"/>
    </row>
    <row r="67" spans="3:13" x14ac:dyDescent="0.25">
      <c r="C67" s="168"/>
      <c r="D67" s="168"/>
      <c r="E67" s="168"/>
      <c r="F67" s="168"/>
      <c r="G67" s="168"/>
      <c r="H67" s="168"/>
      <c r="I67" s="168"/>
      <c r="J67" s="168"/>
      <c r="K67" s="168"/>
      <c r="L67" s="168"/>
      <c r="M67" s="168"/>
    </row>
    <row r="68" spans="3:13" x14ac:dyDescent="0.25">
      <c r="C68" s="168"/>
      <c r="D68" s="168"/>
      <c r="E68" s="168"/>
      <c r="F68" s="168"/>
      <c r="G68" s="168"/>
      <c r="H68" s="168"/>
      <c r="I68" s="168"/>
      <c r="J68" s="168"/>
      <c r="K68" s="168"/>
      <c r="L68" s="168"/>
      <c r="M68" s="168"/>
    </row>
    <row r="69" spans="3:13" x14ac:dyDescent="0.25">
      <c r="C69" s="168"/>
      <c r="D69" s="168"/>
      <c r="E69" s="168"/>
      <c r="F69" s="168"/>
      <c r="G69" s="168"/>
      <c r="H69" s="168"/>
      <c r="I69" s="168"/>
      <c r="J69" s="168"/>
      <c r="K69" s="168"/>
      <c r="L69" s="168"/>
      <c r="M69" s="168"/>
    </row>
    <row r="70" spans="3:13" x14ac:dyDescent="0.25">
      <c r="C70" s="168"/>
      <c r="D70" s="168"/>
      <c r="E70" s="168"/>
      <c r="F70" s="168"/>
      <c r="G70" s="168"/>
      <c r="H70" s="168"/>
      <c r="I70" s="168"/>
      <c r="J70" s="168"/>
      <c r="K70" s="168"/>
      <c r="L70" s="168"/>
      <c r="M70" s="168"/>
    </row>
    <row r="71" spans="3:13" x14ac:dyDescent="0.25">
      <c r="C71" s="168"/>
      <c r="D71" s="168"/>
      <c r="E71" s="168"/>
      <c r="F71" s="168"/>
      <c r="G71" s="168"/>
      <c r="H71" s="168"/>
      <c r="I71" s="168"/>
      <c r="J71" s="168"/>
      <c r="K71" s="168"/>
      <c r="L71" s="168"/>
      <c r="M71" s="168"/>
    </row>
    <row r="72" spans="3:13" x14ac:dyDescent="0.25">
      <c r="C72" s="168"/>
      <c r="D72" s="168"/>
      <c r="E72" s="168"/>
      <c r="F72" s="168"/>
      <c r="G72" s="168"/>
      <c r="H72" s="168"/>
      <c r="I72" s="168"/>
      <c r="J72" s="168"/>
      <c r="K72" s="168"/>
      <c r="L72" s="168"/>
      <c r="M72" s="168"/>
    </row>
    <row r="73" spans="3:13" x14ac:dyDescent="0.25">
      <c r="C73" s="168"/>
      <c r="D73" s="168"/>
      <c r="E73" s="168"/>
      <c r="F73" s="168"/>
      <c r="G73" s="168"/>
      <c r="H73" s="168"/>
      <c r="I73" s="168"/>
      <c r="J73" s="168"/>
      <c r="K73" s="168"/>
      <c r="L73" s="168"/>
      <c r="M73" s="168"/>
    </row>
    <row r="74" spans="3:13" x14ac:dyDescent="0.25">
      <c r="C74" s="168"/>
      <c r="D74" s="168"/>
      <c r="E74" s="168"/>
      <c r="F74" s="168"/>
      <c r="G74" s="168"/>
      <c r="H74" s="168"/>
      <c r="I74" s="168"/>
      <c r="J74" s="168"/>
      <c r="K74" s="168"/>
      <c r="L74" s="168"/>
      <c r="M74" s="168"/>
    </row>
    <row r="75" spans="3:13" x14ac:dyDescent="0.25">
      <c r="C75" s="168"/>
      <c r="D75" s="168"/>
      <c r="E75" s="168"/>
      <c r="F75" s="168"/>
      <c r="G75" s="168"/>
      <c r="H75" s="168"/>
      <c r="I75" s="168"/>
      <c r="J75" s="168"/>
      <c r="K75" s="168"/>
      <c r="L75" s="168"/>
      <c r="M75" s="168"/>
    </row>
    <row r="76" spans="3:13" x14ac:dyDescent="0.25">
      <c r="C76" s="168"/>
      <c r="D76" s="168"/>
      <c r="E76" s="168"/>
      <c r="F76" s="168"/>
      <c r="G76" s="168"/>
      <c r="H76" s="168"/>
      <c r="I76" s="168"/>
      <c r="J76" s="168"/>
      <c r="K76" s="168"/>
      <c r="L76" s="168"/>
      <c r="M76" s="168"/>
    </row>
  </sheetData>
  <sheetProtection algorithmName="SHA-512" hashValue="jMg457JQph5Jc1E8SGnzXOK6hyXfwgu0I39bPIF4woaCBbFnNfeboaEXSCjQz5Kx+8R77j7aAv87XqBSD+Xg4w==" saltValue="QyH0hMdh9mAIUNDReQ8IxA==" spinCount="100000" sheet="1" objects="1" scenarios="1"/>
  <mergeCells count="1">
    <mergeCell ref="A3:C3"/>
  </mergeCells>
  <phoneticPr fontId="0" type="noConversion"/>
  <conditionalFormatting sqref="M18 M20:M25 M40">
    <cfRule type="cellIs" dxfId="11" priority="1" stopIfTrue="1" operator="notBetween">
      <formula>-10</formula>
      <formula>10</formula>
    </cfRule>
  </conditionalFormatting>
  <conditionalFormatting sqref="M42:M53">
    <cfRule type="cellIs" dxfId="10" priority="2" stopIfTrue="1" operator="notEqual">
      <formula>0</formula>
    </cfRule>
  </conditionalFormatting>
  <conditionalFormatting sqref="M6:M17 M28:M39">
    <cfRule type="cellIs" dxfId="9" priority="3" stopIfTrue="1" operator="notBetween">
      <formula>-10</formula>
      <formula>10</formula>
    </cfRule>
  </conditionalFormatting>
  <conditionalFormatting sqref="C30 C32 L30 L32 C8 C10 L8 L10">
    <cfRule type="expression" dxfId="8" priority="4" stopIfTrue="1">
      <formula>NOT((C6+C7)=C8)</formula>
    </cfRule>
  </conditionalFormatting>
  <conditionalFormatting sqref="L12 L34 C34">
    <cfRule type="expression" dxfId="7" priority="5" stopIfTrue="1">
      <formula>NOT((C10-C11)=C12)</formula>
    </cfRule>
  </conditionalFormatting>
  <conditionalFormatting sqref="C39">
    <cfRule type="expression" dxfId="6" priority="6" stopIfTrue="1">
      <formula>NOT((C34+C36-C37)=C39)</formula>
    </cfRule>
  </conditionalFormatting>
  <conditionalFormatting sqref="C12">
    <cfRule type="expression" dxfId="5" priority="7" stopIfTrue="1">
      <formula>NOT(($C$10-$C$11)=$C$12)</formula>
    </cfRule>
  </conditionalFormatting>
  <conditionalFormatting sqref="L17 C17 L39">
    <cfRule type="expression" dxfId="4" priority="8" stopIfTrue="1">
      <formula>NOT((C12+C14-C15+C16)=C17)</formula>
    </cfRule>
  </conditionalFormatting>
  <pageMargins left="0.75" right="0.75" top="1" bottom="1" header="0.5" footer="0.5"/>
  <pageSetup scale="59" fitToWidth="2" orientation="landscape" r:id="rId1"/>
  <headerFooter alignWithMargins="0">
    <oddFooter>&amp;LMDH
http://health.state.mn.us/divs/hpsc/dap/hccis
Phone: 651-201-3572 
Fax: 651-201-5179&amp;CPage &amp;P
2016 Hospital Annual Report
Health Care Cost  Information System (HCCIS)&amp;RMHA
Jsanislo@mnhospitals.org
Phone: 651-641-1121 
Fax: 651-659-1477</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460</vt:i4>
      </vt:variant>
    </vt:vector>
  </HeadingPairs>
  <TitlesOfParts>
    <vt:vector size="474" baseType="lpstr">
      <vt:lpstr>Tip Sheet</vt:lpstr>
      <vt:lpstr>2017 HAR</vt:lpstr>
      <vt:lpstr>Service Line Data</vt:lpstr>
      <vt:lpstr>Capital Expend Project Specific</vt:lpstr>
      <vt:lpstr>Offsite Locations</vt:lpstr>
      <vt:lpstr>Audit Checks</vt:lpstr>
      <vt:lpstr>Verify_Data_MA_Surcharge</vt:lpstr>
      <vt:lpstr>Prior Cap Exp Report</vt:lpstr>
      <vt:lpstr>Reclassifications</vt:lpstr>
      <vt:lpstr>Definitions</vt:lpstr>
      <vt:lpstr>HCCIS_ID</vt:lpstr>
      <vt:lpstr>CAP Data</vt:lpstr>
      <vt:lpstr>CapExpData</vt:lpstr>
      <vt:lpstr>Audit_Tab_Data</vt:lpstr>
      <vt:lpstr>adj_contractual</vt:lpstr>
      <vt:lpstr>audit_check</vt:lpstr>
      <vt:lpstr>Cap_Expend_Name</vt:lpstr>
      <vt:lpstr>Code_0200</vt:lpstr>
      <vt:lpstr>Code_0201</vt:lpstr>
      <vt:lpstr>Code_0202</vt:lpstr>
      <vt:lpstr>Code_0203</vt:lpstr>
      <vt:lpstr>Code_0204</vt:lpstr>
      <vt:lpstr>Code_0207</vt:lpstr>
      <vt:lpstr>Code_0208</vt:lpstr>
      <vt:lpstr>Code_0210</vt:lpstr>
      <vt:lpstr>Code_0215</vt:lpstr>
      <vt:lpstr>Code_0216</vt:lpstr>
      <vt:lpstr>Code_0219</vt:lpstr>
      <vt:lpstr>Code_0220</vt:lpstr>
      <vt:lpstr>Code_0240</vt:lpstr>
      <vt:lpstr>Code_0250</vt:lpstr>
      <vt:lpstr>Code_0260</vt:lpstr>
      <vt:lpstr>Code_0300</vt:lpstr>
      <vt:lpstr>Code_0320</vt:lpstr>
      <vt:lpstr>Code_0330</vt:lpstr>
      <vt:lpstr>Code_0333</vt:lpstr>
      <vt:lpstr>Code_0340</vt:lpstr>
      <vt:lpstr>Code_0600</vt:lpstr>
      <vt:lpstr>Code_0601</vt:lpstr>
      <vt:lpstr>Code_0602</vt:lpstr>
      <vt:lpstr>Code_0604</vt:lpstr>
      <vt:lpstr>Code_0608</vt:lpstr>
      <vt:lpstr>Code_0615</vt:lpstr>
      <vt:lpstr>Code_0616</vt:lpstr>
      <vt:lpstr>Code_0618</vt:lpstr>
      <vt:lpstr>Code_0619</vt:lpstr>
      <vt:lpstr>Code_0622</vt:lpstr>
      <vt:lpstr>Code_0623</vt:lpstr>
      <vt:lpstr>Code_0625</vt:lpstr>
      <vt:lpstr>Code_0630</vt:lpstr>
      <vt:lpstr>Code_0632</vt:lpstr>
      <vt:lpstr>Code_0634</vt:lpstr>
      <vt:lpstr>Code_0635</vt:lpstr>
      <vt:lpstr>Code_0636</vt:lpstr>
      <vt:lpstr>Code_0637</vt:lpstr>
      <vt:lpstr>Code_0639</vt:lpstr>
      <vt:lpstr>Code_0641</vt:lpstr>
      <vt:lpstr>Code_0647</vt:lpstr>
      <vt:lpstr>Code_0648</vt:lpstr>
      <vt:lpstr>Code_0650</vt:lpstr>
      <vt:lpstr>Code_0655</vt:lpstr>
      <vt:lpstr>Code_0700</vt:lpstr>
      <vt:lpstr>Code_0711</vt:lpstr>
      <vt:lpstr>Code_0715</vt:lpstr>
      <vt:lpstr>Code_0717</vt:lpstr>
      <vt:lpstr>Code_0730</vt:lpstr>
      <vt:lpstr>Code_0738</vt:lpstr>
      <vt:lpstr>Code_0739</vt:lpstr>
      <vt:lpstr>Code_0740</vt:lpstr>
      <vt:lpstr>Code_0741</vt:lpstr>
      <vt:lpstr>Code_0742</vt:lpstr>
      <vt:lpstr>Code_0743</vt:lpstr>
      <vt:lpstr>Code_0744</vt:lpstr>
      <vt:lpstr>Code_0750</vt:lpstr>
      <vt:lpstr>Code_0751</vt:lpstr>
      <vt:lpstr>Code_0752</vt:lpstr>
      <vt:lpstr>Code_0754</vt:lpstr>
      <vt:lpstr>Code_0760</vt:lpstr>
      <vt:lpstr>Code_0762</vt:lpstr>
      <vt:lpstr>Code_0770</vt:lpstr>
      <vt:lpstr>Code_0772</vt:lpstr>
      <vt:lpstr>Code_0773</vt:lpstr>
      <vt:lpstr>Code_0775</vt:lpstr>
      <vt:lpstr>Code_0776</vt:lpstr>
      <vt:lpstr>Code_0777</vt:lpstr>
      <vt:lpstr>Code_0778</vt:lpstr>
      <vt:lpstr>Code_0780</vt:lpstr>
      <vt:lpstr>Code_0790</vt:lpstr>
      <vt:lpstr>Code_0800</vt:lpstr>
      <vt:lpstr>Code_0801</vt:lpstr>
      <vt:lpstr>Code_0806</vt:lpstr>
      <vt:lpstr>Code_0811</vt:lpstr>
      <vt:lpstr>Code_0813</vt:lpstr>
      <vt:lpstr>Code_0815</vt:lpstr>
      <vt:lpstr>Code_0819</vt:lpstr>
      <vt:lpstr>Code_0820</vt:lpstr>
      <vt:lpstr>Code_0821</vt:lpstr>
      <vt:lpstr>Code_0823</vt:lpstr>
      <vt:lpstr>Code_0825</vt:lpstr>
      <vt:lpstr>Code_0830</vt:lpstr>
      <vt:lpstr>Code_0831</vt:lpstr>
      <vt:lpstr>Code_0834</vt:lpstr>
      <vt:lpstr>Code_0837</vt:lpstr>
      <vt:lpstr>Code_0840</vt:lpstr>
      <vt:lpstr>Code_0841</vt:lpstr>
      <vt:lpstr>Code_0842</vt:lpstr>
      <vt:lpstr>Code_0843</vt:lpstr>
      <vt:lpstr>Code_0847</vt:lpstr>
      <vt:lpstr>Code_0850</vt:lpstr>
      <vt:lpstr>Code_0851</vt:lpstr>
      <vt:lpstr>Code_0852</vt:lpstr>
      <vt:lpstr>Code_0853</vt:lpstr>
      <vt:lpstr>Code_0854</vt:lpstr>
      <vt:lpstr>Code_0860</vt:lpstr>
      <vt:lpstr>Code_0871</vt:lpstr>
      <vt:lpstr>Code_0872</vt:lpstr>
      <vt:lpstr>Code_0873</vt:lpstr>
      <vt:lpstr>Code_0876</vt:lpstr>
      <vt:lpstr>Code_0880</vt:lpstr>
      <vt:lpstr>Code_2021</vt:lpstr>
      <vt:lpstr>Code_2022</vt:lpstr>
      <vt:lpstr>Code_2023</vt:lpstr>
      <vt:lpstr>Code_2024</vt:lpstr>
      <vt:lpstr>Code_2026</vt:lpstr>
      <vt:lpstr>Code_2027</vt:lpstr>
      <vt:lpstr>Code_2028</vt:lpstr>
      <vt:lpstr>Code_2030</vt:lpstr>
      <vt:lpstr>Code_2031</vt:lpstr>
      <vt:lpstr>Code_2032</vt:lpstr>
      <vt:lpstr>Code_2033</vt:lpstr>
      <vt:lpstr>Code_2034</vt:lpstr>
      <vt:lpstr>Code_2036</vt:lpstr>
      <vt:lpstr>Code_2037</vt:lpstr>
      <vt:lpstr>Code_2038</vt:lpstr>
      <vt:lpstr>Code_2040</vt:lpstr>
      <vt:lpstr>Code_2050</vt:lpstr>
      <vt:lpstr>Code_2060</vt:lpstr>
      <vt:lpstr>Code_2070</vt:lpstr>
      <vt:lpstr>Code_2071</vt:lpstr>
      <vt:lpstr>Code_2072</vt:lpstr>
      <vt:lpstr>Code_2073</vt:lpstr>
      <vt:lpstr>Code_2074</vt:lpstr>
      <vt:lpstr>Code_2076</vt:lpstr>
      <vt:lpstr>Code_2077</vt:lpstr>
      <vt:lpstr>Code_2078</vt:lpstr>
      <vt:lpstr>Code_2080</vt:lpstr>
      <vt:lpstr>Code_2104</vt:lpstr>
      <vt:lpstr>Code_2114</vt:lpstr>
      <vt:lpstr>Code_2121</vt:lpstr>
      <vt:lpstr>Code_2122</vt:lpstr>
      <vt:lpstr>Code_2123</vt:lpstr>
      <vt:lpstr>Code_2125</vt:lpstr>
      <vt:lpstr>Code_2128</vt:lpstr>
      <vt:lpstr>Code_2131</vt:lpstr>
      <vt:lpstr>Code_2132</vt:lpstr>
      <vt:lpstr>Code_2133</vt:lpstr>
      <vt:lpstr>Code_2135</vt:lpstr>
      <vt:lpstr>Code_2138</vt:lpstr>
      <vt:lpstr>Code_2148</vt:lpstr>
      <vt:lpstr>Code_2158</vt:lpstr>
      <vt:lpstr>Code_2168</vt:lpstr>
      <vt:lpstr>Code_2171</vt:lpstr>
      <vt:lpstr>Code_2172</vt:lpstr>
      <vt:lpstr>Code_2173</vt:lpstr>
      <vt:lpstr>Code_2175</vt:lpstr>
      <vt:lpstr>Code_2176</vt:lpstr>
      <vt:lpstr>Code_2178</vt:lpstr>
      <vt:lpstr>Code_2188</vt:lpstr>
      <vt:lpstr>Code_2194</vt:lpstr>
      <vt:lpstr>Code_2198</vt:lpstr>
      <vt:lpstr>Code_4020</vt:lpstr>
      <vt:lpstr>Code_4022</vt:lpstr>
      <vt:lpstr>Code_4025</vt:lpstr>
      <vt:lpstr>Code_4026</vt:lpstr>
      <vt:lpstr>Code_4030</vt:lpstr>
      <vt:lpstr>Code_4033</vt:lpstr>
      <vt:lpstr>Code_4034</vt:lpstr>
      <vt:lpstr>Code_4035</vt:lpstr>
      <vt:lpstr>Code_4037</vt:lpstr>
      <vt:lpstr>Code_4041</vt:lpstr>
      <vt:lpstr>Code_4320</vt:lpstr>
      <vt:lpstr>Code_4322</vt:lpstr>
      <vt:lpstr>Code_4323</vt:lpstr>
      <vt:lpstr>Code_4324</vt:lpstr>
      <vt:lpstr>Code_4326</vt:lpstr>
      <vt:lpstr>Code_4327</vt:lpstr>
      <vt:lpstr>Code_4329</vt:lpstr>
      <vt:lpstr>Code_4331</vt:lpstr>
      <vt:lpstr>Code_4333</vt:lpstr>
      <vt:lpstr>Code_4335</vt:lpstr>
      <vt:lpstr>Code_4336</vt:lpstr>
      <vt:lpstr>Code_4337</vt:lpstr>
      <vt:lpstr>Code_4339</vt:lpstr>
      <vt:lpstr>Code_4340</vt:lpstr>
      <vt:lpstr>Code_4341</vt:lpstr>
      <vt:lpstr>Code_4342</vt:lpstr>
      <vt:lpstr>Code_4344</vt:lpstr>
      <vt:lpstr>Code_4352</vt:lpstr>
      <vt:lpstr>Code_4353</vt:lpstr>
      <vt:lpstr>Code_4355</vt:lpstr>
      <vt:lpstr>Code_4356</vt:lpstr>
      <vt:lpstr>Code_4357</vt:lpstr>
      <vt:lpstr>Code_4363</vt:lpstr>
      <vt:lpstr>Code_4364</vt:lpstr>
      <vt:lpstr>Code_4365</vt:lpstr>
      <vt:lpstr>Code_4366</vt:lpstr>
      <vt:lpstr>Code_4367</vt:lpstr>
      <vt:lpstr>Code_4369</vt:lpstr>
      <vt:lpstr>Code_4370</vt:lpstr>
      <vt:lpstr>Code_4373</vt:lpstr>
      <vt:lpstr>Code_4376</vt:lpstr>
      <vt:lpstr>Code_4379</vt:lpstr>
      <vt:lpstr>Code_4380</vt:lpstr>
      <vt:lpstr>Code_4383</vt:lpstr>
      <vt:lpstr>Code_4386</vt:lpstr>
      <vt:lpstr>Code_4389</vt:lpstr>
      <vt:lpstr>Code_4501</vt:lpstr>
      <vt:lpstr>Code_4502</vt:lpstr>
      <vt:lpstr>Code_4503</vt:lpstr>
      <vt:lpstr>Code_4504</vt:lpstr>
      <vt:lpstr>Code_4505</vt:lpstr>
      <vt:lpstr>Code_4520</vt:lpstr>
      <vt:lpstr>Code_4530</vt:lpstr>
      <vt:lpstr>Code_4531</vt:lpstr>
      <vt:lpstr>Code_4550</vt:lpstr>
      <vt:lpstr>Code_5501</vt:lpstr>
      <vt:lpstr>Code_5502</vt:lpstr>
      <vt:lpstr>Code_5503</vt:lpstr>
      <vt:lpstr>Code_5504</vt:lpstr>
      <vt:lpstr>Code_5506</vt:lpstr>
      <vt:lpstr>Code_5507</vt:lpstr>
      <vt:lpstr>Code_5512</vt:lpstr>
      <vt:lpstr>Code_7050</vt:lpstr>
      <vt:lpstr>Code_7051</vt:lpstr>
      <vt:lpstr>Code_7052</vt:lpstr>
      <vt:lpstr>Code_7053</vt:lpstr>
      <vt:lpstr>Code_7054</vt:lpstr>
      <vt:lpstr>Code_7055</vt:lpstr>
      <vt:lpstr>Code_7056</vt:lpstr>
      <vt:lpstr>Code_7057</vt:lpstr>
      <vt:lpstr>Code_7061</vt:lpstr>
      <vt:lpstr>Code_7062</vt:lpstr>
      <vt:lpstr>Code_7063</vt:lpstr>
      <vt:lpstr>Code_7064</vt:lpstr>
      <vt:lpstr>Code_7065</vt:lpstr>
      <vt:lpstr>Code_7066</vt:lpstr>
      <vt:lpstr>Code_7068</vt:lpstr>
      <vt:lpstr>Code_7069</vt:lpstr>
      <vt:lpstr>Code_7070</vt:lpstr>
      <vt:lpstr>Code_7071</vt:lpstr>
      <vt:lpstr>Code_7072</vt:lpstr>
      <vt:lpstr>Code_7073</vt:lpstr>
      <vt:lpstr>Code_7075</vt:lpstr>
      <vt:lpstr>Code_7076</vt:lpstr>
      <vt:lpstr>Code_7077</vt:lpstr>
      <vt:lpstr>Code_7078</vt:lpstr>
      <vt:lpstr>Code_7079</vt:lpstr>
      <vt:lpstr>Code_7080</vt:lpstr>
      <vt:lpstr>Code_7082</vt:lpstr>
      <vt:lpstr>Code_7085</vt:lpstr>
      <vt:lpstr>Code_7086</vt:lpstr>
      <vt:lpstr>Code_7087</vt:lpstr>
      <vt:lpstr>Code_7088</vt:lpstr>
      <vt:lpstr>Code_7089</vt:lpstr>
      <vt:lpstr>Code_7090</vt:lpstr>
      <vt:lpstr>Code_7091</vt:lpstr>
      <vt:lpstr>Code_7092</vt:lpstr>
      <vt:lpstr>Code_7094</vt:lpstr>
      <vt:lpstr>Code_7095</vt:lpstr>
      <vt:lpstr>Code_7096</vt:lpstr>
      <vt:lpstr>Code_7097</vt:lpstr>
      <vt:lpstr>Code_7098</vt:lpstr>
      <vt:lpstr>Code_7099</vt:lpstr>
      <vt:lpstr>Code_7100</vt:lpstr>
      <vt:lpstr>Code_7101</vt:lpstr>
      <vt:lpstr>Code_7102</vt:lpstr>
      <vt:lpstr>Code_7103</vt:lpstr>
      <vt:lpstr>Code_7104</vt:lpstr>
      <vt:lpstr>Code_7105</vt:lpstr>
      <vt:lpstr>Code_7106</vt:lpstr>
      <vt:lpstr>Code_7107</vt:lpstr>
      <vt:lpstr>Code_7108</vt:lpstr>
      <vt:lpstr>Code_7109</vt:lpstr>
      <vt:lpstr>Code_7110</vt:lpstr>
      <vt:lpstr>Code_7111</vt:lpstr>
      <vt:lpstr>Code_7113</vt:lpstr>
      <vt:lpstr>Code_7117</vt:lpstr>
      <vt:lpstr>Code_7118</vt:lpstr>
      <vt:lpstr>Code_7119</vt:lpstr>
      <vt:lpstr>Code_7120</vt:lpstr>
      <vt:lpstr>Code_7121</vt:lpstr>
      <vt:lpstr>Code_7122</vt:lpstr>
      <vt:lpstr>Code_7123</vt:lpstr>
      <vt:lpstr>Code_7124</vt:lpstr>
      <vt:lpstr>Code_7125</vt:lpstr>
      <vt:lpstr>Code_7126</vt:lpstr>
      <vt:lpstr>Code_7127</vt:lpstr>
      <vt:lpstr>Code_7128</vt:lpstr>
      <vt:lpstr>Code_7130</vt:lpstr>
      <vt:lpstr>Code_7131</vt:lpstr>
      <vt:lpstr>Code_7133</vt:lpstr>
      <vt:lpstr>Code_7134</vt:lpstr>
      <vt:lpstr>Code_7135</vt:lpstr>
      <vt:lpstr>Code_7136</vt:lpstr>
      <vt:lpstr>Code_7138</vt:lpstr>
      <vt:lpstr>Code_7139</vt:lpstr>
      <vt:lpstr>Code_7141</vt:lpstr>
      <vt:lpstr>Code_7142</vt:lpstr>
      <vt:lpstr>Code_7144</vt:lpstr>
      <vt:lpstr>Code_7145</vt:lpstr>
      <vt:lpstr>Code_7147</vt:lpstr>
      <vt:lpstr>Code_7148</vt:lpstr>
      <vt:lpstr>Code_7155</vt:lpstr>
      <vt:lpstr>Code_7156</vt:lpstr>
      <vt:lpstr>Code_7157</vt:lpstr>
      <vt:lpstr>Code_7158</vt:lpstr>
      <vt:lpstr>Code_7159</vt:lpstr>
      <vt:lpstr>Code_7161</vt:lpstr>
      <vt:lpstr>Code_7162</vt:lpstr>
      <vt:lpstr>Code_7163</vt:lpstr>
      <vt:lpstr>Code_7164</vt:lpstr>
      <vt:lpstr>Code_7166</vt:lpstr>
      <vt:lpstr>Code_7167</vt:lpstr>
      <vt:lpstr>Code_7168</vt:lpstr>
      <vt:lpstr>Code_7176</vt:lpstr>
      <vt:lpstr>Code_7177</vt:lpstr>
      <vt:lpstr>Code_7178</vt:lpstr>
      <vt:lpstr>Code_7179</vt:lpstr>
      <vt:lpstr>Code_7180</vt:lpstr>
      <vt:lpstr>Code_7181</vt:lpstr>
      <vt:lpstr>Code_7183</vt:lpstr>
      <vt:lpstr>Code_7184</vt:lpstr>
      <vt:lpstr>Code_7185</vt:lpstr>
      <vt:lpstr>Code_7186</vt:lpstr>
      <vt:lpstr>Code_7188</vt:lpstr>
      <vt:lpstr>Code_7189</vt:lpstr>
      <vt:lpstr>Code_7225</vt:lpstr>
      <vt:lpstr>Code_7234</vt:lpstr>
      <vt:lpstr>Code_7235</vt:lpstr>
      <vt:lpstr>Code_7242</vt:lpstr>
      <vt:lpstr>Code_7243</vt:lpstr>
      <vt:lpstr>Code_7244</vt:lpstr>
      <vt:lpstr>Code_7245</vt:lpstr>
      <vt:lpstr>Code_7248</vt:lpstr>
      <vt:lpstr>Code_7250</vt:lpstr>
      <vt:lpstr>Code_7251</vt:lpstr>
      <vt:lpstr>Code_7253</vt:lpstr>
      <vt:lpstr>Code_7256</vt:lpstr>
      <vt:lpstr>Code_7259</vt:lpstr>
      <vt:lpstr>Code_7260</vt:lpstr>
      <vt:lpstr>Code_7261</vt:lpstr>
      <vt:lpstr>Code_7263</vt:lpstr>
      <vt:lpstr>Code_7264</vt:lpstr>
      <vt:lpstr>Code_7266</vt:lpstr>
      <vt:lpstr>Code_7267</vt:lpstr>
      <vt:lpstr>Code_7269</vt:lpstr>
      <vt:lpstr>Code_7310</vt:lpstr>
      <vt:lpstr>Code_7410</vt:lpstr>
      <vt:lpstr>Code_7426</vt:lpstr>
      <vt:lpstr>Code_7441</vt:lpstr>
      <vt:lpstr>Code_7497</vt:lpstr>
      <vt:lpstr>Code_7498</vt:lpstr>
      <vt:lpstr>Code_7499</vt:lpstr>
      <vt:lpstr>Code_7567</vt:lpstr>
      <vt:lpstr>Code_7568</vt:lpstr>
      <vt:lpstr>Code_7569</vt:lpstr>
      <vt:lpstr>Code_7570</vt:lpstr>
      <vt:lpstr>Code_7571</vt:lpstr>
      <vt:lpstr>Code_7572</vt:lpstr>
      <vt:lpstr>Code_7573</vt:lpstr>
      <vt:lpstr>Code_7574</vt:lpstr>
      <vt:lpstr>Code_7575</vt:lpstr>
      <vt:lpstr>Code_7576</vt:lpstr>
      <vt:lpstr>Code_7577</vt:lpstr>
      <vt:lpstr>Code_7578</vt:lpstr>
      <vt:lpstr>Code_7579</vt:lpstr>
      <vt:lpstr>Code_7580</vt:lpstr>
      <vt:lpstr>Code_7581</vt:lpstr>
      <vt:lpstr>Code_7582</vt:lpstr>
      <vt:lpstr>Code_7583</vt:lpstr>
      <vt:lpstr>Code_7584</vt:lpstr>
      <vt:lpstr>Code_7585</vt:lpstr>
      <vt:lpstr>Code_7586</vt:lpstr>
      <vt:lpstr>Code_7587</vt:lpstr>
      <vt:lpstr>Code_7588</vt:lpstr>
      <vt:lpstr>Code_7589</vt:lpstr>
      <vt:lpstr>Code_7590</vt:lpstr>
      <vt:lpstr>Code_7591</vt:lpstr>
      <vt:lpstr>Code_7592</vt:lpstr>
      <vt:lpstr>Code_7593</vt:lpstr>
      <vt:lpstr>Code_7594</vt:lpstr>
      <vt:lpstr>Code_7595</vt:lpstr>
      <vt:lpstr>Code_7596</vt:lpstr>
      <vt:lpstr>Code_7689</vt:lpstr>
      <vt:lpstr>Code_7690</vt:lpstr>
      <vt:lpstr>Code_7691</vt:lpstr>
      <vt:lpstr>Code_8062</vt:lpstr>
      <vt:lpstr>Code_8063</vt:lpstr>
      <vt:lpstr>Code_8100</vt:lpstr>
      <vt:lpstr>Code_8101</vt:lpstr>
      <vt:lpstr>Code_8102</vt:lpstr>
      <vt:lpstr>Code_9999</vt:lpstr>
      <vt:lpstr>def_0630</vt:lpstr>
      <vt:lpstr>def_0637</vt:lpstr>
      <vt:lpstr>def_0650</vt:lpstr>
      <vt:lpstr>Definitions!def_0655</vt:lpstr>
      <vt:lpstr>def_0655</vt:lpstr>
      <vt:lpstr>def_0751</vt:lpstr>
      <vt:lpstr>def_0762</vt:lpstr>
      <vt:lpstr>def_0847</vt:lpstr>
      <vt:lpstr>def_4026</vt:lpstr>
      <vt:lpstr>def_4344</vt:lpstr>
      <vt:lpstr>def_7082</vt:lpstr>
      <vt:lpstr>def_7310</vt:lpstr>
      <vt:lpstr>def_7410</vt:lpstr>
      <vt:lpstr>def_7567</vt:lpstr>
      <vt:lpstr>def_7570</vt:lpstr>
      <vt:lpstr>def_7573_7574</vt:lpstr>
      <vt:lpstr>def_7575</vt:lpstr>
      <vt:lpstr>def_7576</vt:lpstr>
      <vt:lpstr>def_7577</vt:lpstr>
      <vt:lpstr>def_7578</vt:lpstr>
      <vt:lpstr>def_7579</vt:lpstr>
      <vt:lpstr>Definitions!def_7580</vt:lpstr>
      <vt:lpstr>def_7580</vt:lpstr>
      <vt:lpstr>def_7581</vt:lpstr>
      <vt:lpstr>Definitions!def_7582</vt:lpstr>
      <vt:lpstr>def_7582</vt:lpstr>
      <vt:lpstr>def_7583</vt:lpstr>
      <vt:lpstr>def_7584</vt:lpstr>
      <vt:lpstr>def_7594</vt:lpstr>
      <vt:lpstr>def_8100</vt:lpstr>
      <vt:lpstr>Def_Date_Spend_Commit</vt:lpstr>
      <vt:lpstr>def_exceptions</vt:lpstr>
      <vt:lpstr>def_medical_equip</vt:lpstr>
      <vt:lpstr>def_NPI</vt:lpstr>
      <vt:lpstr>DRGs</vt:lpstr>
      <vt:lpstr>Explanation_of_Adjustments</vt:lpstr>
      <vt:lpstr>HCCIS_ID</vt:lpstr>
      <vt:lpstr>HCCIS_ID_list</vt:lpstr>
      <vt:lpstr>Audit_Tab_Data!Hospital_Data</vt:lpstr>
      <vt:lpstr>Hospital_Data</vt:lpstr>
      <vt:lpstr>HCCIS_ID!ID_list</vt:lpstr>
      <vt:lpstr>ID_list</vt:lpstr>
      <vt:lpstr>NPI</vt:lpstr>
      <vt:lpstr>'2017 HAR'!Print_Area</vt:lpstr>
      <vt:lpstr>CapExpData!Print_Area</vt:lpstr>
      <vt:lpstr>'Capital Expend Project Specific'!Print_Area</vt:lpstr>
      <vt:lpstr>'Offsite Locations'!Print_Area</vt:lpstr>
      <vt:lpstr>'Prior Cap Exp Report'!Print_Area</vt:lpstr>
      <vt:lpstr>'Service Line Data'!Print_Area</vt:lpstr>
      <vt:lpstr>'Tip Sheet'!Print_Area</vt:lpstr>
      <vt:lpstr>Verify_Data_MA_Surcharge!Print_Area</vt:lpstr>
      <vt:lpstr>Reclassifications!Print_Titles</vt:lpstr>
      <vt:lpstr>ValidCapacity</vt:lpstr>
      <vt:lpstr>ValidEvidence</vt:lpstr>
      <vt:lpstr>ValidImpact</vt:lpstr>
      <vt:lpstr>ValidPriorCap</vt:lpstr>
      <vt:lpstr>ValidProjType</vt:lpstr>
      <vt:lpstr>ValidRemote</vt:lpstr>
      <vt:lpstr>ValidSubtype1</vt:lpstr>
      <vt:lpstr>ValidSubtype2</vt:lpstr>
      <vt:lpstr>ValidSubtype3</vt:lpstr>
      <vt:lpstr>ValidYN</vt:lpstr>
      <vt:lpstr>VCapacity</vt:lpstr>
      <vt:lpstr>VEvidence</vt:lpstr>
      <vt:lpstr>VImpact</vt:lpstr>
      <vt:lpstr>VPriorCap</vt:lpstr>
      <vt:lpstr>VProjType</vt:lpstr>
      <vt:lpstr>VRemote</vt:lpstr>
      <vt:lpstr>VSubtype1</vt:lpstr>
      <vt:lpstr>VSubtype2</vt:lpstr>
      <vt:lpstr>VSubtype3</vt:lpstr>
      <vt:lpstr>VYN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jpeters</dc:creator>
  <cp:lastModifiedBy>Kelly</cp:lastModifiedBy>
  <cp:lastPrinted>2017-08-09T19:12:24Z</cp:lastPrinted>
  <dcterms:created xsi:type="dcterms:W3CDTF">2008-07-28T18:04:10Z</dcterms:created>
  <dcterms:modified xsi:type="dcterms:W3CDTF">2019-11-08T23:15:35Z</dcterms:modified>
</cp:coreProperties>
</file>