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lly/Desktop/Analysis Projects/Crowdfunding Analysis/"/>
    </mc:Choice>
  </mc:AlternateContent>
  <xr:revisionPtr revIDLastSave="0" documentId="8_{6BA2EAF4-B821-D840-8FE5-FC489C7EC5A1}" xr6:coauthVersionLast="47" xr6:coauthVersionMax="47" xr10:uidLastSave="{00000000-0000-0000-0000-000000000000}"/>
  <bookViews>
    <workbookView xWindow="29960" yWindow="-19600" windowWidth="48440" windowHeight="28300" activeTab="3" xr2:uid="{00000000-000D-0000-FFFF-FFFF00000000}"/>
  </bookViews>
  <sheets>
    <sheet name="Category Statistics" sheetId="2" r:id="rId1"/>
    <sheet name="Subcategory Statistics" sheetId="4" r:id="rId2"/>
    <sheet name="Outcomes Based on Launch Date" sheetId="5" r:id="rId3"/>
    <sheet name="Theater Outcomes by Launch Date" sheetId="12" r:id="rId4"/>
    <sheet name="Kickstarter" sheetId="1" r:id="rId5"/>
    <sheet name="Outcomes Based on Goals" sheetId="14" r:id="rId6"/>
    <sheet name="Descriptive Statistics" sheetId="9" r:id="rId7"/>
    <sheet name="Edinburgh Research" sheetId="6" r:id="rId8"/>
  </sheets>
  <definedNames>
    <definedName name="_xlnm._FilterDatabase" localSheetId="4" hidden="1">Kickstarter!$A$1:$T$4117</definedName>
  </definedNames>
  <calcPr calcId="191029"/>
  <pivotCaches>
    <pivotCache cacheId="22" r:id="rId9"/>
    <pivotCache cacheId="23" r:id="rId10"/>
    <pivotCache cacheId="25" r:id="rId11"/>
    <pivotCache cacheId="35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13" i="14"/>
  <c r="H2" i="14"/>
  <c r="G3" i="14"/>
  <c r="G4" i="14"/>
  <c r="G5" i="14"/>
  <c r="G6" i="14"/>
  <c r="G7" i="14"/>
  <c r="G8" i="14"/>
  <c r="G9" i="14"/>
  <c r="G10" i="14"/>
  <c r="G11" i="14"/>
  <c r="G12" i="14"/>
  <c r="G13" i="14"/>
  <c r="G2" i="14"/>
  <c r="F3" i="14"/>
  <c r="F4" i="14"/>
  <c r="F5" i="14"/>
  <c r="F6" i="14"/>
  <c r="F7" i="14"/>
  <c r="F8" i="14"/>
  <c r="F9" i="14"/>
  <c r="F10" i="14"/>
  <c r="F11" i="14"/>
  <c r="F12" i="14"/>
  <c r="F13" i="14"/>
  <c r="F2" i="14"/>
  <c r="E13" i="14"/>
  <c r="E12" i="14"/>
  <c r="E11" i="14"/>
  <c r="E10" i="14"/>
  <c r="E9" i="14"/>
  <c r="E8" i="14"/>
  <c r="E7" i="14"/>
  <c r="E6" i="14"/>
  <c r="E5" i="14"/>
  <c r="E4" i="14"/>
  <c r="E3" i="14"/>
  <c r="E2" i="14"/>
  <c r="D13" i="14"/>
  <c r="D12" i="14"/>
  <c r="D11" i="14"/>
  <c r="D10" i="14"/>
  <c r="D9" i="14"/>
  <c r="D8" i="14"/>
  <c r="D7" i="14"/>
  <c r="D6" i="14"/>
  <c r="D4" i="14"/>
  <c r="D5" i="14"/>
  <c r="D3" i="14"/>
  <c r="D2" i="14"/>
  <c r="C13" i="14"/>
  <c r="C12" i="14"/>
  <c r="C11" i="14"/>
  <c r="C10" i="14"/>
  <c r="C9" i="14"/>
  <c r="C8" i="14"/>
  <c r="C7" i="14"/>
  <c r="C6" i="14"/>
  <c r="C5" i="14"/>
  <c r="C2" i="14"/>
  <c r="C4" i="14"/>
  <c r="B4" i="14"/>
  <c r="C3" i="14"/>
  <c r="B3" i="14"/>
  <c r="B2" i="14"/>
  <c r="B7" i="14"/>
  <c r="B6" i="14"/>
  <c r="B13" i="14"/>
  <c r="B12" i="14"/>
  <c r="B11" i="14"/>
  <c r="B10" i="14"/>
  <c r="B9" i="14"/>
  <c r="B5" i="14"/>
  <c r="B8" i="14"/>
  <c r="C13" i="9"/>
  <c r="C12" i="9"/>
  <c r="C14" i="9" s="1"/>
  <c r="C11" i="9"/>
  <c r="B13" i="9"/>
  <c r="B12" i="9"/>
  <c r="B11" i="9"/>
  <c r="C6" i="9"/>
  <c r="C5" i="9"/>
  <c r="C7" i="9" s="1"/>
  <c r="C4" i="9"/>
  <c r="B4" i="9"/>
  <c r="B6" i="9"/>
  <c r="B5" i="9"/>
  <c r="B7" i="9" s="1"/>
  <c r="C10" i="9"/>
  <c r="C9" i="9"/>
  <c r="B10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S4117" i="1"/>
  <c r="U4117" i="1" s="1"/>
  <c r="S2" i="1"/>
  <c r="U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6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6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6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6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6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4116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B14" i="9" l="1"/>
</calcChain>
</file>

<file path=xl/sharedStrings.xml><?xml version="1.0" encoding="utf-8"?>
<sst xmlns="http://schemas.openxmlformats.org/spreadsheetml/2006/main" count="33093" uniqueCount="8415">
  <si>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</si>
  <si>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</si>
  <si>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</si>
  <si>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</si>
  <si>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</si>
  <si>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</si>
  <si>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</si>
  <si>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</si>
  <si>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</si>
  <si>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</si>
  <si>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</si>
  <si>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</si>
  <si>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</si>
  <si>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</si>
  <si>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</si>
  <si>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</si>
  <si>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</si>
  <si>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</si>
  <si>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</si>
  <si>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</si>
  <si>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</si>
  <si>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</si>
  <si>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</si>
  <si>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</si>
  <si>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</si>
  <si>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</si>
  <si>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</si>
  <si>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</si>
  <si>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</si>
  <si>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</si>
  <si>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</si>
  <si>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</si>
  <si>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</si>
  <si>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</si>
  <si>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</si>
  <si>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</si>
  <si>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</si>
  <si>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</si>
  <si>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</si>
  <si>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</si>
  <si>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</si>
  <si>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</si>
  <si>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</si>
  <si>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</si>
  <si>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</si>
  <si>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</si>
  <si>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</si>
  <si>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</si>
  <si>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</si>
  <si>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</si>
  <si>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</si>
  <si>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</si>
  <si>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</si>
  <si>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</si>
  <si>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</si>
  <si>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</si>
  <si>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</si>
  <si>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</si>
  <si>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</si>
  <si>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</si>
  <si>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</si>
  <si>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</si>
  <si>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</si>
  <si>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</si>
  <si>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</si>
  <si>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</si>
  <si>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</si>
  <si>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</si>
  <si>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</si>
  <si>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</si>
  <si>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</si>
  <si>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</si>
  <si>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</si>
  <si>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</si>
  <si>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</si>
  <si>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</si>
  <si>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</si>
  <si>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</si>
  <si>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</si>
  <si>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</si>
  <si>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</si>
  <si>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</si>
  <si>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</si>
  <si>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</si>
  <si>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</si>
  <si>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</si>
  <si>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</si>
  <si>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</si>
  <si>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</si>
  <si>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</si>
  <si>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</si>
  <si>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</si>
  <si>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</si>
  <si>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</si>
  <si>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</si>
  <si>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</si>
  <si>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</si>
  <si>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</si>
  <si>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</si>
  <si>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</si>
  <si>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</si>
  <si>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</si>
  <si>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</si>
  <si>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</si>
  <si>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</si>
  <si>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</si>
  <si>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</si>
  <si>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</si>
  <si>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</si>
  <si>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</si>
  <si>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</si>
  <si>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</si>
  <si>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</si>
  <si>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</si>
  <si>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</si>
  <si>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</si>
  <si>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</si>
  <si>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</si>
  <si>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</si>
  <si>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</si>
  <si>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</si>
  <si>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</si>
  <si>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</si>
  <si>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</si>
  <si>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</si>
  <si>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</si>
  <si>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</si>
  <si>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</si>
  <si>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</si>
  <si>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</si>
  <si>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</si>
  <si>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</si>
  <si>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</si>
  <si>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</si>
  <si>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</si>
  <si>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</si>
  <si>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</si>
  <si>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</si>
  <si>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</si>
  <si>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</si>
  <si>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</si>
  <si>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</si>
  <si>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</si>
  <si>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</si>
  <si>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</si>
  <si>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</si>
  <si>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</si>
  <si>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</si>
  <si>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</si>
  <si>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</si>
  <si>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</si>
  <si>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</si>
  <si>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</si>
  <si>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</si>
  <si>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</si>
  <si>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</si>
  <si>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</si>
  <si>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</si>
  <si>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</si>
  <si>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</si>
  <si>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</si>
  <si>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</si>
  <si>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</si>
  <si>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</si>
  <si>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</si>
  <si>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</si>
  <si>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</si>
  <si>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</si>
  <si>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</si>
  <si>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</si>
  <si>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</si>
  <si>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</si>
  <si>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</si>
  <si>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</si>
  <si>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</si>
  <si>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</si>
  <si>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</si>
  <si>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</si>
  <si>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</si>
  <si>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</si>
  <si>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</si>
  <si>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</si>
  <si>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</si>
  <si>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</si>
  <si>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</si>
  <si>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</si>
  <si>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</si>
  <si>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</si>
  <si>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</si>
  <si>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</si>
  <si>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</si>
  <si>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</si>
  <si>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</si>
  <si>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</si>
  <si>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</si>
  <si>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</si>
  <si>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</si>
  <si>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</si>
  <si>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</si>
  <si>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</si>
  <si>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</si>
  <si>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</si>
  <si>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</si>
  <si>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</si>
  <si>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</si>
  <si>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</si>
  <si>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</si>
  <si>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</si>
  <si>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</si>
  <si>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</si>
  <si>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</si>
  <si>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</si>
  <si>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</si>
  <si>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</si>
  <si>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</si>
  <si>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</si>
  <si>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</si>
  <si>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</si>
  <si>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</si>
  <si>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</si>
  <si>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</si>
  <si>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</si>
  <si>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</si>
  <si>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</si>
  <si>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</si>
  <si>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</si>
  <si>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</si>
  <si>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</si>
  <si>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</si>
  <si>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</si>
  <si>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</si>
  <si>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</si>
  <si>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</si>
  <si>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</si>
  <si>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</si>
  <si>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</si>
  <si>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</si>
  <si>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</si>
  <si>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</si>
  <si>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</si>
  <si>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</si>
  <si>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</si>
  <si>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</si>
  <si>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</si>
  <si>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</si>
  <si>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</si>
  <si>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</si>
  <si>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</si>
  <si>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</si>
  <si>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</si>
  <si>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</si>
  <si>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</si>
  <si>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</si>
  <si>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</si>
  <si>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</si>
  <si>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</si>
  <si>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</si>
  <si>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</si>
  <si>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</si>
  <si>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</si>
  <si>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</si>
  <si>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</si>
  <si>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</si>
  <si>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</si>
  <si>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</si>
  <si>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</si>
  <si>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</si>
  <si>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</si>
  <si>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</si>
  <si>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</si>
  <si>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</si>
  <si>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</si>
  <si>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</si>
  <si>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</si>
  <si>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</si>
  <si>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</si>
  <si>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</si>
  <si>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</si>
  <si>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</si>
  <si>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</si>
  <si>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</si>
  <si>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</si>
  <si>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</si>
  <si>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</si>
  <si>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</si>
  <si>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</si>
  <si>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</si>
  <si>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</si>
  <si>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</si>
  <si>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</si>
  <si>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</si>
  <si>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</si>
  <si>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</si>
  <si>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</si>
  <si>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</si>
  <si>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</si>
  <si>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</si>
  <si>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</si>
  <si>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</si>
  <si>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</si>
  <si>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</si>
  <si>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</si>
  <si>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</si>
  <si>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</si>
  <si>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</si>
  <si>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</si>
  <si>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</si>
  <si>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</si>
  <si>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</si>
  <si>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</si>
  <si>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</si>
  <si>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</si>
  <si>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</si>
  <si>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</si>
  <si>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</si>
  <si>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</si>
  <si>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</si>
  <si>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</si>
  <si>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</si>
  <si>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</si>
  <si>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</si>
  <si>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</si>
  <si>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</si>
  <si>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</si>
  <si>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</si>
  <si>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</si>
  <si>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</si>
  <si>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</si>
  <si>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</si>
  <si>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</si>
  <si>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</si>
  <si>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</si>
  <si>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</si>
  <si>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</si>
  <si>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</si>
  <si>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</si>
  <si>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</si>
  <si>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</si>
  <si>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</si>
  <si>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</si>
  <si>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</si>
  <si>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</si>
  <si>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</si>
  <si>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</si>
  <si>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</si>
  <si>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</si>
  <si>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</si>
  <si>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</si>
  <si>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</si>
  <si>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</si>
  <si>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</si>
  <si>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</si>
  <si>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</si>
  <si>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</si>
  <si>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</si>
  <si>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</si>
  <si>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</si>
  <si>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</si>
  <si>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</si>
  <si>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</si>
  <si>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</si>
  <si>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</si>
  <si>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</si>
  <si>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</si>
  <si>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</si>
  <si>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</si>
  <si>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</si>
  <si>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</si>
  <si>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</si>
  <si>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</si>
  <si>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</si>
  <si>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</si>
  <si>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</si>
  <si>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</si>
  <si>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</si>
  <si>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</si>
  <si>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</si>
  <si>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</si>
  <si>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</si>
  <si>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</si>
  <si>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</si>
  <si>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</si>
  <si>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</si>
  <si>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</si>
  <si>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</si>
  <si>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</si>
  <si>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</si>
  <si>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</si>
  <si>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</si>
  <si>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</si>
  <si>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</si>
  <si>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</si>
  <si>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</si>
  <si>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</si>
  <si>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</si>
  <si>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</si>
  <si>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</si>
  <si>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</si>
  <si>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</si>
  <si>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</si>
  <si>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</si>
  <si>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</si>
  <si>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</si>
  <si>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</si>
  <si>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</si>
  <si>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</si>
  <si>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</si>
  <si>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</si>
  <si>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</si>
  <si>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</si>
  <si>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</si>
  <si>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</si>
  <si>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</si>
  <si>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</si>
  <si>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</si>
  <si>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</si>
  <si>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</si>
  <si>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</si>
  <si>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</si>
  <si>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</si>
  <si>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</si>
  <si>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</si>
  <si>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</si>
  <si>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</si>
  <si>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</si>
  <si>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</si>
  <si>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</si>
  <si>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</si>
  <si>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</si>
  <si>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</si>
  <si>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</si>
  <si>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</si>
  <si>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</si>
  <si>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</si>
  <si>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</si>
  <si>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</si>
  <si>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</si>
  <si>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</si>
  <si>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</si>
  <si>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</si>
  <si>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</si>
  <si>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</si>
  <si>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</si>
  <si>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</si>
  <si>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</si>
  <si>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</si>
  <si>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</si>
  <si>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</si>
  <si>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</si>
  <si>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</si>
  <si>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</si>
  <si>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</si>
  <si>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</si>
  <si>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</si>
  <si>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</si>
  <si>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</si>
  <si>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</si>
  <si>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</si>
  <si>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</si>
  <si>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</si>
  <si>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</si>
  <si>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</si>
  <si>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</si>
  <si>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</si>
  <si>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</si>
  <si>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</si>
  <si>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</si>
  <si>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</si>
  <si>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</si>
  <si>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</si>
  <si>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</si>
  <si>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</si>
  <si>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</si>
  <si>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</si>
  <si>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</si>
  <si>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</si>
  <si>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</si>
  <si>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</si>
  <si>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</si>
  <si>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</si>
  <si>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</si>
  <si>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</si>
  <si>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</si>
  <si>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</si>
  <si>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</si>
  <si>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</si>
  <si>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</si>
  <si>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</si>
  <si>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</si>
  <si>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</si>
  <si>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</si>
  <si>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</si>
  <si>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</si>
  <si>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</si>
  <si>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</si>
  <si>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</si>
  <si>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</si>
  <si>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</si>
  <si>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</si>
  <si>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</si>
  <si>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</si>
  <si>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</si>
  <si>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</si>
  <si>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</si>
  <si>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</si>
  <si>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</si>
  <si>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</si>
  <si>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</si>
  <si>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</si>
  <si>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</si>
  <si>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</si>
  <si>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</si>
  <si>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</si>
  <si>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</si>
  <si>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</si>
  <si>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</si>
  <si>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</si>
  <si>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</si>
  <si>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</si>
  <si>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</si>
  <si>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</si>
  <si>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</si>
  <si>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</si>
  <si>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</si>
  <si>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</si>
  <si>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</si>
  <si>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</si>
  <si>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</si>
  <si>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</si>
  <si>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</si>
  <si>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</si>
  <si>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</si>
  <si>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</si>
  <si>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</si>
  <si>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</si>
  <si>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</si>
  <si>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</si>
  <si>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</si>
  <si>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</si>
  <si>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</si>
  <si>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</si>
  <si>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</si>
  <si>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</si>
  <si>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</si>
  <si>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</si>
  <si>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</si>
  <si>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</si>
  <si>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</si>
  <si>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</si>
  <si>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</si>
  <si>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</si>
  <si>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</si>
  <si>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</si>
  <si>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</si>
  <si>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</si>
  <si>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</si>
  <si>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</si>
  <si>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</si>
  <si>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</si>
  <si>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</si>
  <si>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</si>
  <si>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</si>
  <si>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</si>
  <si>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</si>
  <si>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</si>
  <si>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</si>
  <si>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</si>
  <si>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</si>
  <si>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</si>
  <si>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</si>
  <si>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</si>
  <si>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</si>
  <si>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</si>
  <si>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</si>
  <si>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</si>
  <si>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</si>
  <si>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</si>
  <si>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</si>
  <si>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</si>
  <si>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</si>
  <si>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</si>
  <si>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</si>
  <si>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</si>
  <si>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</si>
  <si>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</si>
  <si>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</si>
  <si>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</si>
  <si>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</si>
  <si>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</si>
  <si>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</si>
  <si>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</si>
  <si>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</si>
  <si>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</si>
  <si>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</si>
  <si>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</si>
  <si>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</si>
  <si>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</si>
  <si>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</si>
  <si>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</si>
  <si>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</si>
  <si>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</si>
  <si>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</si>
  <si>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</si>
  <si>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</si>
  <si>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</si>
  <si>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</si>
  <si>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</si>
  <si>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</si>
  <si>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</si>
  <si>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</si>
  <si>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</si>
  <si>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</si>
  <si>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</si>
  <si>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</si>
  <si>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</si>
  <si>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</si>
  <si>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</si>
  <si>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</si>
  <si>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</si>
  <si>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</si>
  <si>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</si>
  <si>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</si>
  <si>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</si>
  <si>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</si>
  <si>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</si>
  <si>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</si>
  <si>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</si>
  <si>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</si>
  <si>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</si>
  <si>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</si>
  <si>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</si>
  <si>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</si>
  <si>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</si>
  <si>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</si>
  <si>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</si>
  <si>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</si>
  <si>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</si>
  <si>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</si>
  <si>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</si>
  <si>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</si>
  <si>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</si>
  <si>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</si>
  <si>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</si>
  <si>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</si>
  <si>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</si>
  <si>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</si>
  <si>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</si>
  <si>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</si>
  <si>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</si>
  <si>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</si>
  <si>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</si>
  <si>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</si>
  <si>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</si>
  <si>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</si>
  <si>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</si>
  <si>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</si>
  <si>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</si>
  <si>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</si>
  <si>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</si>
  <si>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</si>
  <si>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</si>
  <si>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</si>
  <si>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</si>
  <si>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</si>
  <si>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</si>
  <si>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</si>
  <si>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</si>
  <si>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</si>
  <si>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</si>
  <si>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</si>
  <si>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</si>
  <si>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</si>
  <si>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</si>
  <si>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</si>
  <si>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</si>
  <si>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</si>
  <si>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</si>
  <si>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</si>
  <si>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</si>
  <si>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</si>
  <si>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</si>
  <si>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</si>
  <si>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</si>
  <si>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</si>
  <si>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</si>
  <si>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</si>
  <si>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</si>
  <si>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</si>
  <si>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</si>
  <si>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</si>
  <si>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</si>
  <si>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</si>
  <si>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</si>
  <si>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</si>
  <si>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</si>
  <si>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</si>
  <si>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</si>
  <si>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</si>
  <si>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</si>
  <si>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</si>
  <si>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</si>
  <si>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</si>
  <si>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</si>
  <si>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</si>
  <si>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</si>
  <si>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</si>
  <si>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</si>
  <si>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</si>
  <si>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</si>
  <si>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</si>
  <si>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</si>
  <si>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</si>
  <si>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</si>
  <si>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</si>
  <si>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</si>
  <si>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</si>
  <si>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</si>
  <si>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</si>
  <si>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</si>
  <si>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</si>
  <si>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</si>
  <si>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</si>
  <si>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</si>
  <si>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</si>
  <si>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</si>
  <si>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</si>
  <si>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</si>
  <si>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</si>
  <si>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</si>
  <si>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</si>
  <si>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</si>
  <si>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</si>
  <si>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</si>
  <si>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</si>
  <si>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</si>
  <si>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</si>
  <si>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</si>
  <si>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</si>
  <si>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</si>
  <si>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</si>
  <si>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</si>
  <si>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</si>
  <si>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</si>
  <si>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</si>
  <si>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</si>
  <si>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</si>
  <si>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</si>
  <si>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</si>
  <si>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</si>
  <si>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</si>
  <si>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</si>
  <si>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</si>
  <si>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</si>
  <si>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</si>
  <si>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</si>
  <si>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</si>
  <si>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</si>
  <si>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</si>
  <si>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</si>
  <si>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</si>
  <si>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</si>
  <si>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</si>
  <si>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</si>
  <si>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</si>
  <si>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</si>
  <si>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</si>
  <si>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</si>
  <si>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</si>
  <si>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</si>
  <si>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</si>
  <si>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</si>
  <si>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</si>
  <si>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</si>
  <si>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</si>
  <si>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</si>
  <si>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</si>
  <si>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</si>
  <si>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</si>
  <si>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</si>
  <si>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</si>
  <si>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</si>
  <si>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</si>
  <si>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</si>
  <si>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</si>
  <si>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</si>
  <si>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</si>
  <si>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</si>
  <si>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</si>
  <si>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</si>
  <si>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</si>
  <si>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</si>
  <si>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</si>
  <si>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</si>
  <si>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</si>
  <si>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</si>
  <si>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</si>
  <si>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</si>
  <si>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</si>
  <si>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</si>
  <si>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</si>
  <si>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</si>
  <si>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</si>
  <si>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</si>
  <si>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</si>
  <si>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</si>
  <si>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</si>
  <si>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</si>
  <si>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</si>
  <si>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</si>
  <si>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</si>
  <si>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</si>
  <si>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</si>
  <si>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</si>
  <si>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</si>
  <si>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</si>
  <si>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</si>
  <si>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</si>
  <si>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</si>
  <si>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</si>
  <si>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</si>
  <si>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</si>
  <si>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</si>
  <si>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</si>
  <si>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</si>
  <si>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</si>
  <si>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</si>
  <si>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</si>
  <si>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</si>
  <si>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</si>
  <si>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</si>
  <si>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</si>
  <si>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</si>
  <si>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</si>
  <si>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</si>
  <si>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</si>
  <si>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</si>
  <si>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</si>
  <si>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</si>
  <si>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</si>
  <si>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</si>
  <si>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</si>
  <si>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</si>
  <si>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</si>
  <si>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</si>
  <si>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</si>
  <si>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</si>
  <si>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</si>
  <si>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</si>
  <si>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</si>
  <si>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</si>
  <si>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</si>
  <si>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</si>
  <si>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</si>
  <si>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</si>
  <si>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</si>
  <si>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</si>
  <si>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</si>
  <si>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</si>
  <si>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</si>
  <si>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</si>
  <si>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</si>
  <si>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</si>
  <si>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</si>
  <si>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</si>
  <si>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</si>
  <si>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</si>
  <si>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</si>
  <si>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</si>
  <si>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</si>
  <si>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</si>
  <si>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</si>
  <si>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</si>
  <si>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</si>
  <si>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</si>
  <si>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</si>
  <si>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</si>
  <si>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</si>
  <si>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</si>
  <si>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</si>
  <si>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</si>
  <si>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</si>
  <si>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</si>
  <si>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</si>
  <si>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</si>
  <si>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</si>
  <si>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</si>
  <si>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</si>
  <si>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</si>
  <si>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</si>
  <si>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</si>
  <si>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</si>
  <si>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</si>
  <si>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</si>
  <si>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</si>
  <si>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</si>
  <si>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</si>
  <si>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</si>
  <si>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</si>
  <si>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</si>
  <si>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</si>
  <si>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</si>
  <si>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</si>
  <si>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</si>
  <si>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</si>
  <si>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</si>
  <si>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</si>
  <si>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</si>
  <si>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</si>
  <si>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</si>
  <si>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</si>
  <si>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</si>
  <si>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</si>
  <si>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</si>
  <si>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</si>
  <si>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</si>
  <si>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</si>
  <si>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</si>
  <si>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</si>
  <si>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</si>
  <si>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</si>
  <si>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</si>
  <si>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</si>
  <si>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</si>
  <si>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</si>
  <si>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</si>
  <si>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</si>
  <si>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</si>
  <si>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</si>
  <si>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</si>
  <si>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</si>
  <si>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</si>
  <si>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</si>
  <si>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</si>
  <si>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</si>
  <si>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</si>
  <si>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</si>
  <si>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</si>
  <si>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</si>
  <si>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</si>
  <si>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</si>
  <si>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</si>
  <si>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</si>
  <si>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</si>
  <si>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</si>
  <si>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</si>
  <si>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</si>
  <si>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</si>
  <si>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</si>
  <si>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</si>
  <si>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</si>
  <si>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</si>
  <si>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</si>
  <si>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</si>
  <si>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</si>
  <si>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</si>
  <si>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</si>
  <si>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</si>
  <si>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</si>
  <si>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</si>
  <si>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</si>
  <si>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</si>
  <si>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</si>
  <si>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</si>
  <si>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</si>
  <si>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</si>
  <si>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</si>
  <si>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</si>
  <si>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</si>
  <si>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</si>
  <si>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</si>
  <si>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</si>
  <si>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</si>
  <si>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</si>
  <si>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</si>
  <si>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</si>
  <si>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</si>
  <si>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</si>
  <si>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</si>
  <si>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</si>
  <si>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</si>
  <si>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</si>
  <si>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</si>
  <si>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</si>
  <si>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</si>
  <si>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</si>
  <si>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</si>
  <si>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</si>
  <si>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</si>
  <si>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</si>
  <si>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</si>
  <si>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</si>
  <si>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</si>
  <si>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</si>
  <si>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</si>
  <si>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</si>
  <si>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</si>
  <si>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</si>
  <si>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</si>
  <si>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</si>
  <si>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</si>
  <si>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</si>
  <si>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</si>
  <si>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</si>
  <si>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</si>
  <si>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</si>
  <si>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</si>
  <si>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</si>
  <si>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</si>
  <si>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</si>
  <si>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</si>
  <si>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</si>
  <si>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</si>
  <si>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</si>
  <si>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</si>
  <si>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</si>
  <si>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</si>
  <si>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</si>
  <si>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</si>
  <si>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</si>
  <si>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</si>
  <si>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</si>
  <si>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</si>
  <si>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</si>
  <si>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</si>
  <si>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</si>
  <si>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</si>
  <si>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</si>
  <si>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</si>
  <si>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</si>
  <si>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</si>
  <si>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</si>
  <si>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</si>
  <si>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</si>
  <si>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</si>
  <si>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</si>
  <si>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</si>
  <si>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</si>
  <si>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</si>
  <si>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</si>
  <si>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</si>
  <si>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</si>
  <si>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</si>
  <si>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</si>
  <si>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</si>
  <si>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</si>
  <si>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</si>
  <si>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</si>
  <si>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</si>
  <si>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</si>
  <si>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</si>
  <si>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</si>
  <si>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</si>
  <si>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</si>
  <si>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</si>
  <si>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</si>
  <si>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</si>
  <si>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</si>
  <si>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</si>
  <si>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</si>
  <si>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</si>
  <si>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</si>
  <si>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</si>
  <si>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</si>
  <si>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</si>
  <si>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</si>
  <si>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</si>
  <si>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</si>
  <si>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</si>
  <si>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</si>
  <si>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</si>
  <si>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</si>
  <si>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</si>
  <si>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</si>
  <si>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</si>
  <si>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</si>
  <si>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</si>
  <si>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</si>
  <si>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</si>
  <si>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</si>
  <si>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</si>
  <si>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</si>
  <si>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</si>
  <si>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</si>
  <si>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</si>
  <si>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</si>
  <si>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</si>
  <si>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</si>
  <si>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</si>
  <si>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</si>
  <si>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</si>
  <si>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</si>
  <si>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</si>
  <si>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</si>
  <si>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</si>
  <si>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</si>
  <si>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</si>
  <si>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</si>
  <si>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</si>
  <si>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</si>
  <si>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</si>
  <si>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</si>
  <si>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</si>
  <si>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</si>
  <si>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</si>
  <si>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</si>
  <si>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</si>
  <si>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</si>
  <si>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</si>
  <si>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</si>
  <si>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</si>
  <si>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</si>
  <si>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</si>
  <si>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</si>
  <si>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</si>
  <si>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</si>
  <si>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</si>
  <si>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</si>
  <si>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</si>
  <si>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</si>
  <si>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</si>
  <si>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</si>
  <si>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</si>
  <si>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</si>
  <si>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</si>
  <si>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</si>
  <si>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</si>
  <si>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</si>
  <si>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</si>
  <si>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</si>
  <si>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</si>
  <si>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</si>
  <si>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</si>
  <si>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</si>
  <si>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</si>
  <si>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</si>
  <si>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</si>
  <si>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</si>
  <si>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</si>
  <si>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</si>
  <si>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</si>
  <si>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</si>
  <si>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</si>
  <si>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</si>
  <si>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</si>
  <si>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</si>
  <si>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</si>
  <si>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</si>
  <si>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</si>
  <si>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</si>
  <si>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</si>
  <si>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</si>
  <si>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</si>
  <si>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</si>
  <si>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</si>
  <si>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</si>
  <si>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</si>
  <si>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</si>
  <si>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</si>
  <si>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</si>
  <si>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</si>
  <si>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</si>
  <si>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</si>
  <si>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</si>
  <si>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</si>
  <si>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</si>
  <si>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</si>
  <si>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</si>
  <si>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</si>
  <si>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</si>
  <si>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</si>
  <si>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</si>
  <si>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</si>
  <si>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</si>
  <si>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</si>
  <si>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</si>
  <si>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</si>
  <si>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</si>
  <si>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</si>
  <si>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</si>
  <si>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</si>
  <si>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</si>
  <si>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</si>
  <si>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</si>
  <si>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</si>
  <si>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</si>
  <si>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</si>
  <si>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</si>
  <si>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</si>
  <si>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</si>
  <si>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</si>
  <si>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</si>
  <si>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</si>
  <si>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</si>
  <si>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</si>
  <si>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</si>
  <si>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</si>
  <si>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</si>
  <si>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</si>
  <si>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</si>
  <si>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</si>
  <si>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</si>
  <si>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</si>
  <si>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</si>
  <si>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</si>
  <si>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</si>
  <si>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</si>
  <si>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</si>
  <si>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</si>
  <si>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</si>
  <si>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</si>
  <si>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</si>
  <si>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</si>
  <si>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</si>
  <si>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</si>
  <si>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</si>
  <si>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</si>
  <si>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</si>
  <si>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</si>
  <si>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</si>
  <si>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</si>
  <si>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</si>
  <si>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</si>
  <si>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</si>
  <si>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</si>
  <si>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</si>
  <si>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</si>
  <si>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</si>
  <si>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</si>
  <si>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</si>
  <si>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</si>
  <si>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</si>
  <si>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</si>
  <si>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</si>
  <si>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</si>
  <si>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</si>
  <si>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</si>
  <si>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</si>
  <si>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</si>
  <si>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</si>
  <si>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</si>
  <si>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</si>
  <si>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</si>
  <si>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</si>
  <si>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</si>
  <si>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</si>
  <si>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</si>
  <si>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</si>
  <si>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</si>
  <si>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</si>
  <si>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</si>
  <si>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</si>
  <si>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</si>
  <si>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</si>
  <si>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</si>
  <si>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</si>
  <si>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</si>
  <si>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</si>
  <si>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</si>
  <si>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</si>
  <si>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</si>
  <si>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</si>
  <si>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</si>
  <si>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</si>
  <si>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</si>
  <si>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</si>
  <si>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</si>
  <si>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</si>
  <si>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</si>
  <si>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</si>
  <si>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</si>
  <si>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</si>
  <si>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</si>
  <si>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</si>
  <si>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</si>
  <si>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</si>
  <si>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</si>
  <si>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</si>
  <si>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</si>
  <si>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</si>
  <si>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</si>
  <si>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</si>
  <si>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</si>
  <si>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</si>
  <si>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</si>
  <si>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</si>
  <si>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</si>
  <si>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</si>
  <si>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</si>
  <si>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</si>
  <si>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</si>
  <si>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</si>
  <si>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</si>
  <si>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</si>
  <si>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</si>
  <si>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</si>
  <si>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</si>
  <si>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</si>
  <si>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</si>
  <si>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</si>
  <si>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</si>
  <si>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</si>
  <si>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</si>
  <si>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</si>
  <si>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</si>
  <si>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</si>
  <si>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</si>
  <si>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</si>
  <si>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</si>
  <si>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</si>
  <si>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</si>
  <si>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</si>
  <si>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</si>
  <si>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</si>
  <si>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</si>
  <si>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</si>
  <si>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</si>
  <si>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</si>
  <si>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</si>
  <si>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</si>
  <si>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</si>
  <si>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</si>
  <si>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</si>
  <si>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</si>
  <si>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</si>
  <si>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</si>
  <si>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</si>
  <si>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</si>
  <si>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</si>
  <si>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</si>
  <si>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</si>
  <si>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</si>
  <si>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</si>
  <si>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</si>
  <si>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</si>
  <si>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</si>
  <si>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</si>
  <si>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</si>
  <si>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</si>
  <si>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</si>
  <si>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</si>
  <si>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</si>
  <si>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</si>
  <si>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</si>
  <si>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</si>
  <si>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</si>
  <si>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</si>
  <si>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</si>
  <si>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</si>
  <si>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</si>
  <si>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</si>
  <si>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</si>
  <si>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</si>
  <si>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</si>
  <si>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</si>
  <si>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</si>
  <si>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</si>
  <si>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</si>
  <si>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</si>
  <si>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</si>
  <si>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</si>
  <si>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</si>
  <si>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</si>
  <si>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</si>
  <si>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</si>
  <si>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</si>
  <si>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</si>
  <si>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</si>
  <si>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</si>
  <si>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</si>
  <si>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</si>
  <si>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</si>
  <si>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</si>
  <si>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</si>
  <si>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</si>
  <si>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</si>
  <si>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</si>
  <si>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</si>
  <si>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</si>
  <si>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</si>
  <si>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</si>
  <si>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</si>
  <si>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</si>
  <si>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</si>
  <si>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</si>
  <si>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</si>
  <si>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</si>
  <si>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</si>
  <si>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</si>
  <si>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</si>
  <si>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</si>
  <si>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</si>
  <si>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</si>
  <si>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</si>
  <si>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</si>
  <si>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</si>
  <si>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</si>
  <si>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</si>
  <si>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</si>
  <si>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</si>
  <si>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</si>
  <si>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</si>
  <si>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</si>
  <si>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</si>
  <si>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</si>
  <si>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</si>
  <si>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</si>
  <si>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</si>
  <si>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</si>
  <si>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</si>
  <si>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</si>
  <si>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</si>
  <si>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</si>
  <si>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</si>
  <si>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</si>
  <si>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</si>
  <si>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</si>
  <si>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</si>
  <si>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</si>
  <si>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</si>
  <si>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</si>
  <si>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</si>
  <si>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</si>
  <si>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</si>
  <si>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</si>
  <si>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</si>
  <si>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</si>
  <si>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</si>
  <si>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</si>
  <si>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</si>
  <si>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</si>
  <si>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</si>
  <si>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</si>
  <si>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</si>
  <si>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</si>
  <si>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</si>
  <si>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</si>
  <si>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</si>
  <si>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</si>
  <si>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</si>
  <si>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</si>
  <si>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</si>
  <si>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</si>
  <si>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</si>
  <si>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</si>
  <si>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</si>
  <si>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</si>
  <si>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</si>
  <si>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</si>
  <si>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</si>
  <si>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</si>
  <si>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</si>
  <si>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</si>
  <si>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</si>
  <si>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</si>
  <si>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</si>
  <si>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</si>
  <si>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</si>
  <si>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</si>
  <si>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</si>
  <si>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</si>
  <si>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</si>
  <si>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</si>
  <si>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</si>
  <si>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</si>
  <si>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</si>
  <si>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</si>
  <si>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</si>
  <si>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</si>
  <si>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</si>
  <si>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</si>
  <si>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</si>
  <si>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</si>
  <si>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</si>
  <si>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</si>
  <si>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</si>
  <si>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</si>
  <si>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</si>
  <si>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</si>
  <si>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</si>
  <si>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</si>
  <si>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</si>
  <si>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</si>
  <si>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</si>
  <si>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</si>
  <si>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</si>
  <si>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</si>
  <si>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</si>
  <si>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</si>
  <si>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</si>
  <si>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</si>
  <si>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</si>
  <si>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</si>
  <si>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</si>
  <si>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</si>
  <si>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</si>
  <si>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</si>
  <si>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</si>
  <si>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</si>
  <si>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</si>
  <si>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</si>
  <si>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</si>
  <si>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</si>
  <si>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</si>
  <si>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</si>
  <si>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</si>
  <si>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</si>
  <si>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</si>
  <si>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</si>
  <si>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</si>
  <si>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</si>
  <si>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</si>
  <si>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</si>
  <si>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</si>
  <si>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</si>
  <si>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</si>
  <si>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</si>
  <si>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</si>
  <si>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</si>
  <si>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</si>
  <si>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</si>
  <si>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</si>
  <si>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</si>
  <si>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</si>
  <si>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</si>
  <si>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</si>
  <si>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</si>
  <si>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</si>
  <si>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</si>
  <si>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</si>
  <si>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</si>
  <si>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</si>
  <si>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</si>
  <si>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</si>
  <si>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</si>
  <si>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</si>
  <si>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</si>
  <si>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</si>
  <si>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</si>
  <si>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</si>
  <si>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</si>
  <si>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</si>
  <si>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</si>
  <si>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</si>
  <si>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</si>
  <si>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</si>
  <si>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</si>
  <si>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</si>
  <si>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</si>
  <si>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</si>
  <si>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</si>
  <si>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</si>
  <si>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</si>
  <si>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</si>
  <si>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</si>
  <si>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</si>
  <si>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</si>
  <si>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</si>
  <si>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</si>
  <si>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</si>
  <si>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</si>
  <si>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</si>
  <si>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</si>
  <si>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</si>
  <si>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</si>
  <si>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</si>
  <si>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</si>
  <si>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</si>
  <si>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</si>
  <si>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</si>
  <si>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</si>
  <si>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</si>
  <si>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</si>
  <si>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</si>
  <si>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</si>
  <si>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</si>
  <si>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</si>
  <si>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</si>
  <si>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</si>
  <si>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</si>
  <si>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</si>
  <si>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</si>
  <si>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</si>
  <si>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</si>
  <si>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</si>
  <si>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</si>
  <si>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</si>
  <si>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</si>
  <si>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</si>
  <si>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</si>
  <si>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</si>
  <si>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</si>
  <si>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</si>
  <si>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</si>
  <si>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</si>
  <si>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</si>
  <si>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</si>
  <si>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</si>
  <si>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</si>
  <si>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</si>
  <si>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</si>
  <si>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</si>
  <si>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</si>
  <si>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</si>
  <si>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</si>
  <si>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</si>
  <si>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</si>
  <si>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</si>
  <si>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</si>
  <si>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</si>
  <si>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</si>
  <si>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</si>
  <si>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</si>
  <si>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</si>
  <si>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</si>
  <si>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</si>
  <si>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</si>
  <si>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</si>
  <si>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</si>
  <si>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</si>
  <si>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</si>
  <si>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</si>
  <si>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</si>
  <si>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</si>
  <si>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</si>
  <si>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</si>
  <si>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</si>
  <si>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</si>
  <si>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</si>
  <si>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</si>
  <si>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</si>
  <si>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</si>
  <si>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</si>
  <si>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</si>
  <si>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</si>
  <si>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</si>
  <si>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</si>
  <si>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</si>
  <si>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</si>
  <si>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</si>
  <si>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</si>
  <si>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</si>
  <si>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</si>
  <si>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</si>
  <si>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</si>
  <si>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</si>
  <si>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</si>
  <si>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</si>
  <si>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</si>
  <si>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</si>
  <si>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</si>
  <si>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</si>
  <si>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</si>
  <si>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</si>
  <si>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</si>
  <si>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</si>
  <si>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</si>
  <si>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</si>
  <si>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</si>
  <si>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</si>
  <si>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</si>
  <si>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</si>
  <si>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</si>
  <si>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</si>
  <si>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</si>
  <si>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</si>
  <si>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</si>
  <si>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</si>
  <si>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</si>
  <si>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</si>
  <si>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</si>
  <si>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</si>
  <si>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</si>
  <si>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</si>
  <si>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</si>
  <si>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</si>
  <si>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</si>
  <si>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</si>
  <si>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</si>
  <si>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</si>
  <si>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</si>
  <si>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</si>
  <si>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</si>
  <si>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</si>
  <si>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</si>
  <si>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</si>
  <si>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</si>
  <si>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</si>
  <si>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</si>
  <si>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</si>
  <si>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</si>
  <si>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</si>
  <si>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</si>
  <si>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</si>
  <si>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</si>
  <si>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</si>
  <si>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</si>
  <si>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</si>
  <si>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</si>
  <si>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</si>
  <si>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</si>
  <si>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</si>
  <si>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</si>
  <si>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</si>
  <si>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</si>
  <si>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</si>
  <si>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</si>
  <si>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</si>
  <si>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</si>
  <si>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</si>
  <si>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</si>
  <si>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</si>
  <si>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</si>
  <si>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</si>
  <si>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</si>
  <si>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</si>
  <si>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</si>
  <si>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</si>
  <si>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</si>
  <si>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</si>
  <si>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</si>
  <si>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</si>
  <si>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</si>
  <si>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</si>
  <si>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</si>
  <si>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</si>
  <si>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</si>
  <si>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</si>
  <si>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</si>
  <si>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</si>
  <si>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</si>
  <si>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</si>
  <si>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</si>
  <si>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</si>
  <si>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</si>
  <si>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</si>
  <si>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</si>
  <si>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</si>
  <si>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</si>
  <si>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</si>
  <si>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</si>
  <si>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</si>
  <si>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</si>
  <si>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</si>
  <si>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</si>
  <si>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</si>
  <si>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</si>
  <si>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</si>
  <si>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</si>
  <si>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</si>
  <si>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</si>
  <si>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</si>
  <si>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</si>
  <si>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</si>
  <si>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</si>
  <si>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</si>
  <si>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</si>
  <si>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</si>
  <si>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</si>
  <si>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</si>
  <si>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</si>
  <si>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</si>
  <si>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</si>
  <si>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</si>
  <si>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</si>
  <si>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</si>
  <si>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</si>
  <si>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</si>
  <si>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</si>
  <si>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</si>
  <si>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</si>
  <si>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</si>
  <si>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</si>
  <si>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</si>
  <si>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</si>
  <si>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</si>
  <si>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</si>
  <si>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</si>
  <si>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</si>
  <si>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</si>
  <si>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</si>
  <si>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</si>
  <si>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</si>
  <si>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</si>
  <si>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</si>
  <si>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</si>
  <si>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</si>
  <si>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</si>
  <si>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</si>
  <si>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</si>
  <si>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</si>
  <si>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</si>
  <si>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</si>
  <si>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</si>
  <si>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</si>
  <si>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</si>
  <si>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</si>
  <si>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</si>
  <si>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</si>
  <si>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</si>
  <si>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</si>
  <si>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</si>
  <si>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</si>
  <si>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</si>
  <si>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</si>
  <si>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</si>
  <si>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</si>
  <si>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</si>
  <si>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</si>
  <si>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</si>
  <si>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</si>
  <si>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</si>
  <si>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</si>
  <si>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</si>
  <si>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</si>
  <si>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</si>
  <si>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</si>
  <si>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</si>
  <si>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</si>
  <si>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</si>
  <si>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</si>
  <si>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</si>
  <si>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</si>
  <si>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</si>
  <si>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</si>
  <si>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</si>
  <si>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</si>
  <si>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</si>
  <si>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</si>
  <si>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</si>
  <si>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</si>
  <si>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</si>
  <si>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</si>
  <si>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</si>
  <si>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</si>
  <si>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</si>
  <si>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</si>
  <si>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</si>
  <si>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</si>
  <si>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</si>
  <si>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</si>
  <si>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</si>
  <si>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</si>
  <si>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</si>
  <si>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</si>
  <si>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</si>
  <si>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</si>
  <si>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</si>
  <si>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</si>
  <si>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</si>
  <si>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</si>
  <si>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</si>
  <si>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</si>
  <si>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</si>
  <si>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</si>
  <si>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</si>
  <si>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</si>
  <si>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</si>
  <si>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</si>
  <si>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</si>
  <si>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</si>
  <si>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</si>
  <si>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</si>
  <si>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</si>
  <si>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</si>
  <si>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</si>
  <si>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</si>
  <si>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</si>
  <si>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</si>
  <si>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</si>
  <si>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</si>
  <si>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</si>
  <si>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</si>
  <si>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</si>
  <si>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</si>
  <si>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</si>
  <si>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</si>
  <si>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</si>
  <si>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</si>
  <si>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</si>
  <si>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</si>
  <si>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</si>
  <si>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</si>
  <si>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</si>
  <si>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</si>
  <si>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</si>
  <si>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</si>
  <si>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</si>
  <si>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</si>
  <si>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</si>
  <si>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</si>
  <si>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</si>
  <si>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</si>
  <si>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</si>
  <si>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</si>
  <si>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</si>
  <si>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</si>
  <si>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</si>
  <si>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</si>
  <si>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</si>
  <si>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</si>
  <si>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</si>
  <si>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</si>
  <si>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</si>
  <si>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</si>
  <si>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</si>
  <si>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</si>
  <si>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</si>
  <si>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</si>
  <si>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</si>
  <si>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</si>
  <si>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</si>
  <si>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</si>
  <si>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</si>
  <si>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</si>
  <si>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</si>
  <si>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</si>
  <si>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</si>
  <si>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</si>
  <si>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</si>
  <si>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</si>
  <si>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</si>
  <si>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</si>
  <si>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</si>
  <si>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</si>
  <si>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</si>
  <si>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</si>
  <si>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</si>
  <si>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</si>
  <si>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</si>
  <si>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</si>
  <si>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</si>
  <si>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</si>
  <si>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</si>
  <si>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</si>
  <si>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</si>
  <si>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</si>
  <si>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</si>
  <si>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</si>
  <si>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</si>
  <si>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</si>
  <si>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</si>
  <si>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</si>
  <si>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</si>
  <si>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</si>
  <si>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</si>
  <si>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</si>
  <si>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</si>
  <si>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</si>
  <si>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</si>
  <si>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</si>
  <si>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</si>
  <si>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</si>
  <si>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</si>
  <si>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</si>
  <si>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</si>
  <si>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</si>
  <si>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</si>
  <si>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</si>
  <si>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</si>
  <si>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</si>
  <si>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</si>
  <si>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</si>
  <si>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</si>
  <si>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</si>
  <si>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</si>
  <si>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</si>
  <si>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</si>
  <si>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</si>
  <si>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</si>
  <si>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</si>
  <si>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</si>
  <si>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</si>
  <si>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</si>
  <si>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</si>
  <si>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</si>
  <si>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</si>
  <si>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</si>
  <si>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</si>
  <si>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</si>
  <si>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</si>
  <si>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</si>
  <si>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</si>
  <si>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</si>
  <si>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</si>
  <si>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</si>
  <si>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</si>
  <si>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</si>
  <si>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</si>
  <si>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</si>
  <si>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</si>
  <si>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</si>
  <si>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</si>
  <si>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</si>
  <si>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</si>
  <si>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</si>
  <si>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</si>
  <si>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</si>
  <si>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</si>
  <si>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</si>
  <si>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</si>
  <si>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</si>
  <si>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</si>
  <si>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</si>
  <si>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</si>
  <si>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</si>
  <si>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</si>
  <si>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</si>
  <si>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</si>
  <si>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</si>
  <si>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</si>
  <si>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</si>
  <si>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</si>
  <si>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</si>
  <si>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</si>
  <si>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</si>
  <si>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</si>
  <si>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</si>
  <si>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</si>
  <si>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</si>
  <si>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</si>
  <si>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</si>
  <si>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</si>
  <si>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</si>
  <si>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</si>
  <si>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</si>
  <si>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</si>
  <si>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</si>
  <si>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</si>
  <si>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</si>
  <si>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</si>
  <si>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</si>
  <si>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</si>
  <si>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</si>
  <si>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</si>
  <si>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</si>
  <si>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</si>
  <si>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</si>
  <si>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</si>
  <si>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</si>
  <si>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</si>
  <si>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</si>
  <si>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</si>
  <si>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</si>
  <si>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</si>
  <si>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</si>
  <si>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</si>
  <si>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</si>
  <si>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</si>
  <si>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</si>
  <si>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</si>
  <si>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</si>
  <si>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</si>
  <si>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</si>
  <si>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</si>
  <si>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</si>
  <si>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</si>
  <si>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</si>
  <si>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</si>
  <si>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</si>
  <si>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</si>
  <si>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</si>
  <si>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</si>
  <si>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</si>
  <si>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</si>
  <si>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</si>
  <si>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</si>
  <si>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</si>
  <si>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</si>
  <si>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</si>
  <si>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</si>
  <si>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</si>
  <si>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</si>
  <si>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</si>
  <si>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</si>
  <si>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</si>
  <si>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</si>
  <si>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</si>
  <si>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</si>
  <si>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</si>
  <si>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</si>
  <si>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</si>
  <si>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</si>
  <si>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</si>
  <si>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</si>
  <si>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</si>
  <si>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</si>
  <si>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</si>
  <si>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</si>
  <si>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</si>
  <si>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</si>
  <si>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</si>
  <si>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</si>
  <si>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</si>
  <si>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</si>
  <si>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</si>
  <si>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</si>
  <si>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</si>
  <si>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</si>
  <si>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</si>
  <si>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</si>
  <si>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</si>
  <si>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</si>
  <si>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</si>
  <si>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</si>
  <si>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</si>
  <si>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</si>
  <si>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</si>
  <si>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</si>
  <si>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</si>
  <si>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</si>
  <si>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</si>
  <si>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</si>
  <si>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</si>
  <si>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</si>
  <si>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</si>
  <si>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</si>
  <si>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</si>
  <si>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</si>
  <si>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</si>
  <si>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</si>
  <si>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</si>
  <si>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</si>
  <si>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</si>
  <si>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</si>
  <si>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</si>
  <si>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</si>
  <si>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</si>
  <si>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</si>
  <si>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</si>
  <si>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</si>
  <si>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</si>
  <si>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</si>
  <si>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</si>
  <si>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</si>
  <si>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</si>
  <si>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</si>
  <si>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</si>
  <si>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</si>
  <si>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</si>
  <si>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</si>
  <si>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</si>
  <si>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</si>
  <si>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</si>
  <si>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</si>
  <si>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</si>
  <si>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</si>
  <si>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</si>
  <si>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</si>
  <si>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</si>
  <si>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</si>
  <si>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</si>
  <si>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</si>
  <si>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</si>
  <si>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</si>
  <si>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</si>
  <si>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</si>
  <si>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</si>
  <si>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</si>
  <si>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</si>
  <si>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</si>
  <si>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</si>
  <si>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</si>
  <si>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</si>
  <si>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</si>
  <si>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</si>
  <si>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</si>
  <si>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</si>
  <si>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</si>
  <si>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</si>
  <si>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</si>
  <si>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</si>
  <si>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</si>
  <si>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</si>
  <si>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</si>
  <si>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</si>
  <si>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</si>
  <si>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</si>
  <si>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</si>
  <si>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</si>
  <si>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</si>
  <si>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</si>
  <si>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</si>
  <si>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</si>
  <si>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</si>
  <si>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</si>
  <si>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</si>
  <si>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</si>
  <si>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</si>
  <si>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</si>
  <si>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</si>
  <si>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</si>
  <si>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</si>
  <si>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</si>
  <si>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</si>
  <si>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</si>
  <si>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</si>
  <si>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</si>
  <si>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</si>
  <si>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</si>
  <si>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</si>
  <si>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</si>
  <si>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</si>
  <si>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</si>
  <si>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</si>
  <si>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</si>
  <si>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</si>
  <si>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</si>
  <si>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</si>
  <si>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</si>
  <si>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</si>
  <si>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</si>
  <si>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</si>
  <si>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</si>
  <si>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</si>
  <si>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</si>
  <si>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</si>
  <si>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</si>
  <si>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</si>
  <si>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</si>
  <si>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</si>
  <si>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</si>
  <si>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</si>
  <si>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</si>
  <si>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</si>
  <si>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</si>
  <si>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</si>
  <si>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</si>
  <si>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</si>
  <si>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</si>
  <si>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</si>
  <si>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</si>
  <si>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</si>
  <si>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</si>
  <si>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</si>
  <si>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</si>
  <si>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</si>
  <si>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</si>
  <si>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</si>
  <si>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</si>
  <si>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</si>
  <si>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</si>
  <si>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</si>
  <si>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</si>
  <si>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</si>
  <si>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</si>
  <si>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</si>
  <si>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</si>
  <si>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</si>
  <si>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</si>
  <si>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</si>
  <si>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</si>
  <si>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</si>
  <si>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</si>
  <si>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</si>
  <si>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</si>
  <si>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</si>
  <si>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</si>
  <si>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</si>
  <si>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</si>
  <si>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</si>
  <si>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</si>
  <si>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</si>
  <si>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</si>
  <si>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</si>
  <si>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</si>
  <si>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</si>
  <si>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</si>
  <si>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</si>
  <si>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</si>
  <si>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</si>
  <si>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</si>
  <si>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</si>
  <si>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</si>
  <si>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</si>
  <si>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</si>
  <si>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</si>
  <si>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</si>
  <si>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</si>
  <si>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</si>
  <si>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</si>
  <si>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</si>
  <si>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</si>
  <si>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</si>
  <si>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</si>
  <si>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</si>
  <si>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</si>
  <si>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</si>
  <si>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</si>
  <si>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</si>
  <si>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</si>
  <si>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</si>
  <si>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</si>
  <si>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</si>
  <si>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</si>
  <si>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</si>
  <si>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</si>
  <si>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</si>
  <si>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</si>
  <si>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</si>
  <si>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</si>
  <si>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</si>
  <si>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</si>
  <si>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</si>
  <si>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</si>
  <si>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</si>
  <si>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</si>
  <si>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</si>
  <si>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</si>
  <si>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</si>
  <si>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</si>
  <si>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</si>
  <si>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</si>
  <si>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</si>
  <si>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</si>
  <si>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</si>
  <si>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</si>
  <si>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</si>
  <si>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</si>
  <si>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</si>
  <si>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</si>
  <si>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</si>
  <si>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</si>
  <si>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</si>
  <si>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</si>
  <si>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</si>
  <si>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</si>
  <si>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</si>
  <si>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</si>
  <si>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</si>
  <si>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</si>
  <si>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</si>
  <si>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</si>
  <si>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</si>
  <si>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</si>
  <si>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</si>
  <si>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</si>
  <si>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</si>
  <si>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</si>
  <si>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</si>
  <si>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</si>
  <si>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</si>
  <si>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</si>
  <si>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</si>
  <si>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</si>
  <si>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</si>
  <si>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</si>
  <si>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</si>
  <si>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</si>
  <si>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</si>
  <si>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</si>
  <si>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</si>
  <si>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</si>
  <si>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</si>
  <si>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</si>
  <si>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</si>
  <si>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</si>
  <si>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</si>
  <si>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</si>
  <si>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</si>
  <si>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</si>
  <si>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</si>
  <si>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</si>
  <si>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</si>
  <si>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</si>
  <si>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</si>
  <si>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</si>
  <si>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</si>
  <si>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</si>
  <si>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</si>
  <si>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</si>
  <si>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</si>
  <si>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</si>
  <si>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</si>
  <si>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</si>
  <si>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</si>
  <si>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</si>
  <si>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</si>
  <si>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</si>
  <si>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</si>
  <si>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</si>
  <si>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</si>
  <si>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</si>
  <si>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</si>
  <si>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</si>
  <si>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</si>
  <si>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</si>
  <si>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</si>
  <si>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</si>
  <si>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</si>
  <si>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</si>
  <si>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</si>
  <si>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</si>
  <si>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</si>
  <si>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</si>
  <si>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</si>
  <si>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</si>
  <si>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</si>
  <si>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</si>
  <si>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</si>
  <si>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</si>
  <si>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</si>
  <si>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</si>
  <si>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</si>
  <si>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</si>
  <si>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</si>
  <si>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</si>
  <si>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</si>
  <si>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</si>
  <si>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</si>
  <si>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</si>
  <si>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</si>
  <si>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</si>
  <si>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</si>
  <si>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</si>
  <si>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</si>
  <si>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</si>
  <si>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</si>
  <si>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</si>
  <si>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</si>
  <si>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</si>
  <si>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</si>
  <si>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</si>
  <si>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</si>
  <si>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</si>
  <si>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</si>
  <si>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</si>
  <si>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</si>
  <si>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</si>
  <si>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</si>
  <si>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</si>
  <si>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</si>
  <si>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</si>
  <si>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</si>
  <si>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</si>
  <si>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</si>
  <si>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</si>
  <si>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</si>
  <si>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</si>
  <si>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</si>
  <si>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</si>
  <si>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</si>
  <si>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</si>
  <si>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</si>
  <si>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</si>
  <si>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</si>
  <si>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</si>
  <si>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</si>
  <si>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</si>
  <si>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</si>
  <si>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</si>
  <si>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</si>
  <si>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</si>
  <si>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</si>
  <si>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</si>
  <si>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</si>
  <si>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</si>
  <si>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</si>
  <si>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</si>
  <si>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</si>
  <si>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</si>
  <si>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</si>
  <si>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</si>
  <si>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</si>
  <si>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</si>
  <si>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</si>
  <si>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</si>
  <si>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</si>
  <si>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</si>
  <si>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</si>
  <si>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</si>
  <si>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</si>
  <si>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</si>
  <si>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</si>
  <si>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</si>
  <si>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</si>
  <si>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</si>
  <si>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</si>
  <si>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</si>
  <si>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</si>
  <si>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</si>
  <si>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</si>
  <si>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</si>
  <si>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</si>
  <si>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</si>
  <si>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</si>
  <si>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</si>
  <si>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</si>
  <si>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</si>
  <si>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</si>
  <si>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</si>
  <si>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</si>
  <si>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</si>
  <si>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</si>
  <si>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</si>
  <si>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</si>
  <si>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</si>
  <si>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</si>
  <si>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</si>
  <si>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</si>
  <si>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</si>
  <si>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</si>
  <si>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</si>
  <si>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</si>
  <si>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</si>
  <si>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</si>
  <si>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</si>
  <si>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</si>
  <si>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</si>
  <si>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</si>
  <si>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</si>
  <si>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</si>
  <si>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</si>
  <si>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</si>
  <si>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</si>
  <si>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</si>
  <si>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</si>
  <si>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</si>
  <si>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</si>
  <si>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</si>
  <si>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</si>
  <si>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</si>
  <si>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</si>
  <si>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</si>
  <si>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</si>
  <si>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</si>
  <si>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</si>
  <si>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</si>
  <si>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</si>
  <si>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</si>
  <si>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</si>
  <si>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</si>
  <si>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</si>
  <si>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</si>
  <si>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</si>
  <si>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</si>
  <si>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</si>
  <si>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</si>
  <si>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</si>
  <si>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</si>
  <si>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</si>
  <si>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</si>
  <si>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</si>
  <si>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</si>
  <si>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</si>
  <si>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</si>
  <si>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</si>
  <si>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</si>
  <si>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</si>
  <si>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</si>
  <si>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</si>
  <si>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</si>
  <si>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</si>
  <si>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</si>
  <si>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</si>
  <si>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</si>
  <si>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</si>
  <si>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</si>
  <si>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</si>
  <si>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</si>
  <si>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</si>
  <si>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</si>
  <si>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</si>
  <si>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</si>
  <si>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</si>
  <si>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</si>
  <si>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</si>
  <si>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</si>
  <si>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</si>
  <si>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</si>
  <si>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</si>
  <si>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</si>
  <si>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</si>
  <si>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</si>
  <si>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</si>
  <si>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</si>
  <si>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</si>
  <si>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</si>
  <si>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</si>
  <si>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</si>
  <si>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</si>
  <si>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</si>
  <si>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</si>
  <si>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</si>
  <si>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</si>
  <si>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</si>
  <si>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</si>
  <si>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</si>
  <si>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</si>
  <si>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</si>
  <si>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</si>
  <si>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</si>
  <si>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</si>
  <si>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</si>
  <si>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</si>
  <si>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</si>
  <si>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</si>
  <si>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</si>
  <si>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</si>
  <si>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</si>
  <si>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</si>
  <si>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</si>
  <si>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</si>
  <si>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</si>
  <si>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</si>
  <si>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</si>
  <si>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</si>
  <si>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</si>
  <si>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</si>
  <si>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</si>
  <si>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</si>
  <si>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</si>
  <si>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</si>
  <si>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</si>
  <si>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</si>
  <si>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</si>
  <si>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</si>
  <si>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</si>
  <si>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</si>
  <si>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</si>
  <si>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</si>
  <si>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</si>
  <si>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</si>
  <si>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</si>
  <si>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</si>
  <si>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</si>
  <si>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</si>
  <si>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</si>
  <si>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</si>
  <si>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</si>
  <si>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</si>
  <si>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</si>
  <si>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</si>
  <si>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</si>
  <si>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</si>
  <si>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</si>
  <si>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</si>
  <si>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</si>
  <si>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</si>
  <si>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</si>
  <si>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</si>
  <si>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</si>
  <si>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</si>
  <si>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</si>
  <si>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</si>
  <si>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</si>
  <si>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</si>
  <si>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</si>
  <si>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</si>
  <si>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</si>
  <si>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</si>
  <si>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</si>
  <si>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</si>
  <si>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</si>
  <si>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</si>
  <si>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</si>
  <si>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</si>
  <si>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</si>
  <si>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</si>
  <si>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</si>
  <si>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</si>
  <si>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</si>
  <si>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</si>
  <si>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</si>
  <si>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</si>
  <si>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</si>
  <si>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</si>
  <si>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</si>
  <si>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</si>
  <si>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</si>
  <si>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</si>
  <si>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</si>
  <si>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</si>
  <si>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</si>
  <si>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</si>
  <si>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</si>
  <si>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</si>
  <si>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</si>
  <si>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</si>
  <si>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</si>
  <si>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</si>
  <si>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</si>
  <si>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</si>
  <si>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</si>
  <si>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</si>
  <si>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</si>
  <si>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</si>
  <si>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</si>
  <si>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</si>
  <si>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</si>
  <si>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</si>
  <si>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</si>
  <si>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</si>
  <si>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</si>
  <si>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</si>
  <si>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</si>
  <si>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</si>
  <si>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</si>
  <si>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</si>
  <si>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</si>
  <si>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</si>
  <si>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</si>
  <si>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</si>
  <si>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</si>
  <si>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</si>
  <si>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</si>
  <si>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</si>
  <si>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</si>
  <si>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</si>
  <si>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</si>
  <si>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</si>
  <si>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</si>
  <si>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</si>
  <si>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</si>
  <si>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</si>
  <si>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</si>
  <si>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</si>
  <si>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</si>
  <si>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</si>
  <si>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</si>
  <si>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</si>
  <si>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</si>
  <si>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</si>
  <si>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</si>
  <si>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</si>
  <si>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</si>
  <si>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</si>
  <si>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</si>
  <si>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</si>
  <si>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</si>
  <si>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</si>
  <si>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</si>
  <si>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</si>
  <si>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</si>
  <si>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</si>
  <si>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</si>
  <si>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</si>
  <si>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</si>
  <si>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</si>
  <si>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</si>
  <si>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</si>
  <si>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</si>
  <si>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</si>
  <si>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</si>
  <si>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</si>
  <si>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</si>
  <si>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</si>
  <si>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</si>
  <si>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</si>
  <si>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</si>
  <si>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</si>
  <si>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</si>
  <si>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</si>
  <si>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</si>
  <si>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</si>
  <si>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</si>
  <si>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</si>
  <si>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</si>
  <si>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</si>
  <si>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</si>
  <si>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</si>
  <si>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</si>
  <si>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</si>
  <si>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</si>
  <si>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</si>
  <si>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</si>
  <si>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</si>
  <si>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</si>
  <si>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</si>
  <si>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</si>
  <si>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</si>
  <si>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</si>
  <si>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</si>
  <si>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</si>
  <si>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</si>
  <si>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</si>
  <si>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</si>
  <si>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</si>
  <si>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</si>
  <si>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</si>
  <si>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</si>
  <si>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</si>
  <si>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</si>
  <si>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</si>
  <si>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</si>
  <si>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</si>
  <si>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</si>
  <si>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</si>
  <si>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</si>
  <si>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</si>
  <si>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</si>
  <si>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</si>
  <si>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</si>
  <si>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</si>
  <si>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</si>
  <si>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</si>
  <si>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</si>
  <si>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</si>
  <si>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</si>
  <si>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</si>
  <si>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</si>
  <si>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</si>
  <si>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</si>
  <si>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</si>
  <si>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</si>
  <si>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</si>
  <si>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</si>
  <si>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</si>
  <si>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</si>
  <si>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</si>
  <si>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</si>
  <si>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</si>
  <si>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</si>
  <si>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</si>
  <si>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</si>
  <si>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</si>
  <si>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</si>
  <si>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</si>
  <si>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</si>
  <si>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</si>
  <si>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</si>
  <si>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</si>
  <si>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</si>
  <si>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</si>
  <si>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</si>
  <si>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</si>
  <si>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</si>
  <si>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</si>
  <si>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</si>
  <si>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</si>
  <si>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</si>
  <si>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</si>
  <si>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</si>
  <si>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</si>
  <si>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</si>
  <si>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</si>
  <si>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</si>
  <si>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</si>
  <si>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</si>
  <si>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</si>
  <si>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</si>
  <si>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</si>
  <si>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</si>
  <si>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</si>
  <si>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</si>
  <si>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</si>
  <si>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</si>
  <si>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</si>
  <si>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</si>
  <si>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</si>
  <si>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</si>
  <si>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</si>
  <si>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</si>
  <si>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</si>
  <si>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</si>
  <si>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</si>
  <si>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</si>
  <si>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</si>
  <si>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</si>
  <si>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</si>
  <si>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</si>
  <si>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</si>
  <si>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</si>
  <si>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</si>
  <si>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</si>
  <si>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</si>
  <si>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</si>
  <si>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</si>
  <si>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</si>
  <si>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</si>
  <si>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</si>
  <si>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</si>
  <si>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</si>
  <si>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</si>
  <si>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</si>
  <si>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</si>
  <si>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</si>
  <si>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</si>
  <si>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</si>
  <si>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</si>
  <si>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</si>
  <si>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</si>
  <si>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</si>
  <si>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</si>
  <si>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</si>
  <si>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</si>
  <si>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</si>
  <si>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</si>
  <si>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</si>
  <si>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</si>
  <si>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</si>
  <si>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</si>
  <si>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</si>
  <si>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</si>
  <si>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</si>
  <si>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</si>
  <si>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</si>
  <si>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</si>
  <si>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</si>
  <si>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</si>
  <si>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</si>
  <si>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</si>
  <si>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</si>
  <si>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</si>
  <si>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</si>
  <si>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</si>
  <si>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</si>
  <si>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</si>
  <si>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</si>
  <si>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</si>
  <si>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</si>
  <si>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</si>
  <si>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</si>
  <si>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</si>
  <si>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</si>
  <si>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</si>
  <si>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</si>
  <si>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</si>
  <si>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</si>
  <si>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</si>
  <si>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</si>
  <si>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</si>
  <si>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</si>
  <si>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</si>
  <si>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</si>
  <si>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</si>
  <si>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</si>
  <si>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</si>
  <si>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</si>
  <si>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</si>
  <si>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</si>
  <si>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</si>
  <si>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</si>
  <si>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</si>
  <si>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</si>
  <si>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</si>
  <si>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</si>
  <si>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</si>
  <si>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</si>
  <si>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</si>
  <si>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</si>
  <si>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</si>
  <si>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</si>
  <si>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</si>
  <si>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</si>
  <si>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</si>
  <si>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</si>
  <si>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</si>
  <si>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</si>
  <si>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</si>
  <si>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</si>
  <si>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</si>
  <si>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</si>
  <si>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</si>
  <si>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</si>
  <si>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</si>
  <si>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</si>
  <si>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</si>
  <si>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</si>
  <si>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</si>
  <si>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</si>
  <si>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</si>
  <si>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</si>
  <si>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</si>
  <si>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</si>
  <si>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</si>
  <si>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</si>
  <si>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</si>
  <si>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</si>
  <si>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</si>
  <si>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</si>
  <si>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</si>
  <si>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</si>
  <si>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</si>
  <si>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</si>
  <si>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</si>
  <si>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</si>
  <si>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</si>
  <si>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</si>
  <si>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</si>
  <si>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</si>
  <si>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</si>
  <si>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</si>
  <si>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</si>
  <si>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</si>
  <si>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</si>
  <si>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</si>
  <si>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</si>
  <si>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</si>
  <si>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</si>
  <si>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</si>
  <si>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</si>
  <si>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</si>
  <si>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</si>
  <si>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</si>
  <si>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</si>
  <si>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</si>
  <si>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</si>
  <si>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</si>
  <si>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</si>
  <si>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</si>
  <si>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</si>
  <si>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</si>
  <si>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</si>
  <si>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</si>
  <si>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</si>
  <si>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</si>
  <si>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</si>
  <si>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</si>
  <si>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</si>
  <si>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</si>
  <si>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</si>
  <si>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</si>
  <si>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</si>
  <si>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</si>
  <si>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</si>
  <si>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</si>
  <si>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</si>
  <si>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</si>
  <si>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</si>
  <si>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</si>
  <si>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</si>
  <si>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</si>
  <si>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</si>
  <si>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</si>
  <si>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</si>
  <si>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</si>
  <si>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</si>
  <si>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</si>
  <si>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</si>
  <si>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</si>
  <si>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</si>
  <si>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</si>
  <si>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</si>
  <si>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</si>
  <si>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</si>
  <si>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</si>
  <si>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</si>
  <si>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</si>
  <si>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</si>
  <si>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</si>
  <si>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</si>
  <si>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</si>
  <si>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</si>
  <si>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</si>
  <si>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</si>
  <si>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</si>
  <si>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</si>
  <si>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</si>
  <si>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</si>
  <si>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</si>
  <si>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</si>
  <si>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</si>
  <si>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</si>
  <si>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</si>
  <si>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</si>
  <si>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</si>
  <si>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</si>
  <si>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</si>
  <si>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</si>
  <si>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</si>
  <si>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</si>
  <si>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</si>
  <si>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</si>
  <si>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</si>
  <si>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</si>
  <si>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</si>
  <si>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</si>
  <si>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</si>
  <si>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</si>
  <si>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</si>
  <si>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</si>
  <si>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</si>
  <si>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</si>
  <si>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</si>
  <si>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</si>
  <si>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</si>
  <si>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</si>
  <si>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</si>
  <si>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</si>
  <si>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</si>
  <si>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</si>
  <si>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</si>
  <si>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</si>
  <si>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</si>
  <si>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</si>
  <si>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</si>
  <si>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</si>
  <si>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</si>
  <si>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</si>
  <si>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</si>
  <si>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</si>
  <si>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</si>
  <si>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</si>
  <si>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</si>
  <si>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</si>
  <si>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</si>
  <si>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</si>
  <si>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</si>
  <si>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</si>
  <si>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</si>
  <si>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</si>
  <si>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</si>
  <si>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</si>
  <si>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</si>
  <si>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</si>
  <si>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</si>
  <si>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</si>
  <si>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</si>
  <si>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</si>
  <si>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</si>
  <si>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</si>
  <si>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</si>
  <si>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</si>
  <si>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</si>
  <si>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</si>
  <si>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</si>
  <si>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</si>
  <si>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</si>
  <si>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</si>
  <si>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</si>
  <si>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</si>
  <si>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</si>
  <si>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</si>
  <si>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</si>
  <si>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</si>
  <si>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</si>
  <si>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</si>
  <si>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</si>
  <si>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</si>
  <si>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</si>
  <si>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</si>
  <si>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</si>
  <si>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</si>
  <si>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</si>
  <si>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</si>
  <si>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</si>
  <si>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</si>
  <si>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</si>
  <si>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</si>
  <si>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</si>
  <si>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</si>
  <si>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</si>
  <si>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</si>
  <si>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</si>
  <si>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</si>
  <si>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</si>
  <si>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</si>
  <si>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</si>
  <si>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</si>
  <si>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</si>
  <si>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</si>
  <si>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</si>
  <si>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</si>
  <si>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</si>
  <si>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</si>
  <si>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</si>
  <si>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</si>
  <si>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</si>
  <si>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</si>
  <si>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</si>
  <si>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</si>
  <si>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</si>
  <si>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</si>
  <si>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</si>
  <si>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</si>
  <si>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</si>
  <si>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</si>
  <si>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</si>
  <si>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</si>
  <si>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</si>
  <si>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</si>
  <si>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</si>
  <si>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</si>
  <si>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</si>
  <si>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</si>
  <si>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</si>
  <si>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</si>
  <si>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</si>
  <si>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</si>
  <si>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</si>
  <si>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</si>
  <si>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</si>
  <si>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</si>
  <si>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</si>
  <si>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</si>
  <si>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</si>
  <si>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</si>
  <si>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</si>
  <si>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</si>
  <si>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</si>
  <si>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</si>
  <si>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</si>
  <si>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</si>
  <si>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</si>
  <si>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</si>
  <si>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</si>
  <si>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</si>
  <si>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</si>
  <si>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</si>
  <si>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</si>
  <si>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</si>
  <si>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</si>
  <si>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</si>
  <si>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</si>
  <si>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</si>
  <si>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</si>
  <si>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</si>
  <si>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</si>
  <si>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</si>
  <si>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</si>
  <si>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</si>
  <si>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</si>
  <si>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</si>
  <si>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</si>
  <si>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</si>
  <si>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</si>
  <si>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</si>
  <si>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</si>
  <si>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</si>
  <si>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</si>
  <si>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</si>
  <si>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</si>
  <si>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</si>
  <si>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</si>
  <si>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</si>
  <si>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</si>
  <si>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</si>
  <si>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</si>
  <si>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</si>
  <si>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</si>
  <si>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</si>
  <si>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</si>
  <si>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</si>
  <si>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</si>
  <si>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</si>
  <si>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</si>
  <si>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</si>
  <si>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</si>
  <si>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</si>
  <si>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</si>
  <si>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</si>
  <si>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</si>
  <si>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</si>
  <si>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</si>
  <si>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</si>
  <si>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</si>
  <si>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</si>
  <si>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</si>
  <si>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</si>
  <si>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</si>
  <si>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</si>
  <si>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</si>
  <si>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</si>
  <si>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</si>
  <si>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</si>
  <si>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</si>
  <si>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</si>
  <si>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</si>
  <si>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</si>
  <si>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</si>
  <si>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</si>
  <si>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</si>
  <si>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</si>
  <si>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</si>
  <si>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</si>
  <si>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</si>
  <si>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</si>
  <si>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</si>
  <si>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</si>
  <si>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</si>
  <si>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</si>
  <si>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</si>
  <si>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</si>
  <si>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</si>
  <si>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</si>
  <si>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</si>
  <si>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</si>
  <si>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</si>
  <si>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</si>
  <si>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</si>
  <si>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</si>
  <si>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</si>
  <si>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</si>
  <si>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</si>
  <si>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</si>
  <si>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</si>
  <si>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</si>
  <si>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</si>
  <si>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</si>
  <si>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</si>
  <si>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</si>
  <si>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</si>
  <si>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</si>
  <si>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</si>
  <si>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</si>
  <si>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</si>
  <si>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</si>
  <si>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</si>
  <si>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</si>
  <si>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</si>
  <si>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</si>
  <si>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</si>
  <si>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</si>
  <si>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</si>
  <si>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</si>
  <si>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</si>
  <si>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</si>
  <si>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</si>
  <si>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</si>
  <si>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</si>
  <si>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</si>
  <si>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</si>
  <si>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</si>
  <si>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</si>
  <si>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</si>
  <si>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</si>
  <si>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</si>
  <si>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</si>
  <si>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</si>
  <si>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</si>
  <si>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</si>
  <si>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</si>
  <si>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</si>
  <si>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</si>
  <si>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</si>
  <si>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</si>
  <si>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</si>
  <si>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</si>
  <si>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</si>
  <si>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</si>
  <si>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</si>
  <si>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</si>
  <si>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</si>
  <si>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</si>
  <si>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</si>
  <si>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</si>
  <si>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</si>
  <si>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</si>
  <si>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</si>
  <si>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</si>
  <si>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</si>
  <si>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</si>
  <si>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</si>
  <si>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</si>
  <si>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</si>
  <si>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</si>
  <si>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</si>
  <si>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</si>
  <si>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</si>
  <si>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</si>
  <si>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</si>
  <si>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</si>
  <si>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</si>
  <si>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</si>
  <si>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</si>
  <si>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</si>
  <si>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</si>
  <si>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</si>
  <si>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</si>
  <si>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</si>
  <si>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</si>
  <si>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</si>
  <si>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</si>
  <si>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</si>
  <si>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</si>
  <si>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</si>
  <si>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</si>
  <si>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</si>
  <si>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</si>
  <si>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</si>
  <si>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</si>
  <si>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</si>
  <si>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</si>
  <si>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</si>
  <si>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</si>
  <si>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</si>
  <si>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</si>
  <si>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</si>
  <si>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</si>
  <si>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</si>
  <si>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</si>
  <si>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</si>
  <si>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</si>
  <si>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</si>
  <si>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</si>
  <si>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</si>
  <si>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</si>
  <si>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</si>
  <si>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</si>
  <si>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</si>
  <si>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</si>
  <si>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</si>
  <si>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</si>
  <si>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</si>
  <si>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</si>
  <si>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</si>
  <si>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</si>
  <si>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</si>
  <si>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</si>
  <si>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</si>
  <si>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</si>
  <si>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</si>
  <si>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</si>
  <si>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</si>
  <si>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</si>
  <si>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</si>
  <si>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</si>
  <si>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</si>
  <si>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</si>
  <si>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</si>
  <si>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</si>
  <si>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</si>
  <si>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</si>
  <si>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</si>
  <si>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</si>
  <si>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</si>
  <si>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</si>
  <si>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</si>
  <si>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</si>
  <si>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</si>
  <si>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</si>
  <si>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</si>
  <si>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</si>
  <si>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</si>
  <si>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</si>
  <si>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</si>
  <si>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</si>
  <si>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</si>
  <si>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</si>
  <si>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</si>
  <si>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</si>
  <si>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</si>
  <si>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</si>
  <si>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</si>
  <si>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</si>
  <si>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</si>
  <si>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</si>
  <si>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</si>
  <si>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</si>
  <si>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</si>
  <si>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</si>
  <si>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</si>
  <si>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</si>
  <si>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</si>
  <si>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</si>
  <si>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</si>
  <si>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</si>
  <si>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</si>
  <si>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</si>
  <si>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</si>
  <si>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</si>
  <si>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</si>
  <si>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</si>
  <si>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</si>
  <si>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</si>
  <si>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</si>
  <si>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</si>
  <si>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</si>
  <si>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</si>
  <si>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</si>
  <si>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</si>
  <si>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</si>
  <si>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</si>
  <si>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</si>
  <si>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</si>
  <si>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</si>
  <si>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</si>
  <si>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</si>
  <si>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</si>
  <si>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</si>
  <si>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</si>
  <si>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</si>
  <si>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</si>
  <si>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</si>
  <si>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</si>
  <si>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</si>
  <si>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</si>
  <si>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</si>
  <si>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</si>
  <si>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</si>
  <si>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</si>
  <si>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</si>
  <si>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</si>
  <si>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</si>
  <si>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</si>
  <si>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</si>
  <si>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</si>
  <si>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</si>
  <si>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</si>
  <si>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</si>
  <si>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</si>
  <si>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</si>
  <si>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</si>
  <si>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</si>
  <si>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</si>
  <si>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</si>
  <si>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</si>
  <si>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</si>
  <si>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</si>
  <si>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</si>
  <si>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</si>
  <si>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</si>
  <si>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</si>
  <si>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</si>
  <si>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</si>
  <si>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</si>
  <si>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</si>
  <si>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</si>
  <si>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</si>
  <si>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</si>
  <si>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</si>
  <si>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</si>
  <si>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</si>
  <si>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</si>
  <si>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</si>
  <si>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</si>
  <si>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</si>
  <si>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</si>
  <si>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</si>
  <si>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</si>
  <si>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</si>
  <si>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</si>
  <si>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</si>
  <si>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</si>
  <si>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</si>
  <si>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</si>
  <si>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</si>
  <si>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</si>
  <si>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</si>
  <si>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</si>
  <si>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</si>
  <si>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</si>
  <si>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</si>
  <si>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</si>
  <si>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</si>
  <si>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</si>
  <si>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</si>
  <si>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</si>
  <si>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</si>
  <si>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</si>
  <si>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</si>
  <si>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</si>
  <si>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</si>
  <si>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</si>
  <si>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</si>
  <si>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</si>
  <si>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</si>
  <si>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</si>
  <si>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</si>
  <si>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</si>
  <si>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</si>
  <si>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</si>
  <si>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</si>
  <si>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</si>
  <si>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</si>
  <si>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</si>
  <si>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</si>
  <si>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</si>
  <si>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</si>
  <si>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</si>
  <si>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</si>
  <si>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</si>
  <si>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</si>
  <si>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</si>
  <si>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</si>
  <si>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</si>
  <si>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</si>
  <si>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</si>
  <si>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</si>
  <si>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</si>
  <si>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</si>
  <si>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</si>
  <si>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</si>
  <si>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</si>
  <si>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</si>
  <si>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</si>
  <si>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</si>
  <si>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</si>
  <si>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</si>
  <si>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</si>
  <si>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</si>
  <si>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</si>
  <si>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</si>
  <si>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</si>
  <si>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</si>
  <si>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</si>
  <si>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</si>
  <si>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</si>
  <si>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</si>
  <si>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</si>
  <si>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</si>
  <si>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</si>
  <si>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</si>
  <si>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</si>
  <si>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</si>
  <si>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</si>
  <si>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</si>
  <si>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</si>
  <si>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</si>
  <si>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</si>
  <si>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</si>
  <si>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</si>
  <si>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</si>
  <si>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</si>
  <si>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</si>
  <si>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</si>
  <si>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</si>
  <si>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</si>
  <si>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</si>
  <si>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</si>
  <si>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</si>
  <si>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</si>
  <si>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</si>
  <si>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</si>
  <si>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</si>
  <si>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</si>
  <si>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</si>
  <si>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</si>
  <si>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</si>
  <si>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</si>
  <si>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</si>
  <si>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</si>
  <si>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</si>
  <si>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</si>
  <si>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</si>
  <si>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</si>
  <si>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</si>
  <si>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</si>
  <si>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</si>
  <si>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</si>
  <si>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</si>
  <si>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</si>
  <si>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</si>
  <si>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</si>
  <si>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</si>
  <si>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</si>
  <si>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</si>
  <si>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</si>
  <si>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</si>
  <si>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</si>
  <si>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</si>
  <si>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</si>
  <si>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</si>
  <si>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</si>
  <si>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</si>
  <si>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</si>
  <si>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</si>
  <si>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</si>
  <si>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</si>
  <si>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</si>
  <si>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</si>
  <si>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</si>
  <si>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</si>
  <si>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</si>
  <si>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</si>
  <si>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</si>
  <si>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</si>
  <si>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</si>
  <si>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</si>
  <si>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</si>
  <si>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</si>
  <si>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</si>
  <si>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</si>
  <si>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</si>
  <si>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</si>
  <si>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</si>
  <si>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</si>
  <si>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</si>
  <si>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</si>
  <si>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</si>
  <si>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</si>
  <si>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</si>
  <si>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</si>
  <si>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</si>
  <si>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</si>
  <si>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</si>
  <si>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</si>
  <si>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</si>
  <si>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</si>
  <si>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</si>
  <si>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</si>
  <si>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</si>
  <si>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</si>
  <si>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</si>
  <si>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</si>
  <si>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</si>
  <si>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</si>
  <si>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</si>
  <si>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</si>
  <si>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</si>
  <si>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</si>
  <si>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</si>
  <si>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</si>
  <si>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</si>
  <si>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</si>
  <si>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</si>
  <si>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</si>
  <si>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</si>
  <si>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</si>
  <si>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</si>
  <si>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</si>
  <si>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</si>
  <si>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</si>
  <si>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</si>
  <si>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</si>
  <si>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</si>
  <si>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</si>
  <si>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</si>
  <si>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</si>
  <si>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</si>
  <si>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</si>
  <si>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</si>
  <si>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</si>
  <si>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</si>
  <si>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</si>
  <si>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</si>
  <si>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</si>
  <si>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</si>
  <si>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</si>
  <si>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</si>
  <si>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</si>
  <si>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</si>
  <si>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</si>
  <si>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</si>
  <si>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</si>
  <si>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</si>
  <si>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</si>
  <si>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</si>
  <si>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</si>
  <si>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</si>
  <si>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</si>
  <si>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</si>
  <si>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</si>
  <si>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</si>
  <si>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</si>
  <si>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</si>
  <si>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</si>
  <si>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</si>
  <si>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</si>
  <si>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</si>
  <si>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</si>
  <si>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</si>
  <si>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</si>
  <si>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</si>
  <si>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</si>
  <si>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</si>
  <si>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</si>
  <si>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</si>
  <si>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</si>
  <si>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</si>
  <si>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</si>
  <si>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</si>
  <si>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</si>
  <si>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</si>
  <si>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</si>
  <si>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</si>
  <si>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</si>
  <si>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</si>
  <si>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</si>
  <si>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</si>
  <si>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</si>
  <si>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</si>
  <si>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</si>
  <si>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</si>
  <si>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</si>
  <si>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</si>
  <si>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</si>
  <si>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</si>
  <si>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</si>
  <si>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</si>
  <si>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</si>
  <si>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</si>
  <si>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</si>
  <si>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</si>
  <si>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</si>
  <si>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</si>
  <si>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</si>
  <si>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</si>
  <si>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</si>
  <si>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</si>
  <si>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</si>
  <si>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</si>
  <si>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</si>
  <si>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</si>
  <si>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</si>
  <si>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</si>
  <si>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</si>
  <si>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</si>
  <si>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</si>
  <si>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</si>
  <si>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</si>
  <si>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</si>
  <si>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</si>
  <si>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</si>
  <si>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</si>
  <si>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</si>
  <si>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</si>
  <si>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</si>
  <si>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</si>
  <si>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</si>
  <si>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</si>
  <si>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</si>
  <si>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</si>
  <si>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</si>
  <si>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</si>
  <si>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</si>
  <si>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</si>
  <si>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</si>
  <si>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</si>
  <si>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</si>
  <si>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</si>
  <si>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</si>
  <si>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</si>
  <si>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</si>
  <si>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</si>
  <si>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</si>
  <si>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</si>
  <si>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</si>
  <si>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</si>
  <si>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</si>
  <si>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</si>
  <si>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</si>
  <si>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</si>
  <si>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</si>
  <si>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</si>
  <si>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</si>
  <si>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</si>
  <si>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</si>
  <si>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</si>
  <si>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</si>
  <si>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</si>
  <si>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</si>
  <si>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</si>
  <si>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</si>
  <si>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</si>
  <si>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</si>
  <si>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</si>
  <si>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</si>
  <si>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</si>
  <si>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</si>
  <si>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</si>
  <si>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</si>
  <si>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</si>
  <si>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</si>
  <si>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</si>
  <si>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</si>
  <si>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</si>
  <si>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</si>
  <si>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</si>
  <si>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</si>
  <si>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</si>
  <si>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</si>
  <si>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</si>
  <si>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</si>
  <si>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</si>
  <si>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</si>
  <si>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</si>
  <si>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</si>
  <si>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</si>
  <si>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</si>
  <si>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</si>
  <si>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</si>
  <si>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</si>
  <si>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</si>
  <si>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</si>
  <si>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</si>
  <si>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</si>
  <si>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</si>
  <si>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</si>
  <si>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</si>
  <si>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</si>
  <si>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</si>
  <si>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</si>
  <si>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</si>
  <si>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</si>
  <si>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</si>
  <si>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</si>
  <si>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</si>
  <si>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</si>
  <si>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</si>
  <si>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</si>
  <si>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</si>
  <si>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</si>
  <si>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</si>
  <si>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</si>
  <si>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</si>
  <si>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</si>
  <si>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</si>
  <si>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</si>
  <si>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</si>
  <si>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</si>
  <si>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</si>
  <si>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</si>
  <si>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</si>
  <si>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</si>
  <si>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</si>
  <si>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</si>
  <si>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</si>
  <si>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</si>
  <si>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</si>
  <si>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</si>
  <si>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</si>
  <si>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</si>
  <si>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</si>
  <si>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</si>
  <si>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</si>
  <si>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</si>
  <si>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</si>
  <si>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</si>
  <si>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</si>
  <si>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</si>
  <si>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</si>
  <si>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</si>
  <si>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</si>
  <si>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</si>
  <si>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</si>
  <si>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</si>
  <si>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</si>
  <si>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</si>
  <si>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</si>
  <si>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</si>
  <si>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</si>
  <si>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</si>
  <si>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</si>
  <si>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</si>
  <si>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</si>
  <si>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</si>
  <si>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</si>
  <si>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</si>
  <si>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</si>
  <si>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</si>
  <si>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</si>
  <si>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</si>
  <si>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</si>
  <si>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</si>
  <si>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</si>
  <si>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</si>
  <si>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</si>
  <si>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</si>
  <si>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</si>
  <si>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</si>
  <si>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</si>
  <si>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</si>
  <si>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</si>
  <si>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</si>
  <si>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</si>
  <si>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</si>
  <si>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</si>
  <si>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</si>
  <si>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</si>
  <si>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</si>
  <si>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</si>
  <si>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</si>
  <si>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</si>
  <si>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</si>
  <si>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</si>
  <si>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</si>
  <si>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</si>
  <si>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</si>
  <si>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</si>
  <si>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</si>
  <si>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</si>
  <si>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</si>
  <si>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</si>
  <si>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</si>
  <si>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</si>
  <si>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</si>
  <si>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</si>
  <si>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</si>
  <si>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</si>
  <si>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</si>
  <si>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</si>
  <si>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</si>
  <si>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</si>
  <si>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</si>
  <si>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</si>
  <si>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</si>
  <si>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</si>
  <si>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</si>
  <si>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</si>
  <si>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</si>
  <si>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</si>
  <si>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</si>
  <si>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</si>
  <si>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</si>
  <si>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</si>
  <si>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</si>
  <si>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</si>
  <si>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</si>
  <si>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</si>
  <si>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</si>
  <si>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</si>
  <si>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</si>
  <si>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</si>
  <si>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</si>
  <si>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</si>
  <si>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</si>
  <si>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</si>
  <si>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</si>
  <si>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</si>
  <si>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</si>
  <si>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</si>
  <si>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</si>
  <si>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</si>
  <si>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</si>
  <si>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</si>
  <si>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</si>
  <si>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</si>
  <si>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</si>
  <si>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</si>
  <si>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</si>
  <si>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</si>
  <si>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</si>
  <si>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</si>
  <si>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</si>
  <si>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</si>
  <si>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</si>
  <si>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</si>
  <si>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</si>
  <si>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</si>
  <si>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</si>
  <si>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</si>
  <si>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</si>
  <si>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</si>
  <si>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</si>
  <si>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</si>
  <si>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</si>
  <si>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</si>
  <si>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</si>
  <si>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</si>
  <si>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</si>
  <si>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</si>
  <si>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</si>
  <si>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</si>
  <si>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</si>
  <si>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</si>
  <si>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</si>
  <si>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</si>
  <si>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</si>
  <si>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</si>
  <si>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</si>
  <si>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</si>
  <si>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</si>
  <si>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</si>
  <si>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</si>
  <si>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</si>
  <si>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</si>
  <si>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</si>
  <si>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</si>
  <si>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</si>
  <si>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</si>
  <si>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</si>
  <si>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</si>
  <si>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</si>
  <si>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</si>
  <si>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</si>
  <si>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</si>
  <si>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</si>
  <si>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</si>
  <si>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</si>
  <si>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</si>
  <si>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</si>
  <si>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</si>
  <si>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</si>
  <si>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</si>
  <si>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</si>
  <si>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</si>
  <si>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</si>
  <si>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</si>
  <si>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</si>
  <si>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</si>
  <si>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</si>
  <si>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</si>
  <si>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</si>
  <si>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</si>
  <si>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</si>
  <si>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</si>
  <si>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</si>
  <si>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</si>
  <si>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</si>
  <si>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</si>
  <si>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</si>
  <si>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</si>
  <si>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</si>
  <si>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</si>
  <si>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</si>
  <si>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</si>
  <si>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</si>
  <si>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</si>
  <si>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</si>
  <si>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</si>
  <si>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</si>
  <si>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</si>
  <si>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</si>
  <si>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</si>
  <si>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</si>
  <si>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</si>
  <si>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</si>
  <si>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</si>
  <si>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</si>
  <si>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</si>
  <si>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</si>
  <si>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</si>
  <si>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</si>
  <si>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</si>
  <si>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</si>
  <si>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</si>
  <si>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</si>
  <si>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</si>
  <si>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</si>
  <si>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</si>
  <si>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</si>
  <si>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</si>
  <si>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</si>
  <si>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</si>
  <si>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</si>
  <si>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</si>
  <si>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</si>
  <si>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</si>
  <si>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</si>
  <si>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</si>
  <si>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</si>
  <si>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</si>
  <si>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</si>
  <si>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</si>
  <si>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</si>
  <si>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</si>
  <si>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</si>
  <si>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</si>
  <si>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</si>
  <si>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</si>
  <si>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</si>
  <si>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</si>
  <si>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</si>
  <si>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</si>
  <si>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</si>
  <si>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</si>
  <si>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</si>
  <si>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</si>
  <si>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</si>
  <si>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</si>
  <si>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</si>
  <si>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</si>
  <si>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</si>
  <si>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</si>
  <si>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</si>
  <si>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</si>
  <si>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</si>
  <si>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</si>
  <si>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</si>
  <si>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</si>
  <si>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</si>
  <si>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</si>
  <si>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</si>
  <si>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</si>
  <si>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</si>
  <si>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</si>
  <si>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</si>
  <si>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</si>
  <si>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</si>
  <si>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</si>
  <si>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</si>
  <si>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</si>
  <si>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</si>
  <si>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</si>
  <si>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</si>
  <si>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</si>
  <si>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</si>
  <si>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</si>
  <si>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</si>
  <si>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</si>
  <si>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</si>
  <si>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</si>
  <si>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</si>
  <si>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</si>
  <si>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</si>
  <si>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</si>
  <si>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</si>
  <si>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</si>
  <si>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</si>
  <si>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</si>
  <si>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</si>
  <si>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</si>
  <si>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</si>
  <si>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</si>
  <si>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</si>
  <si>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</si>
  <si>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</si>
  <si>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</si>
  <si>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</si>
  <si>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</si>
  <si>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</si>
  <si>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</si>
  <si>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</si>
  <si>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</si>
  <si>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</si>
  <si>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</si>
  <si>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</si>
  <si>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</si>
  <si>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</si>
  <si>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</si>
  <si>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</si>
  <si>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</si>
  <si>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</si>
  <si>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</si>
  <si>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</si>
  <si>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</si>
  <si>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</si>
  <si>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</si>
  <si>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</si>
  <si>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</si>
  <si>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</si>
  <si>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</si>
  <si>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</si>
  <si>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</si>
  <si>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</si>
  <si>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</si>
  <si>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</si>
  <si>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</si>
  <si>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</si>
  <si>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</si>
  <si>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</si>
  <si>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</si>
  <si>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</si>
  <si>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</si>
  <si>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</si>
  <si>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</si>
  <si>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</si>
  <si>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</si>
  <si>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</si>
  <si>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</si>
  <si>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</si>
  <si>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</si>
  <si>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</si>
  <si>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</si>
  <si>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</si>
  <si>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</si>
  <si>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</si>
  <si>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</si>
  <si>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</si>
  <si>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</si>
  <si>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</si>
  <si>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</si>
  <si>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</si>
  <si>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</si>
  <si>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</si>
  <si>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</si>
  <si>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</si>
  <si>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</si>
  <si>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</si>
  <si>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</si>
  <si>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</si>
  <si>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</si>
  <si>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</si>
  <si>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</si>
  <si>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</si>
  <si>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</si>
  <si>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</si>
  <si>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</si>
  <si>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</si>
  <si>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</si>
  <si>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</si>
  <si>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</si>
  <si>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</si>
  <si>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</si>
  <si>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</si>
  <si>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</si>
  <si>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</si>
  <si>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</si>
  <si>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</si>
  <si>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</si>
  <si>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</si>
  <si>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</si>
  <si>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</si>
  <si>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</si>
  <si>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</si>
  <si>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</si>
  <si>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</si>
  <si>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</si>
  <si>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</si>
  <si>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</si>
  <si>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</si>
  <si>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</si>
  <si>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</si>
  <si>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</si>
  <si>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</si>
  <si>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</si>
  <si>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</si>
  <si>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</si>
  <si>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</si>
  <si>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</si>
  <si>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</si>
  <si>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</si>
  <si>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</si>
  <si>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</si>
  <si>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</si>
  <si>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</si>
  <si>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</si>
  <si>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</si>
  <si>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</si>
  <si>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</si>
  <si>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</si>
  <si>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</si>
  <si>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</si>
  <si>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</si>
  <si>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</si>
  <si>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</si>
  <si>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</si>
  <si>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</si>
  <si>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</si>
  <si>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</si>
  <si>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</si>
  <si>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</si>
  <si>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</si>
  <si>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</si>
  <si>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</si>
  <si>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</si>
  <si>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</si>
  <si>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</si>
  <si>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</si>
  <si>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</si>
  <si>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</si>
  <si>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</si>
  <si>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</si>
  <si>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</si>
  <si>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</si>
  <si>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</si>
  <si>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</si>
  <si>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</si>
  <si>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</si>
  <si>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</si>
  <si>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</si>
  <si>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</si>
  <si>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</si>
  <si>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</si>
  <si>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</si>
  <si>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</si>
  <si>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</si>
  <si>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</si>
  <si>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</si>
  <si>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</si>
  <si>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</si>
  <si>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</si>
  <si>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</si>
  <si>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</si>
  <si>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</si>
  <si>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</si>
  <si>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</si>
  <si>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</si>
  <si>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</si>
  <si>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</si>
  <si>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</si>
  <si>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</si>
  <si>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</si>
  <si>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</si>
  <si>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</si>
  <si>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</si>
  <si>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</si>
  <si>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</si>
  <si>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</si>
  <si>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</si>
  <si>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</si>
  <si>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</si>
  <si>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</si>
  <si>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</si>
  <si>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</si>
  <si>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</si>
  <si>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</si>
  <si>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</si>
  <si>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</si>
  <si>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</si>
  <si>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</si>
  <si>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</si>
  <si>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</si>
  <si>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</si>
  <si>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</si>
  <si>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</si>
  <si>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</si>
  <si>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</si>
  <si>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</si>
  <si>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</si>
  <si>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</si>
  <si>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</si>
  <si>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</si>
  <si>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</si>
  <si>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</si>
  <si>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</si>
  <si>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</si>
  <si>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</si>
  <si>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</si>
  <si>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</si>
  <si>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</si>
  <si>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</si>
  <si>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</si>
  <si>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</si>
  <si>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</si>
  <si>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</si>
  <si>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</si>
  <si>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</si>
  <si>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</si>
  <si>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</si>
  <si>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</si>
  <si>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</si>
  <si>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</si>
  <si>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</si>
  <si>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</si>
  <si>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</si>
  <si>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</si>
  <si>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</si>
  <si>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</si>
  <si>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</si>
  <si>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</si>
  <si>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</si>
  <si>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</si>
  <si>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</si>
  <si>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</si>
  <si>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</si>
  <si>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</si>
  <si>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</si>
  <si>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</si>
  <si>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</si>
  <si>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</si>
  <si>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</si>
  <si>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</si>
  <si>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</si>
  <si>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</si>
  <si>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</si>
  <si>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</si>
  <si>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</si>
  <si>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</si>
  <si>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</si>
  <si>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</si>
  <si>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</si>
  <si>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</si>
  <si>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</si>
  <si>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</si>
  <si>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</si>
  <si>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</si>
  <si>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</si>
  <si>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</si>
  <si>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</si>
  <si>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</si>
  <si>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</si>
  <si>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</si>
  <si>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</si>
  <si>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</si>
  <si>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</si>
  <si>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</si>
  <si>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</si>
  <si>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</si>
  <si>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</si>
  <si>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</si>
  <si>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</si>
  <si>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</si>
  <si>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</si>
  <si>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</si>
  <si>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</si>
  <si>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</si>
  <si>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</si>
  <si>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</si>
  <si>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</si>
  <si>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</si>
  <si>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</si>
  <si>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</si>
  <si>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</si>
  <si>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</si>
  <si>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</si>
  <si>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</si>
  <si>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</si>
  <si>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</si>
  <si>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</si>
  <si>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</si>
  <si>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</si>
  <si>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</si>
  <si>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</si>
  <si>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</si>
  <si>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</si>
  <si>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</si>
  <si>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</si>
  <si>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</si>
  <si>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</si>
  <si>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</si>
  <si>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</si>
  <si>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</si>
  <si>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</si>
  <si>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</si>
  <si>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</si>
  <si>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</si>
  <si>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</si>
  <si>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</si>
  <si>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</si>
  <si>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</si>
  <si>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</si>
  <si>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</si>
  <si>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</si>
  <si>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</si>
  <si>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</si>
  <si>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</si>
  <si>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</si>
  <si>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</si>
  <si>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</si>
  <si>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</si>
  <si>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</si>
  <si>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</si>
  <si>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</si>
  <si>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</si>
  <si>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</si>
  <si>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</si>
  <si>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</si>
  <si>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</si>
  <si>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</si>
  <si>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</si>
  <si>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</si>
  <si>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</si>
  <si>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</si>
  <si>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</si>
  <si>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</si>
  <si>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</si>
  <si>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</si>
  <si>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</si>
  <si>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</si>
  <si>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</si>
  <si>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</si>
  <si>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</si>
  <si>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</si>
  <si>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</si>
  <si>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</si>
  <si>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</si>
  <si>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</si>
  <si>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</si>
  <si>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</si>
  <si>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</si>
  <si>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</si>
  <si>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</si>
  <si>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</si>
  <si>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</si>
  <si>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</si>
  <si>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</si>
  <si>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</si>
  <si>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</si>
  <si>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</si>
  <si>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</si>
  <si>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</si>
  <si>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</si>
  <si>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</si>
  <si>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</si>
  <si>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</si>
  <si>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</si>
  <si>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</si>
  <si>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</si>
  <si>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</si>
  <si>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</si>
  <si>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</si>
  <si>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</si>
  <si>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</si>
  <si>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</si>
  <si>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</si>
  <si>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</si>
  <si>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</si>
  <si>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</si>
  <si>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</si>
  <si>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</si>
  <si>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</si>
  <si>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</si>
  <si>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</si>
  <si>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</si>
  <si>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</si>
  <si>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</si>
  <si>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</si>
  <si>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</si>
  <si>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</si>
  <si>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</si>
  <si>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</si>
  <si>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</si>
  <si>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</si>
  <si>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</si>
  <si>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</si>
  <si>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</si>
  <si>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</si>
  <si>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</si>
  <si>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</si>
  <si>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</si>
  <si>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</si>
  <si>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</si>
  <si>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</si>
  <si>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</si>
  <si>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</si>
  <si>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</si>
  <si>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</si>
  <si>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</si>
  <si>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</si>
  <si>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</si>
  <si>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</si>
  <si>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</si>
  <si>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</si>
  <si>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</si>
  <si>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</si>
  <si>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</si>
  <si>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</si>
  <si>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</si>
  <si>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</si>
  <si>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</si>
  <si>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</si>
  <si>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</si>
  <si>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</si>
  <si>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</si>
  <si>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</si>
  <si>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</si>
  <si>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</si>
  <si>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</si>
  <si>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</si>
  <si>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</si>
  <si>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</si>
  <si>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</si>
  <si>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</si>
  <si>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</si>
  <si>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</si>
  <si>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</si>
  <si>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</si>
  <si>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</si>
  <si>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</si>
  <si>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</si>
  <si>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</si>
  <si>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</si>
  <si>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</si>
  <si>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</si>
  <si>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</si>
  <si>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</si>
  <si>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</si>
  <si>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</si>
  <si>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</si>
  <si>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</si>
  <si>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</si>
  <si>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</si>
  <si>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</si>
  <si>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</si>
  <si>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</si>
  <si>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</si>
  <si>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</si>
  <si>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</si>
  <si>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</si>
  <si>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</si>
  <si>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</si>
  <si>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</si>
  <si>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</si>
  <si>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</si>
  <si>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</si>
  <si>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</si>
  <si>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</si>
  <si>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</si>
  <si>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</si>
  <si>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</si>
  <si>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</si>
  <si>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</si>
  <si>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</si>
  <si>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</si>
  <si>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</si>
  <si>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</si>
  <si>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</si>
  <si>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</si>
  <si>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</si>
  <si>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</si>
  <si>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</si>
  <si>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</si>
  <si>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</si>
  <si>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</si>
  <si>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</si>
  <si>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</si>
  <si>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</si>
  <si>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</si>
  <si>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</si>
  <si>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</si>
  <si>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</si>
  <si>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</si>
  <si>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</si>
  <si>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</si>
  <si>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</si>
  <si>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</si>
  <si>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</si>
  <si>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</si>
  <si>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</si>
  <si>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</si>
  <si>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</si>
  <si>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</si>
  <si>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</si>
  <si>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</si>
  <si>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</si>
  <si>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</si>
  <si>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</si>
  <si>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</si>
  <si>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</si>
  <si>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</si>
  <si>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</si>
  <si>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</si>
  <si>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</si>
  <si>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</si>
  <si>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</si>
  <si>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</si>
  <si>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</si>
  <si>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</si>
  <si>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</si>
  <si>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</si>
  <si>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</si>
  <si>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</si>
  <si>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</si>
  <si>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</si>
  <si>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</si>
  <si>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</si>
  <si>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</si>
  <si>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</si>
  <si>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</si>
  <si>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</si>
  <si>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</si>
  <si>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</si>
  <si>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</si>
  <si>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</si>
  <si>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</si>
  <si>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</si>
  <si>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</si>
  <si>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</si>
  <si>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</si>
  <si>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</si>
  <si>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</si>
  <si>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</si>
  <si>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</si>
  <si>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</si>
  <si>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</si>
  <si>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</si>
  <si>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</si>
  <si>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</si>
  <si>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</si>
  <si>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</si>
  <si>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</si>
  <si>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</si>
  <si>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</si>
  <si>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</si>
  <si>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</si>
  <si>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</si>
  <si>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</si>
  <si>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</si>
  <si>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</si>
  <si>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</si>
  <si>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</si>
  <si>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</si>
  <si>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</si>
  <si>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</si>
  <si>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</si>
  <si>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</si>
  <si>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</si>
  <si>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</si>
  <si>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</si>
  <si>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</si>
  <si>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</si>
  <si>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</si>
  <si>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</si>
  <si>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</si>
  <si>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</si>
  <si>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</si>
  <si>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</si>
  <si>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</si>
  <si>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</si>
  <si>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</si>
  <si>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</si>
  <si>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</si>
  <si>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</si>
  <si>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</si>
  <si>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</si>
  <si>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</si>
  <si>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</si>
  <si>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</si>
  <si>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</si>
  <si>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</si>
  <si>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</si>
  <si>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</si>
  <si>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</si>
  <si>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</si>
  <si>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</si>
  <si>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</si>
  <si>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</si>
  <si>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</si>
  <si>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</si>
  <si>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</si>
  <si>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</si>
  <si>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</si>
  <si>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</si>
  <si>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</si>
  <si>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</si>
  <si>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</si>
  <si>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</si>
  <si>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</si>
  <si>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</si>
  <si>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</si>
  <si>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</si>
  <si>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</si>
  <si>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</si>
  <si>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</si>
  <si>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</si>
  <si>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</si>
  <si>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</si>
  <si>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</si>
  <si>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</si>
  <si>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</si>
  <si>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</si>
  <si>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</si>
  <si>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</si>
  <si>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</si>
  <si>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</si>
  <si>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</si>
  <si>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</si>
  <si>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</si>
  <si>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</si>
  <si>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</si>
  <si>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</si>
  <si>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</si>
  <si>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</si>
  <si>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</si>
  <si>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</si>
  <si>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</si>
  <si>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</si>
  <si>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</si>
  <si>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</si>
  <si>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</si>
  <si>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</si>
  <si>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</si>
  <si>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</si>
  <si>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</si>
  <si>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</si>
  <si>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</si>
  <si>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</si>
  <si>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</si>
  <si>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</si>
  <si>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</si>
  <si>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</si>
  <si>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</si>
  <si>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</si>
  <si>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</si>
  <si>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</si>
  <si>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</si>
  <si>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</si>
  <si>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</si>
  <si>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</si>
  <si>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</si>
  <si>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</si>
  <si>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</si>
  <si>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</si>
  <si>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</si>
  <si>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</si>
  <si>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</si>
  <si>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</si>
  <si>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</si>
  <si>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</si>
  <si>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</si>
  <si>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</si>
  <si>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</si>
  <si>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</si>
  <si>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</si>
  <si>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</si>
  <si>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</si>
  <si>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</si>
  <si>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</si>
  <si>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</si>
  <si>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</si>
  <si>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</si>
  <si>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</si>
  <si>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</si>
  <si>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</si>
  <si>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</si>
  <si>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</si>
  <si>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</si>
  <si>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</si>
  <si>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</si>
  <si>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</si>
  <si>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</si>
  <si>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</si>
  <si>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</si>
  <si>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</si>
  <si>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</si>
  <si>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</si>
  <si>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</si>
  <si>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</si>
  <si>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</si>
  <si>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</si>
  <si>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</si>
  <si>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</si>
  <si>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</si>
  <si>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</si>
  <si>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</si>
  <si>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</si>
  <si>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</si>
  <si>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</si>
  <si>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</si>
  <si>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</si>
  <si>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</si>
  <si>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</si>
  <si>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</si>
  <si>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</si>
  <si>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</si>
  <si>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</si>
  <si>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</si>
  <si>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</si>
  <si>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</si>
  <si>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</si>
  <si>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</si>
  <si>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</si>
  <si>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</si>
  <si>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</si>
  <si>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</si>
  <si>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</si>
  <si>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</si>
  <si>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</si>
  <si>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</si>
  <si>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</si>
  <si>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</si>
  <si>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</si>
  <si>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</si>
  <si>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</si>
  <si>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</si>
  <si>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</si>
  <si>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</si>
  <si>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</si>
  <si>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</si>
  <si>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</si>
  <si>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</si>
  <si>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</si>
  <si>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</si>
  <si>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</si>
  <si>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</si>
  <si>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</si>
  <si>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</si>
  <si>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</si>
  <si>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</si>
  <si>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</si>
  <si>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</si>
  <si>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</si>
  <si>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</si>
  <si>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</si>
  <si>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</si>
  <si>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</si>
  <si>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</si>
  <si>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</si>
  <si>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</si>
  <si>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</si>
  <si>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</si>
  <si>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</si>
  <si>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</si>
  <si>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</si>
  <si>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</si>
  <si>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</si>
  <si>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</si>
  <si>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</si>
  <si>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</si>
  <si>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</si>
  <si>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</si>
  <si>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</si>
  <si>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</si>
  <si>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</si>
  <si>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</si>
  <si>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</si>
  <si>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</si>
  <si>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</si>
  <si>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</si>
  <si>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</si>
  <si>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</si>
  <si>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</si>
  <si>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</si>
  <si>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</si>
  <si>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</si>
  <si>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</si>
  <si>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</si>
  <si>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</si>
  <si>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</si>
  <si>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</si>
  <si>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</si>
  <si>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</si>
  <si>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</si>
  <si>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</si>
  <si>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</si>
  <si>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</si>
  <si>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</si>
  <si>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</si>
  <si>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</si>
  <si>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</si>
  <si>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</si>
  <si>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</si>
  <si>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</si>
  <si>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</si>
  <si>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</si>
  <si>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</si>
  <si>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</si>
  <si>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</si>
  <si>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</si>
  <si>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</si>
  <si>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</si>
  <si>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</si>
  <si>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</si>
  <si>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</si>
  <si>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</si>
  <si>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</si>
  <si>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</si>
  <si>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</si>
  <si>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</si>
  <si>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</si>
  <si>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</si>
  <si>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</si>
  <si>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</si>
  <si>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</si>
  <si>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</si>
  <si>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</si>
  <si>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</si>
  <si>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</si>
  <si>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</si>
  <si>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</si>
  <si>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</si>
  <si>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</si>
  <si>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</si>
  <si>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</si>
  <si>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</si>
  <si>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</si>
  <si>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</si>
  <si>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</si>
  <si>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</si>
  <si>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</si>
  <si>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</si>
  <si>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</si>
  <si>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</si>
  <si>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</si>
  <si>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</si>
  <si>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</si>
  <si>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</si>
  <si>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</si>
  <si>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</si>
  <si>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</si>
  <si>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</si>
  <si>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</si>
  <si>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</si>
  <si>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</si>
  <si>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</si>
  <si>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</si>
  <si>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</si>
  <si>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</si>
  <si>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</si>
  <si>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</si>
  <si>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</si>
  <si>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</si>
  <si>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</si>
  <si>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</si>
  <si>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</si>
  <si>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</si>
  <si>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</si>
  <si>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</si>
  <si>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</si>
  <si>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</si>
  <si>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</si>
  <si>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</si>
  <si>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</si>
  <si>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</si>
  <si>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</si>
  <si>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</si>
  <si>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</si>
  <si>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</si>
  <si>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</si>
  <si>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</si>
  <si>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</si>
  <si>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</si>
  <si>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</si>
  <si>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</si>
  <si>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</si>
  <si>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</si>
  <si>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</si>
  <si>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</si>
  <si>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</si>
  <si>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</si>
  <si>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</si>
  <si>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</si>
  <si>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</si>
  <si>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</si>
  <si>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</si>
  <si>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</si>
  <si>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</si>
  <si>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</si>
  <si>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</si>
  <si>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</si>
  <si>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</si>
  <si>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</si>
  <si>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</si>
  <si>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</si>
  <si>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</si>
  <si>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</si>
  <si>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</si>
  <si>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</si>
  <si>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</si>
  <si>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</si>
  <si>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</si>
  <si>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</si>
  <si>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</si>
  <si>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</si>
  <si>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</si>
  <si>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</si>
  <si>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</si>
  <si>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</si>
  <si>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</si>
  <si>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</si>
  <si>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</si>
  <si>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</si>
  <si>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</si>
  <si>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</si>
  <si>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</si>
  <si>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</si>
  <si>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</si>
  <si>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</si>
  <si>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</si>
  <si>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</si>
  <si>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</si>
  <si>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</si>
  <si>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</si>
  <si>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</si>
  <si>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</si>
  <si>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</si>
  <si>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</si>
  <si>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</si>
  <si>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</si>
  <si>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</si>
  <si>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</si>
  <si>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</si>
  <si>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</si>
  <si>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</si>
  <si>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</si>
  <si>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</si>
  <si>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</si>
  <si>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</si>
  <si>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</si>
  <si>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</si>
  <si>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</si>
  <si>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</si>
  <si>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</si>
  <si>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</si>
  <si>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</si>
  <si>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</si>
  <si>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</si>
  <si>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</si>
  <si>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</si>
  <si>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</si>
  <si>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</si>
  <si>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</si>
  <si>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</si>
  <si>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</si>
  <si>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</si>
  <si>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</si>
  <si>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</si>
  <si>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</si>
  <si>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</si>
  <si>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</si>
  <si>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</si>
  <si>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</si>
  <si>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</si>
  <si>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</si>
  <si>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</si>
  <si>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</si>
  <si>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</si>
  <si>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</si>
  <si>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</si>
  <si>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</si>
  <si>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</si>
  <si>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</si>
  <si>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</si>
  <si>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</si>
  <si>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</si>
  <si>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</si>
  <si>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</si>
  <si>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</si>
  <si>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</si>
  <si>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</si>
  <si>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</si>
  <si>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</si>
  <si>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</si>
  <si>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</si>
  <si>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</si>
  <si>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</si>
  <si>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</si>
  <si>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</si>
  <si>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</si>
  <si>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</si>
  <si>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</si>
  <si>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</si>
  <si>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</si>
  <si>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</si>
  <si>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</si>
  <si>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</si>
  <si>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</si>
  <si>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</si>
  <si>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</si>
  <si>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</si>
  <si>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</si>
  <si>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</si>
  <si>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</si>
  <si>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</si>
  <si>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</si>
  <si>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</si>
  <si>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</si>
  <si>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</si>
  <si>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</si>
  <si>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</si>
  <si>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</si>
  <si>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</si>
  <si>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</si>
  <si>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</si>
  <si>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</si>
  <si>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</si>
  <si>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</si>
  <si>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</si>
  <si>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</si>
  <si>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</si>
  <si>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</si>
  <si>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</si>
  <si>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</si>
  <si>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</si>
  <si>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</si>
  <si>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</si>
  <si>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</si>
  <si>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</si>
  <si>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</si>
  <si>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</si>
  <si>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</si>
  <si>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</si>
  <si>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</si>
  <si>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</si>
  <si>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</si>
  <si>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</si>
  <si>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</si>
  <si>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</si>
  <si>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</si>
  <si>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</si>
  <si>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</si>
  <si>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</si>
  <si>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</si>
  <si>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</si>
  <si>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</si>
  <si>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</si>
  <si>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</si>
  <si>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</si>
  <si>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</si>
  <si>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</si>
  <si>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</si>
  <si>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</si>
  <si>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</si>
  <si>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</si>
  <si>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</si>
  <si>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</si>
  <si>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</si>
  <si>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</si>
  <si>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</si>
  <si>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</si>
  <si>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</si>
  <si>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</si>
  <si>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</si>
  <si>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</si>
  <si>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</si>
  <si>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</si>
  <si>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</si>
  <si>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</si>
  <si>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</si>
  <si>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</si>
  <si>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</si>
  <si>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</si>
  <si>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</si>
  <si>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</si>
  <si>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</si>
  <si>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</si>
  <si>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</si>
  <si>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</si>
  <si>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</si>
  <si>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</si>
  <si>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</si>
  <si>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</si>
  <si>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</si>
  <si>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</si>
  <si>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</si>
  <si>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</si>
  <si>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</si>
  <si>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</si>
  <si>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</si>
  <si>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</si>
  <si>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</si>
  <si>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</si>
  <si>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</si>
  <si>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</si>
  <si>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</si>
  <si>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</si>
  <si>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</si>
  <si>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</si>
  <si>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</si>
  <si>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</si>
  <si>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</si>
  <si>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</si>
  <si>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</si>
  <si>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</si>
  <si>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</si>
  <si>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</si>
  <si>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</si>
  <si>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</si>
  <si>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</si>
  <si>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</si>
  <si>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</si>
  <si>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</si>
  <si>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</si>
  <si>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</si>
  <si>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</si>
  <si>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</si>
  <si>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</si>
  <si>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</si>
  <si>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</si>
  <si>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</si>
  <si>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</si>
  <si>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</si>
  <si>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</si>
  <si>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</si>
  <si>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</si>
  <si>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</si>
  <si>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</si>
  <si>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</si>
  <si>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</si>
  <si>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</si>
  <si>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</si>
  <si>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</si>
  <si>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</si>
  <si>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</si>
  <si>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</si>
  <si>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</si>
  <si>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</si>
  <si>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</si>
  <si>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</si>
  <si>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</si>
  <si>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</si>
  <si>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</si>
  <si>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</si>
  <si>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</si>
  <si>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</si>
  <si>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</si>
  <si>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</si>
  <si>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</si>
  <si>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</si>
  <si>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</si>
  <si>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</si>
  <si>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</si>
  <si>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</si>
  <si>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</si>
  <si>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</si>
  <si>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</si>
  <si>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</si>
  <si>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</si>
  <si>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</si>
  <si>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</si>
  <si>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</si>
  <si>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</si>
  <si>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</si>
  <si>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</si>
  <si>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</si>
  <si>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</si>
  <si>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</si>
  <si>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</si>
  <si>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</si>
  <si>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</si>
  <si>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</si>
  <si>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</si>
  <si>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</si>
  <si>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</si>
  <si>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</si>
  <si>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</si>
  <si>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</si>
  <si>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</si>
  <si>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</si>
  <si>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</si>
  <si>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</si>
  <si>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</si>
  <si>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</si>
  <si>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</si>
  <si>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</si>
  <si>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</si>
  <si>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</si>
  <si>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</si>
  <si>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</si>
  <si>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</si>
  <si>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</si>
  <si>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</si>
  <si>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</si>
  <si>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</si>
  <si>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</si>
  <si>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</si>
  <si>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</si>
  <si>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</si>
  <si>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</si>
  <si>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</si>
  <si>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</si>
  <si>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</si>
  <si>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</si>
  <si>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</si>
  <si>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</si>
  <si>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</si>
  <si>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</si>
  <si>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</si>
  <si>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</si>
  <si>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</si>
  <si>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</si>
  <si>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</si>
  <si>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</si>
  <si>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</si>
  <si>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</si>
  <si>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</si>
  <si>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</si>
  <si>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</si>
  <si>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</si>
  <si>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</si>
  <si>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</si>
  <si>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</si>
  <si>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</si>
  <si>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</si>
  <si>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</si>
  <si>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</si>
  <si>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</si>
  <si>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</si>
  <si>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</si>
  <si>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</si>
  <si>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</si>
  <si>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</si>
  <si>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</si>
  <si>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</si>
  <si>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</si>
  <si>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</si>
  <si>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</si>
  <si>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</si>
  <si>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</si>
  <si>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</si>
  <si>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</si>
  <si>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</si>
  <si>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</si>
  <si>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</si>
  <si>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</si>
  <si>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</si>
  <si>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</si>
  <si>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</si>
  <si>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</si>
  <si>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</si>
  <si>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</si>
  <si>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</si>
  <si>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</si>
  <si>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</si>
  <si>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</si>
  <si>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</si>
  <si>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</si>
  <si>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</si>
  <si>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</si>
  <si>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</si>
  <si>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</si>
  <si>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</si>
  <si>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</si>
  <si>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</si>
  <si>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</si>
  <si>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</si>
  <si>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</si>
  <si>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</si>
  <si>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</si>
  <si>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</si>
  <si>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</si>
  <si>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</si>
  <si>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</si>
  <si>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</si>
  <si>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</si>
  <si>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</si>
  <si>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</si>
  <si>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</si>
  <si>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</si>
  <si>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</si>
  <si>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</si>
  <si>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</si>
  <si>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</si>
  <si>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</si>
  <si>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</si>
  <si>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</si>
  <si>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</si>
  <si>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</si>
  <si>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</si>
  <si>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</si>
  <si>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</si>
  <si>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</si>
  <si>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</si>
  <si>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</si>
  <si>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</si>
  <si>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</si>
  <si>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</si>
  <si>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</si>
  <si>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</si>
  <si>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</si>
  <si>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</si>
  <si>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</si>
  <si>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</si>
  <si>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</si>
  <si>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</si>
  <si>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</si>
  <si>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</si>
  <si>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</si>
  <si>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</si>
  <si>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</si>
  <si>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</si>
  <si>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</si>
  <si>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</si>
  <si>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</si>
  <si>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</si>
  <si>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</si>
  <si>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</si>
  <si>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</si>
  <si>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</si>
  <si>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</si>
  <si>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</si>
  <si>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</si>
  <si>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</si>
  <si>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</si>
  <si>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</si>
  <si>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</si>
  <si>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</si>
  <si>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</si>
  <si>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</si>
  <si>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</si>
  <si>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</si>
  <si>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</si>
  <si>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</si>
  <si>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</si>
  <si>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</si>
  <si>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</si>
  <si>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</si>
  <si>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</si>
  <si>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</si>
  <si>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</si>
  <si>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</si>
  <si>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</si>
  <si>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</si>
  <si>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</si>
  <si>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</si>
  <si>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</si>
  <si>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</si>
  <si>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</si>
  <si>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</si>
  <si>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</si>
  <si>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</si>
  <si>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</si>
  <si>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</si>
  <si>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</si>
  <si>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</si>
  <si>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</si>
  <si>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</si>
  <si>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</si>
  <si>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</si>
  <si>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</si>
  <si>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</si>
  <si>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</si>
  <si>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</si>
  <si>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</si>
  <si>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</si>
  <si>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</si>
  <si>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</si>
  <si>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</si>
  <si>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</si>
  <si>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</si>
  <si>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</si>
  <si>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</si>
  <si>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</si>
  <si>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</si>
  <si>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</si>
  <si>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</si>
  <si>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</si>
  <si>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</si>
  <si>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</si>
  <si>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</si>
  <si>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</si>
  <si>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</si>
  <si>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</si>
  <si>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</si>
  <si>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</si>
  <si>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</si>
  <si>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</si>
  <si>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</si>
  <si>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</si>
  <si>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</si>
  <si>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</si>
  <si>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</si>
  <si>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</si>
  <si>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</si>
  <si>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</si>
  <si>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</si>
  <si>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</si>
  <si>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</si>
  <si>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</si>
  <si>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</si>
  <si>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</si>
  <si>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</si>
  <si>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</si>
  <si>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</si>
  <si>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</si>
  <si>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</si>
  <si>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</si>
  <si>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</si>
  <si>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</si>
  <si>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</si>
  <si>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</si>
  <si>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</si>
  <si>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</si>
  <si>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</si>
  <si>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</si>
  <si>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</si>
  <si>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</si>
  <si>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</si>
  <si>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</si>
  <si>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</si>
  <si>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</si>
  <si>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</si>
  <si>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</si>
  <si>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</si>
  <si>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</si>
  <si>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</si>
  <si>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</si>
  <si>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</si>
  <si>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</si>
  <si>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</si>
  <si>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</si>
  <si>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</si>
  <si>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</si>
  <si>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</si>
  <si>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</si>
  <si>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</si>
  <si>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</si>
  <si>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</si>
  <si>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</si>
  <si>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</si>
  <si>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</si>
  <si>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</si>
  <si>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</si>
  <si>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</si>
  <si>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</si>
  <si>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</si>
  <si>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</si>
  <si>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</si>
  <si>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</si>
  <si>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</si>
  <si>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</si>
  <si>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</si>
  <si>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</si>
  <si>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</si>
  <si>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</si>
  <si>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</si>
  <si>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</si>
  <si>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</si>
  <si>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</si>
  <si>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</si>
  <si>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</si>
  <si>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</si>
  <si>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</si>
  <si>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</si>
  <si>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</si>
  <si>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</si>
  <si>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</si>
  <si>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</si>
  <si>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</si>
  <si>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</si>
  <si>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</si>
  <si>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</si>
  <si>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</si>
  <si>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</si>
  <si>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</si>
  <si>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</si>
  <si>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</si>
  <si>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</si>
  <si>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</si>
  <si>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</si>
  <si>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</si>
  <si>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</si>
  <si>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</si>
  <si>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</si>
  <si>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</si>
  <si>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</si>
  <si>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</si>
  <si>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</si>
  <si>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</si>
  <si>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</si>
  <si>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</si>
  <si>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</si>
  <si>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</si>
  <si>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</si>
  <si>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</si>
  <si>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</si>
  <si>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</si>
  <si>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</si>
  <si>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</si>
  <si>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</si>
  <si>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</si>
  <si>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</si>
  <si>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</si>
  <si>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</si>
  <si>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</si>
  <si>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</si>
  <si>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</si>
  <si>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</si>
  <si>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</si>
  <si>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</si>
  <si>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</si>
  <si>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</si>
  <si>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</si>
  <si>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</si>
  <si>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</si>
  <si>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</si>
  <si>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</si>
  <si>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</si>
  <si>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</si>
  <si>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</si>
  <si>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</si>
  <si>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</si>
  <si>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</si>
  <si>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</si>
  <si>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</si>
  <si>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</si>
  <si>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</si>
  <si>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</si>
  <si>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</si>
  <si>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</si>
  <si>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</si>
  <si>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</si>
  <si>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</si>
  <si>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</si>
  <si>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</si>
  <si>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</si>
  <si>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</si>
  <si>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</si>
  <si>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</si>
  <si>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</si>
  <si>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</si>
  <si>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</si>
  <si>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</si>
  <si>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</si>
  <si>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</si>
  <si>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</si>
  <si>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</si>
  <si>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</si>
  <si>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</si>
  <si>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</si>
  <si>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</si>
  <si>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</si>
  <si>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</si>
  <si>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</si>
  <si>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</si>
  <si>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</si>
  <si>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</si>
  <si>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</si>
  <si>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</si>
  <si>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</si>
  <si>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</si>
  <si>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</si>
  <si>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</si>
  <si>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</si>
  <si>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</si>
  <si>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</si>
  <si>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</si>
  <si>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</si>
  <si>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</si>
  <si>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</si>
  <si>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</si>
  <si>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</si>
  <si>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</si>
  <si>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</si>
  <si>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</si>
  <si>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</si>
  <si>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</si>
  <si>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</si>
  <si>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</si>
  <si>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</si>
  <si>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</si>
  <si>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</si>
  <si>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</si>
  <si>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</si>
  <si>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</si>
  <si>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</si>
  <si>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</si>
  <si>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</si>
  <si>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</si>
  <si>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</si>
  <si>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</si>
  <si>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</si>
  <si>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</si>
  <si>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</si>
  <si>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</si>
  <si>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</si>
  <si>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</si>
  <si>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</si>
  <si>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</si>
  <si>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</si>
  <si>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</si>
  <si>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</si>
  <si>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</si>
  <si>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</si>
  <si>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</si>
  <si>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</si>
  <si>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</si>
  <si>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</si>
  <si>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</si>
  <si>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</si>
  <si>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</si>
  <si>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</si>
  <si>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</si>
  <si>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</si>
  <si>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</si>
  <si>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</si>
  <si>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</si>
  <si>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</si>
  <si>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</si>
  <si>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</si>
  <si>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</si>
  <si>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</si>
  <si>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</si>
  <si>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</si>
  <si>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</si>
  <si>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</si>
  <si>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</si>
  <si>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</si>
  <si>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</si>
  <si>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</si>
  <si>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</si>
  <si>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</si>
  <si>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</si>
  <si>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</si>
  <si>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</si>
  <si>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</si>
  <si>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</si>
  <si>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</si>
  <si>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</si>
  <si>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</si>
  <si>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</si>
  <si>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</si>
  <si>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</si>
  <si>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</si>
  <si>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</si>
  <si>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</si>
  <si>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</si>
  <si>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</si>
  <si>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</si>
  <si>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</si>
  <si>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</si>
  <si>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</si>
  <si>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</si>
  <si>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</si>
  <si>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</si>
  <si>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</si>
  <si>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</si>
  <si>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</si>
  <si>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</si>
  <si>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</si>
  <si>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</si>
  <si>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</si>
  <si>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</si>
  <si>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</si>
  <si>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</si>
  <si>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</si>
  <si>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</si>
  <si>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</si>
  <si>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</si>
  <si>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</si>
  <si>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</si>
  <si>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</si>
  <si>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</si>
  <si>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</si>
  <si>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</si>
  <si>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</si>
  <si>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</si>
  <si>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</si>
  <si>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</si>
  <si>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</si>
  <si>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</si>
  <si>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</si>
  <si>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</si>
  <si>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</si>
  <si>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</si>
  <si>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</si>
  <si>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</si>
  <si>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</si>
  <si>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</si>
  <si>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</si>
  <si>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</si>
  <si>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</si>
  <si>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</si>
  <si>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</si>
  <si>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</si>
  <si>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</si>
  <si>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</si>
  <si>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</si>
  <si>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</si>
  <si>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</si>
  <si>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</si>
  <si>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</si>
  <si>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</si>
  <si>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</si>
  <si>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</si>
  <si>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</si>
  <si>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</si>
  <si>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</si>
  <si>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</si>
  <si>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</si>
  <si>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</si>
  <si>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</si>
  <si>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</si>
  <si>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</si>
  <si>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</si>
  <si>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</si>
  <si>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</si>
  <si>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</si>
  <si>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</si>
  <si>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</si>
  <si>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</si>
  <si>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</si>
  <si>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</si>
  <si>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</si>
  <si>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</si>
  <si>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</si>
  <si>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</si>
  <si>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</si>
  <si>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</si>
  <si>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</si>
  <si>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</si>
  <si>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</si>
  <si>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</si>
  <si>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</si>
  <si>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</si>
  <si>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</si>
  <si>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</si>
  <si>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</si>
  <si>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</si>
  <si>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</si>
  <si>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</si>
  <si>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</si>
  <si>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</si>
  <si>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</si>
  <si>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</si>
  <si>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</si>
  <si>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</si>
  <si>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</si>
  <si>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</si>
  <si>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</si>
  <si>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</si>
  <si>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</si>
  <si>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</si>
  <si>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</si>
  <si>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</si>
  <si>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</si>
  <si>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</si>
  <si>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</si>
  <si>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</si>
  <si>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</si>
  <si>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</si>
  <si>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</si>
  <si>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</si>
  <si>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</si>
  <si>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</si>
  <si>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</si>
  <si>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</si>
  <si>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</si>
  <si>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</si>
  <si>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</si>
  <si>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</si>
  <si>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</si>
  <si>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</si>
  <si>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</si>
  <si>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</si>
  <si>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</si>
  <si>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</si>
  <si>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</si>
  <si>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</si>
  <si>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</si>
  <si>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</si>
  <si>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</si>
  <si>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</si>
  <si>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</si>
  <si>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</si>
  <si>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</si>
  <si>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</si>
  <si>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</si>
  <si>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</si>
  <si>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</si>
  <si>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</si>
  <si>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</si>
  <si>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</si>
  <si>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</si>
  <si>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</si>
  <si>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</si>
  <si>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</si>
  <si>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</si>
  <si>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</si>
  <si>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</si>
  <si>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</si>
  <si>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</si>
  <si>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</si>
  <si>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</si>
  <si>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</si>
  <si>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</si>
  <si>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</si>
  <si>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</si>
  <si>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</si>
  <si>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</si>
  <si>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</si>
  <si>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</si>
  <si>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</si>
  <si>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</si>
  <si>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</si>
  <si>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</si>
  <si>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</si>
  <si>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</si>
  <si>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</si>
  <si>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</si>
  <si>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</si>
  <si>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</si>
  <si>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</si>
  <si>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</si>
  <si>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</si>
  <si>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</si>
  <si>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</si>
  <si>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</si>
  <si>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</si>
  <si>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</si>
  <si>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</si>
  <si>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</si>
  <si>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</si>
  <si>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</si>
  <si>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</si>
  <si>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</si>
  <si>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</si>
  <si>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</si>
  <si>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</si>
  <si>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</si>
  <si>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</si>
  <si>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</si>
  <si>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</si>
  <si>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</si>
  <si>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</si>
  <si>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</si>
  <si>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</si>
  <si>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</si>
  <si>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</si>
  <si>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</si>
  <si>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</si>
  <si>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</si>
  <si>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</si>
  <si>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</si>
  <si>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</si>
  <si>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</si>
  <si>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</si>
  <si>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</si>
  <si>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</si>
  <si>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</si>
  <si>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</si>
  <si>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</si>
  <si>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</si>
  <si>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</si>
  <si>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</si>
  <si>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</si>
  <si>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</si>
  <si>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</si>
  <si>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</si>
  <si>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</si>
  <si>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</si>
  <si>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</si>
  <si>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</si>
  <si>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</si>
  <si>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</si>
  <si>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</si>
  <si>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</si>
  <si>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</si>
  <si>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</si>
  <si>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</si>
  <si>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</si>
  <si>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</si>
  <si>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</si>
  <si>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</si>
  <si>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</si>
  <si>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</si>
  <si>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</si>
  <si>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</si>
  <si>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</si>
  <si>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</si>
  <si>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</si>
  <si>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</si>
  <si>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</si>
  <si>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</si>
  <si>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</si>
  <si>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</si>
  <si>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</si>
  <si>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</si>
  <si>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</si>
  <si>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</si>
  <si>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</si>
  <si>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</si>
  <si>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</si>
  <si>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</si>
  <si>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</si>
  <si>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</si>
  <si>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</si>
  <si>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</si>
  <si>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</si>
  <si>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</si>
  <si>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</si>
  <si>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</si>
  <si>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</si>
  <si>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</si>
  <si>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</si>
  <si>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</si>
  <si>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</si>
  <si>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</si>
  <si>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</si>
  <si>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</si>
  <si>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</si>
  <si>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</si>
  <si>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</si>
  <si>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</si>
  <si>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</si>
  <si>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</si>
  <si>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</si>
  <si>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</si>
  <si>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</si>
  <si>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</si>
  <si>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</si>
  <si>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</si>
  <si>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</si>
  <si>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</si>
  <si>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</si>
  <si>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</si>
  <si>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</si>
  <si>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</si>
  <si>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</si>
  <si>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</si>
  <si>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</si>
  <si>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</si>
  <si>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</si>
  <si>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</si>
  <si>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</si>
  <si>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</si>
  <si>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</si>
  <si>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</si>
  <si>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</si>
  <si>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</si>
  <si>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</si>
  <si>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</si>
  <si>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</si>
  <si>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</si>
  <si>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</si>
  <si>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</si>
  <si>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</si>
  <si>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</si>
  <si>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</si>
  <si>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</si>
  <si>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</si>
  <si>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</si>
  <si>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</si>
  <si>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</si>
  <si>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</si>
  <si>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</si>
  <si>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</si>
  <si>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</si>
  <si>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</si>
  <si>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</si>
  <si>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</si>
  <si>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</si>
  <si>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</si>
  <si>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</si>
  <si>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</si>
  <si>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</si>
  <si>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</si>
  <si>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</si>
  <si>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</si>
  <si>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</si>
  <si>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</si>
  <si>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</si>
  <si>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</si>
  <si>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</si>
  <si>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</si>
  <si>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</si>
  <si>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</si>
  <si>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</si>
  <si>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</si>
  <si>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</si>
  <si>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</si>
  <si>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</si>
  <si>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</si>
  <si>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</si>
  <si>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</si>
  <si>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</si>
  <si>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</si>
  <si>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</si>
  <si>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</si>
  <si>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</si>
  <si>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</si>
  <si>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</si>
  <si>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</si>
  <si>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</si>
  <si>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</si>
  <si>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</si>
  <si>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</si>
  <si>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</si>
  <si>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</si>
  <si>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</si>
  <si>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</si>
  <si>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</si>
  <si>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</si>
  <si>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</si>
  <si>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</si>
  <si>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</si>
  <si>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</si>
  <si>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</si>
  <si>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</si>
  <si>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</si>
  <si>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</si>
  <si>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</si>
  <si>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</si>
  <si>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</si>
  <si>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</si>
  <si>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</si>
  <si>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</si>
  <si>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</si>
  <si>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</si>
  <si>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</si>
  <si>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</si>
  <si>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</si>
  <si>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</si>
  <si>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</si>
  <si>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</si>
  <si>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</si>
  <si>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</si>
  <si>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</si>
  <si>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</si>
  <si>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</si>
  <si>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</si>
  <si>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</si>
  <si>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</si>
  <si>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</si>
  <si>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</si>
  <si>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</si>
  <si>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</si>
  <si>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</si>
  <si>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</si>
  <si>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</si>
  <si>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</si>
  <si>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</si>
  <si>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</si>
  <si>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</si>
  <si>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</si>
  <si>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</si>
  <si>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</si>
  <si>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</si>
  <si>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</si>
  <si>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</si>
  <si>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</si>
  <si>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</si>
  <si>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</si>
  <si>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</si>
  <si>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</si>
  <si>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</si>
  <si>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</si>
  <si>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</si>
  <si>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</si>
  <si>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</si>
  <si>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</si>
  <si>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</si>
  <si>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</si>
  <si>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</si>
  <si>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</si>
  <si>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</si>
  <si>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</si>
  <si>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</si>
  <si>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</si>
  <si>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</si>
  <si>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</si>
  <si>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</si>
  <si>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</si>
  <si>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</si>
  <si>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</si>
  <si>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</si>
  <si>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</si>
  <si>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</si>
  <si>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</si>
  <si>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</si>
  <si>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</si>
  <si>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</si>
  <si>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</si>
  <si>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</si>
  <si>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</si>
  <si>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</si>
  <si>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</si>
  <si>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</si>
  <si>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</si>
  <si>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</si>
  <si>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</si>
  <si>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</si>
  <si>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</si>
  <si>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</si>
  <si>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</si>
  <si>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</si>
  <si>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</si>
  <si>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</si>
  <si>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</si>
  <si>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</si>
  <si>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</si>
  <si>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</si>
  <si>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</si>
  <si>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</si>
  <si>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</si>
  <si>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</si>
  <si>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</si>
  <si>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</si>
  <si>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</si>
  <si>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</si>
  <si>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</si>
  <si>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</si>
  <si>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</si>
  <si>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</si>
  <si>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</si>
  <si>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</si>
  <si>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</si>
  <si>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</si>
  <si>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</si>
  <si>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</si>
  <si>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</si>
  <si>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</si>
  <si>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</si>
  <si>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</si>
  <si>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</si>
  <si>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</si>
  <si>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</si>
  <si>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</si>
  <si>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</si>
  <si>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</si>
  <si>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</si>
  <si>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</si>
  <si>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</si>
  <si>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</si>
  <si>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</si>
  <si>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</si>
  <si>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</si>
  <si>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</si>
  <si>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</si>
  <si>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</si>
  <si>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</si>
  <si>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</si>
  <si>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</si>
  <si>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</si>
  <si>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</si>
  <si>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</si>
  <si>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</si>
  <si>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</si>
  <si>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</si>
  <si>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</si>
  <si>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</si>
  <si>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</si>
  <si>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</si>
  <si>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</si>
  <si>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</si>
  <si>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</si>
  <si>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</si>
  <si>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</si>
  <si>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</si>
  <si>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</si>
  <si>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</si>
  <si>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</si>
  <si>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</si>
  <si>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</si>
  <si>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</si>
  <si>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</si>
  <si>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</si>
  <si>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</si>
  <si>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</si>
  <si>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</si>
  <si>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</si>
  <si>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</si>
  <si>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</si>
  <si>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</si>
  <si>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</si>
  <si>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</si>
  <si>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</si>
  <si>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</si>
  <si>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</si>
  <si>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</si>
  <si>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</si>
  <si>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</si>
  <si>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</si>
  <si>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</si>
  <si>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</si>
  <si>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</si>
  <si>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</si>
  <si>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</si>
  <si>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</si>
  <si>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</si>
  <si>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</si>
  <si>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</si>
  <si>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</si>
  <si>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</si>
  <si>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</si>
  <si>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</si>
  <si>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</si>
  <si>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</si>
  <si>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</si>
  <si>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</si>
  <si>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</si>
  <si>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</si>
  <si>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</si>
  <si>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</si>
  <si>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</si>
  <si>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</si>
  <si>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</si>
  <si>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</si>
  <si>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</si>
  <si>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</si>
  <si>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</si>
  <si>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</si>
  <si>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</si>
  <si>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</si>
  <si>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</si>
  <si>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</si>
  <si>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</si>
  <si>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</si>
  <si>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</si>
  <si>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</si>
  <si>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</si>
  <si>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</si>
  <si>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</si>
  <si>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</si>
  <si>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</si>
  <si>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</si>
  <si>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</si>
  <si>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</si>
  <si>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</si>
  <si>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</si>
  <si>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</si>
  <si>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</si>
  <si>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</si>
  <si>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</si>
  <si>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</si>
  <si>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</si>
  <si>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</si>
  <si>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</si>
  <si>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</si>
  <si>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</si>
  <si>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</si>
  <si>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</si>
  <si>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</si>
  <si>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</si>
  <si>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</si>
  <si>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</si>
  <si>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</si>
  <si>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</si>
  <si>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</si>
  <si>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</si>
  <si>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</si>
  <si>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</si>
  <si>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</si>
  <si>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</si>
  <si>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</si>
  <si>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</si>
  <si>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</si>
  <si>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</si>
  <si>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</si>
  <si>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</si>
  <si>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</si>
  <si>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</si>
  <si>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</si>
  <si>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</si>
  <si>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</si>
  <si>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</si>
  <si>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</si>
  <si>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</si>
  <si>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</si>
  <si>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</si>
  <si>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</si>
  <si>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</si>
  <si>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</si>
  <si>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</si>
  <si>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</si>
  <si>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</si>
  <si>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</si>
  <si>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</si>
  <si>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</si>
  <si>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</si>
  <si>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</si>
  <si>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</si>
  <si>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</si>
  <si>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</si>
  <si>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</si>
  <si>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</si>
  <si>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</si>
  <si>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</si>
  <si>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</si>
  <si>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</si>
  <si>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</si>
  <si>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</si>
  <si>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</si>
  <si>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</si>
  <si>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</si>
  <si>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</si>
  <si>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</si>
  <si>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</si>
  <si>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</si>
  <si>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</si>
  <si>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</si>
  <si>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</si>
  <si>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</si>
  <si>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</si>
  <si>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</si>
  <si>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</si>
  <si>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</si>
  <si>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</si>
  <si>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</si>
  <si>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</si>
  <si>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</si>
  <si>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</si>
  <si>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</si>
  <si>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</si>
  <si>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</si>
  <si>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</si>
  <si>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</si>
  <si>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</si>
  <si>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</si>
  <si>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</si>
  <si>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</si>
  <si>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</si>
  <si>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</si>
  <si>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</si>
  <si>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</si>
  <si>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</si>
  <si>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</si>
  <si>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</si>
  <si>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</si>
  <si>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</si>
  <si>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</si>
  <si>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</si>
  <si>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</si>
  <si>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</si>
  <si>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</si>
  <si>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</si>
  <si>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</si>
  <si>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</si>
  <si>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</si>
  <si>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</si>
  <si>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</si>
  <si>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</si>
  <si>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</si>
  <si>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</si>
  <si>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</si>
  <si>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</si>
  <si>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</si>
  <si>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</si>
  <si>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</si>
  <si>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</si>
  <si>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</si>
  <si>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</si>
  <si>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</si>
  <si>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</si>
  <si>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</si>
  <si>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</si>
  <si>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</si>
  <si>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</si>
  <si>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</si>
  <si>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</si>
  <si>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</si>
  <si>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</si>
  <si>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</si>
  <si>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</si>
  <si>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</si>
  <si>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</si>
  <si>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</si>
  <si>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</si>
  <si>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</si>
  <si>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</si>
  <si>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</si>
  <si>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</si>
  <si>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</si>
  <si>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</si>
  <si>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</si>
  <si>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</si>
  <si>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</si>
  <si>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</si>
  <si>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</si>
  <si>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</si>
  <si>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</si>
  <si>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</si>
  <si>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</si>
  <si>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</si>
  <si>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</si>
  <si>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</si>
  <si>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</si>
  <si>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</si>
  <si>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</si>
  <si>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</si>
  <si>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</si>
  <si>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</si>
  <si>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</si>
  <si>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</si>
  <si>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</si>
  <si>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</si>
  <si>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</si>
  <si>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</si>
  <si>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</si>
  <si>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</si>
  <si>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</si>
  <si>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</si>
  <si>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</si>
  <si>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</si>
  <si>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</si>
  <si>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</si>
  <si>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</si>
  <si>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</si>
  <si>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</si>
  <si>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</si>
  <si>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</si>
  <si>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</si>
  <si>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</si>
  <si>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</si>
  <si>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</si>
  <si>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</si>
  <si>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</si>
  <si>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</si>
  <si>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</si>
  <si>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</si>
  <si>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</si>
  <si>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</si>
  <si>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</si>
  <si>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</si>
  <si>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</si>
  <si>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</si>
  <si>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</si>
  <si>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</si>
  <si>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</si>
  <si>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</si>
  <si>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</si>
  <si>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</si>
  <si>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</si>
  <si>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</si>
  <si>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</si>
  <si>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</si>
  <si>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</si>
  <si>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</si>
  <si>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</si>
  <si>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</si>
  <si>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</si>
  <si>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</si>
  <si>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</si>
  <si>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</si>
  <si>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</si>
  <si>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</si>
  <si>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</si>
  <si>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</si>
  <si>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</si>
  <si>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</si>
  <si>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</si>
  <si>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</si>
  <si>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</si>
  <si>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</si>
  <si>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</si>
  <si>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</si>
  <si>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</si>
  <si>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</si>
  <si>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</si>
  <si>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</si>
  <si>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</si>
  <si>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</si>
  <si>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</si>
  <si>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</si>
  <si>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</si>
  <si>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</si>
  <si>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</si>
  <si>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</si>
  <si>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</si>
  <si>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</si>
  <si>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</si>
  <si>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</si>
  <si>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</si>
  <si>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</si>
  <si>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</si>
  <si>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</si>
  <si>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</si>
  <si>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</si>
  <si>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</si>
  <si>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</si>
  <si>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</si>
  <si>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</si>
  <si>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</si>
  <si>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</si>
  <si>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</si>
  <si>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</si>
  <si>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</si>
  <si>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</si>
  <si>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</si>
  <si>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</si>
  <si>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</si>
  <si>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</si>
  <si>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</si>
  <si>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</si>
  <si>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</si>
  <si>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</si>
  <si>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</si>
  <si>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</si>
  <si>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</si>
  <si>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</si>
  <si>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</si>
  <si>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</si>
  <si>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</si>
  <si>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</si>
  <si>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</si>
  <si>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</si>
  <si>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</si>
  <si>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</si>
  <si>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</si>
  <si>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</si>
  <si>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</si>
  <si>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</si>
  <si>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</si>
  <si>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</si>
  <si>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</si>
  <si>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</si>
  <si>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</si>
  <si>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</si>
  <si>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</si>
  <si>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</si>
  <si>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</si>
  <si>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</si>
  <si>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</si>
  <si>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</si>
  <si>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</si>
  <si>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</si>
  <si>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</si>
  <si>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</si>
  <si>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</si>
  <si>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</si>
  <si>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</si>
  <si>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</si>
  <si>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</si>
  <si>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</si>
  <si>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</si>
  <si>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</si>
  <si>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</si>
  <si>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</si>
  <si>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</si>
  <si>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</si>
  <si>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</si>
  <si>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</si>
  <si>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</si>
  <si>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</si>
  <si>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</si>
  <si>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</si>
  <si>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</si>
  <si>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</si>
  <si>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</si>
  <si>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</si>
  <si>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</si>
  <si>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</si>
  <si>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</si>
  <si>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</si>
  <si>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</si>
  <si>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</si>
  <si>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</si>
  <si>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</si>
  <si>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</si>
  <si>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</si>
  <si>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</si>
  <si>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</si>
  <si>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</si>
  <si>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</si>
  <si>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</si>
  <si>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</si>
  <si>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</si>
  <si>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</si>
  <si>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</si>
  <si>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</si>
  <si>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</si>
  <si>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</si>
  <si>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</si>
  <si>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</si>
  <si>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</si>
  <si>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</si>
  <si>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</si>
  <si>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</si>
  <si>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</si>
  <si>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</si>
  <si>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</si>
  <si>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</si>
  <si>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</si>
  <si>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</si>
  <si>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</si>
  <si>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</si>
  <si>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</si>
  <si>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</si>
  <si>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</si>
  <si>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</si>
  <si>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</si>
  <si>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</si>
  <si>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</si>
  <si>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</si>
  <si>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</si>
  <si>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</si>
  <si>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</si>
  <si>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</si>
  <si>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</si>
  <si>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</si>
  <si>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</si>
  <si>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</si>
  <si>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</si>
  <si>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</si>
  <si>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</si>
  <si>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</si>
  <si>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</si>
  <si>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</si>
  <si>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</si>
  <si>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</si>
  <si>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</si>
  <si>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</si>
  <si>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</si>
  <si>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</si>
  <si>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</si>
  <si>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</si>
  <si>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</si>
  <si>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</si>
  <si>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</si>
  <si>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</si>
  <si>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</si>
  <si>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</si>
  <si>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</si>
  <si>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</si>
  <si>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</si>
  <si>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</si>
  <si>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</si>
  <si>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</si>
  <si>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</si>
  <si>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</si>
  <si>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</si>
  <si>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</si>
  <si>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</si>
  <si>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</si>
  <si>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</si>
  <si>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</si>
  <si>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</si>
  <si>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</si>
  <si>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</si>
  <si>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</si>
  <si>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</si>
  <si>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</si>
  <si>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</si>
  <si>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</si>
  <si>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</si>
  <si>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</si>
  <si>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</si>
  <si>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</si>
  <si>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</si>
  <si>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</si>
  <si>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</si>
  <si>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</si>
  <si>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</si>
  <si>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</si>
  <si>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</si>
  <si>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</si>
  <si>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</si>
  <si>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</si>
  <si>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</si>
  <si>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</si>
  <si>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</si>
  <si>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</si>
  <si>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</si>
  <si>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</si>
  <si>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</si>
  <si>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</si>
  <si>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</si>
  <si>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</si>
  <si>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</si>
  <si>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</si>
  <si>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</si>
  <si>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</si>
  <si>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</si>
  <si>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</si>
  <si>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</si>
  <si>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</si>
  <si>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</si>
  <si>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</si>
  <si>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</si>
  <si>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</si>
  <si>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</si>
  <si>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</si>
  <si>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</si>
  <si>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</si>
  <si>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</si>
  <si>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</si>
  <si>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</si>
  <si>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</si>
  <si>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</si>
  <si>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</si>
  <si>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</si>
  <si>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</si>
  <si>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</si>
  <si>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</si>
  <si>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</si>
  <si>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</si>
  <si>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</si>
  <si>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</si>
  <si>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</si>
  <si>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</si>
  <si>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</si>
  <si>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</si>
  <si>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</si>
  <si>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</si>
  <si>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</si>
  <si>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</si>
  <si>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</si>
  <si>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</si>
  <si>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</si>
  <si>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</si>
  <si>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</si>
  <si>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</si>
  <si>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</si>
  <si>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</si>
  <si>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</si>
  <si>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</si>
  <si>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</si>
  <si>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</si>
  <si>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</si>
  <si>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</si>
  <si>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</si>
  <si>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</si>
  <si>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</si>
  <si>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</si>
  <si>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</si>
  <si>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</si>
  <si>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</si>
  <si>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</si>
  <si>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</si>
  <si>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</si>
  <si>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</si>
  <si>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</si>
  <si>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</si>
  <si>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</si>
  <si>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</si>
  <si>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</si>
  <si>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</si>
  <si>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</si>
  <si>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</si>
  <si>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</si>
  <si>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</si>
  <si>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</si>
  <si>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</si>
  <si>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</si>
  <si>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</si>
  <si>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</si>
  <si>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</si>
  <si>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</si>
  <si>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</si>
  <si>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</si>
  <si>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</si>
  <si>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</si>
  <si>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</si>
  <si>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</si>
  <si>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</si>
  <si>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</si>
  <si>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</si>
  <si>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</si>
  <si>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</si>
  <si>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</si>
  <si>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</si>
  <si>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</si>
  <si>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</si>
  <si>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</si>
  <si>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</si>
  <si>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</si>
  <si>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</si>
  <si>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</si>
  <si>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</si>
  <si>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</si>
  <si>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</si>
  <si>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</si>
  <si>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</si>
  <si>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</si>
  <si>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</si>
  <si>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</si>
  <si>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</si>
  <si>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</si>
  <si>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</si>
  <si>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</si>
  <si>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</si>
  <si>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</si>
  <si>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</si>
  <si>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</si>
  <si>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</si>
  <si>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</si>
  <si>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</si>
  <si>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</si>
  <si>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</si>
  <si>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</si>
  <si>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</si>
  <si>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</si>
  <si>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</si>
  <si>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</si>
  <si>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</si>
  <si>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</si>
  <si>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</si>
  <si>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</si>
  <si>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</si>
  <si>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</si>
  <si>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</si>
  <si>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</si>
  <si>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</si>
  <si>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</si>
  <si>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</si>
  <si>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</si>
  <si>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</si>
  <si>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</si>
  <si>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</si>
  <si>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</si>
  <si>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</si>
  <si>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</si>
  <si>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</si>
  <si>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</si>
  <si>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</si>
  <si>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</si>
  <si>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</si>
  <si>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</si>
  <si>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</si>
  <si>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</si>
  <si>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</si>
  <si>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</si>
  <si>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</si>
  <si>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</si>
  <si>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</si>
  <si>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</si>
  <si>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</si>
  <si>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</si>
  <si>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</si>
  <si>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</si>
  <si>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</si>
  <si>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</si>
  <si>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</si>
  <si>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</si>
  <si>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</si>
  <si>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</si>
  <si>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</si>
  <si>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</si>
  <si>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</si>
  <si>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</si>
  <si>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</si>
  <si>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</si>
  <si>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</si>
  <si>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</si>
  <si>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</si>
  <si>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</si>
  <si>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</si>
  <si>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</si>
  <si>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</si>
  <si>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</si>
  <si>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</si>
  <si>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</si>
  <si>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</si>
  <si>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</si>
  <si>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</si>
  <si>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</si>
  <si>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</si>
  <si>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</si>
  <si>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</si>
  <si>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</si>
  <si>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</si>
  <si>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</si>
  <si>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</si>
  <si>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</si>
  <si>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</si>
  <si>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</si>
  <si>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</si>
  <si>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</si>
  <si>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</si>
  <si>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</si>
  <si>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</si>
  <si>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</si>
  <si>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</si>
  <si>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</si>
  <si>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</si>
  <si>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</si>
  <si>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</si>
  <si>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</si>
  <si>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</si>
  <si>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</si>
  <si>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</si>
  <si>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</si>
  <si>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</si>
  <si>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</si>
  <si>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</si>
  <si>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</si>
  <si>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</si>
  <si>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</si>
  <si>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</si>
  <si>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</si>
  <si>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</si>
  <si>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</si>
  <si>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</si>
  <si>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</si>
  <si>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</si>
  <si>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</si>
  <si>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</si>
  <si>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</si>
  <si>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</si>
  <si>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</si>
  <si>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</si>
  <si>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</si>
  <si>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</si>
  <si>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</si>
  <si>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</si>
  <si>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</si>
  <si>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</si>
  <si>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</si>
  <si>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</si>
  <si>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</si>
  <si>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</si>
  <si>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</si>
  <si>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</si>
  <si>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</si>
  <si>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</si>
  <si>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</si>
  <si>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</si>
  <si>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</si>
  <si>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</si>
  <si>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</si>
  <si>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</si>
  <si>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</si>
  <si>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</si>
  <si>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</si>
  <si>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</si>
  <si>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</si>
  <si>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</si>
  <si>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</si>
  <si>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</si>
  <si>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</si>
  <si>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</si>
  <si>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</si>
  <si>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</si>
  <si>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</si>
  <si>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</si>
  <si>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</si>
  <si>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</si>
  <si>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</si>
  <si>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</si>
  <si>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</si>
  <si>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</si>
  <si>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</si>
  <si>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</si>
  <si>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</si>
  <si>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</si>
  <si>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</si>
  <si>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</si>
  <si>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</si>
  <si>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</si>
  <si>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</si>
  <si>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</si>
  <si>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</si>
  <si>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</si>
  <si>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</si>
  <si>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</si>
  <si>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</si>
  <si>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</si>
  <si>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</si>
  <si>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</si>
  <si>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</si>
  <si>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</si>
  <si>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</si>
  <si>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</si>
  <si>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</si>
  <si>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</si>
  <si>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</si>
  <si>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</si>
  <si>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</si>
  <si>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</si>
  <si>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</si>
  <si>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</si>
  <si>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</si>
  <si>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</si>
  <si>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</si>
  <si>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</si>
  <si>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</si>
  <si>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</si>
  <si>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</si>
  <si>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</si>
  <si>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</si>
  <si>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</si>
  <si>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</si>
  <si>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</si>
  <si>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</si>
  <si>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</si>
  <si>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</si>
  <si>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</si>
  <si>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</si>
  <si>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</si>
  <si>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</si>
  <si>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</si>
  <si>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</si>
  <si>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</si>
  <si>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</si>
  <si>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</si>
  <si>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</si>
  <si>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</si>
  <si>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</si>
  <si>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</si>
  <si>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</si>
  <si>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</si>
  <si>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</si>
  <si>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</si>
  <si>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</si>
  <si>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</si>
  <si>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</si>
  <si>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</si>
  <si>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</si>
  <si>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</si>
  <si>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</si>
  <si>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</si>
  <si>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</si>
  <si>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</si>
  <si>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</si>
  <si>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</si>
  <si>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</si>
  <si>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</si>
  <si>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</si>
  <si>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</si>
  <si>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</si>
  <si>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</si>
  <si>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</si>
  <si>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</si>
  <si>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</si>
  <si>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</si>
  <si>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</si>
  <si>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</si>
  <si>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</si>
  <si>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</si>
  <si>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</si>
  <si>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</si>
  <si>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</si>
  <si>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</si>
  <si>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</si>
  <si>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</si>
  <si>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</si>
  <si>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</si>
  <si>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</si>
  <si>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</si>
  <si>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</si>
  <si>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</si>
  <si>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</si>
  <si>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</si>
  <si>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</si>
  <si>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</si>
  <si>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</si>
  <si>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</si>
  <si>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</si>
  <si>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</si>
  <si>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</si>
  <si>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</si>
  <si>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</si>
  <si>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</si>
  <si>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</si>
  <si>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</si>
  <si>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</si>
  <si>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</si>
  <si>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</si>
  <si>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</si>
  <si>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</si>
  <si>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</si>
  <si>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</si>
  <si>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</si>
  <si>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</si>
  <si>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</si>
  <si>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</si>
  <si>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</si>
  <si>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</si>
  <si>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</si>
  <si>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</si>
  <si>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</si>
  <si>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</si>
  <si>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</si>
  <si>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</si>
  <si>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</si>
  <si>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</si>
  <si>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</si>
  <si>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</si>
  <si>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</si>
  <si>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</si>
  <si>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</si>
  <si>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</si>
  <si>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</si>
  <si>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</si>
  <si>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</si>
  <si>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</si>
  <si>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</si>
  <si>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</si>
  <si>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</si>
  <si>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</si>
  <si>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</si>
  <si>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</si>
  <si>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</si>
  <si>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</si>
  <si>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</si>
  <si>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</si>
  <si>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</si>
  <si>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</si>
  <si>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</si>
  <si>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</si>
  <si>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</si>
  <si>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</si>
  <si>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</si>
  <si>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</si>
  <si>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</si>
  <si>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</si>
  <si>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</si>
  <si>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</si>
  <si>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</si>
  <si>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</si>
  <si>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</si>
  <si>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</si>
  <si>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</si>
  <si>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</si>
  <si>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</si>
  <si>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</si>
  <si>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</si>
  <si>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</si>
  <si>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</si>
  <si>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</si>
  <si>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</si>
  <si>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</si>
  <si>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</si>
  <si>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</si>
  <si>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</si>
  <si>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</si>
  <si>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</si>
  <si>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</si>
  <si>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</si>
  <si>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</si>
  <si>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</si>
  <si>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</si>
  <si>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</si>
  <si>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</si>
  <si>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</si>
  <si>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</si>
  <si>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</si>
  <si>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</si>
  <si>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</si>
  <si>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</si>
  <si>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</si>
  <si>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</si>
  <si>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</si>
  <si>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</si>
  <si>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</si>
  <si>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</si>
  <si>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</si>
  <si>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</si>
  <si>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</si>
  <si>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</si>
  <si>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</si>
  <si>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</si>
  <si>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</si>
  <si>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</si>
  <si>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</si>
  <si>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</si>
  <si>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</si>
  <si>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</si>
  <si>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</si>
  <si>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</si>
  <si>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</si>
  <si>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</si>
  <si>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</si>
  <si>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</si>
  <si>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</si>
  <si>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</si>
  <si>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</si>
  <si>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</si>
  <si>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</si>
  <si>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</si>
  <si>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</si>
  <si>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</si>
  <si>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</si>
  <si>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</si>
  <si>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</si>
  <si>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</si>
  <si>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</si>
  <si>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</si>
  <si>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</si>
  <si>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</si>
  <si>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</si>
  <si>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</si>
  <si>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</si>
  <si>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</si>
  <si>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</si>
  <si>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</si>
  <si>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</si>
  <si>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</si>
  <si>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</si>
  <si>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</si>
  <si>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</si>
  <si>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</si>
  <si>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</si>
  <si>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</si>
  <si>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</si>
  <si>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</si>
  <si>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</si>
  <si>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</si>
  <si>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</si>
  <si>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</si>
  <si>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</si>
  <si>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</si>
  <si>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</si>
  <si>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</si>
  <si>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</si>
  <si>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</si>
  <si>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</si>
  <si>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</si>
  <si>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</si>
  <si>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</si>
  <si>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</si>
  <si>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</si>
  <si>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</si>
  <si>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</si>
  <si>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</si>
  <si>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</si>
  <si>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</si>
  <si>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</si>
  <si>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</si>
  <si>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</si>
  <si>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</si>
  <si>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</si>
  <si>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</si>
  <si>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</si>
  <si>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</si>
  <si>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</si>
  <si>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</si>
  <si>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</si>
  <si>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</si>
  <si>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</si>
  <si>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</si>
  <si>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</si>
  <si>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</si>
  <si>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</si>
  <si>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</si>
  <si>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</si>
  <si>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</si>
  <si>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</si>
  <si>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</si>
  <si>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</si>
  <si>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</si>
  <si>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</si>
  <si>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</si>
  <si>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</si>
  <si>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</si>
  <si>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</si>
  <si>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</si>
  <si>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</si>
  <si>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</si>
  <si>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</si>
  <si>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</si>
  <si>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</si>
  <si>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</si>
  <si>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</si>
  <si>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</si>
  <si>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</si>
  <si>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</si>
  <si>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</si>
  <si>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</si>
  <si>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</si>
  <si>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</si>
  <si>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</si>
  <si>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</si>
  <si>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</si>
  <si>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</si>
  <si>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</si>
  <si>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</si>
  <si>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</si>
  <si>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</si>
  <si>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</si>
  <si>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</si>
  <si>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</si>
  <si>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</si>
  <si>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</si>
  <si>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</si>
  <si>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</si>
  <si>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</si>
  <si>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</si>
  <si>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</si>
  <si>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</si>
  <si>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</si>
  <si>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</si>
  <si>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</si>
  <si>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</si>
  <si>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</si>
  <si>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</si>
  <si>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</si>
  <si>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</si>
  <si>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</si>
  <si>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</si>
  <si>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</si>
  <si>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</si>
  <si>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</si>
  <si>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</si>
  <si>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</si>
  <si>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</si>
  <si>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</si>
  <si>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</si>
  <si>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</si>
  <si>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</si>
  <si>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</si>
  <si>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</si>
  <si>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</si>
  <si>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</si>
  <si>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</si>
  <si>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</si>
  <si>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</si>
  <si>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</si>
  <si>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</si>
  <si>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</si>
  <si>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</si>
  <si>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</si>
  <si>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</si>
  <si>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</si>
  <si>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</si>
  <si>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</si>
  <si>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</si>
  <si>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</si>
  <si>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</si>
  <si>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</si>
  <si>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</si>
  <si>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</si>
  <si>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</si>
  <si>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</si>
  <si>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</si>
  <si>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</si>
  <si>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</si>
  <si>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</si>
  <si>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</si>
  <si>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</si>
  <si>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</si>
  <si>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</si>
  <si>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</si>
  <si>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</si>
  <si>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</si>
  <si>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</si>
  <si>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</si>
  <si>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</si>
  <si>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</si>
  <si>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</si>
  <si>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</si>
  <si>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</si>
  <si>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</si>
  <si>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</si>
  <si>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</si>
  <si>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</si>
  <si>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</si>
  <si>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</si>
  <si>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</si>
  <si>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</si>
  <si>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</si>
  <si>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</si>
  <si>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</si>
  <si>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</si>
  <si>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</si>
  <si>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</si>
  <si>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</si>
  <si>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</si>
  <si>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</si>
  <si>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</si>
  <si>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</si>
  <si>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</si>
  <si>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</si>
  <si>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</si>
  <si>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</si>
  <si>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</si>
  <si>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</si>
  <si>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</si>
  <si>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</si>
  <si>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</si>
  <si>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</si>
  <si>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</si>
  <si>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</si>
  <si>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</si>
  <si>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</si>
  <si>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</si>
  <si>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</si>
  <si>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</si>
  <si>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</si>
  <si>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</si>
  <si>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</si>
  <si>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</si>
  <si>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</si>
  <si>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</si>
  <si>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</si>
  <si>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</si>
  <si>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</si>
  <si>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</si>
  <si>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</si>
  <si>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</si>
  <si>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</si>
  <si>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</si>
  <si>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</si>
  <si>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</si>
  <si>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</si>
  <si>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</si>
  <si>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</si>
  <si>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</si>
  <si>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</si>
  <si>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</si>
  <si>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</si>
  <si>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</si>
  <si>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</si>
  <si>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</si>
  <si>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</si>
  <si>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</si>
  <si>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</si>
  <si>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</si>
  <si>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</si>
  <si>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</si>
  <si>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</si>
  <si>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</si>
  <si>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</si>
  <si>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</si>
  <si>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</si>
  <si>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</si>
  <si>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</si>
  <si>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</si>
  <si>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</si>
  <si>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</si>
  <si>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</si>
  <si>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</si>
  <si>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</si>
  <si>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</si>
  <si>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</si>
  <si>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</si>
  <si>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</si>
  <si>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</si>
  <si>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</si>
  <si>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</si>
  <si>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</si>
  <si>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</si>
  <si>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</si>
  <si>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</si>
  <si>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</si>
  <si>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</si>
  <si>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</si>
  <si>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</si>
  <si>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</si>
  <si>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</si>
  <si>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</si>
  <si>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</si>
  <si>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</si>
  <si>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</si>
  <si>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</si>
  <si>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</si>
  <si>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</si>
  <si>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</si>
  <si>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</si>
  <si>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</si>
  <si>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</si>
  <si>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</si>
  <si>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</si>
  <si>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</si>
  <si>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</si>
  <si>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</si>
  <si>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</si>
  <si>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</si>
  <si>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</si>
  <si>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</si>
  <si>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</si>
  <si>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</si>
  <si>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</si>
  <si>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</si>
  <si>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</si>
  <si>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</si>
  <si>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</si>
  <si>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</si>
  <si>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</si>
  <si>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</si>
  <si>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</si>
  <si>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</si>
  <si>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</si>
  <si>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</si>
  <si>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</si>
  <si>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</si>
  <si>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</si>
  <si>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</si>
  <si>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</si>
  <si>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</si>
  <si>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</si>
  <si>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</si>
  <si>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</si>
  <si>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</si>
  <si>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</si>
  <si>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</si>
  <si>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</si>
  <si>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</si>
  <si>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</si>
  <si>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</si>
  <si>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</si>
  <si>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</si>
  <si>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</si>
  <si>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</si>
  <si>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</si>
  <si>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</si>
  <si>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</si>
  <si>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</si>
  <si>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</si>
  <si>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</si>
  <si>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</si>
  <si>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</si>
  <si>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</si>
  <si>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</si>
  <si>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</si>
  <si>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</si>
  <si>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</si>
  <si>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</si>
  <si>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</si>
  <si>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</si>
  <si>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</si>
  <si>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</si>
  <si>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</si>
  <si>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</si>
  <si>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</si>
  <si>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</si>
  <si>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</si>
  <si>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</si>
  <si>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</si>
  <si>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</si>
  <si>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</si>
  <si>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</si>
  <si>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</si>
  <si>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</si>
  <si>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</si>
  <si>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</si>
  <si>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</si>
  <si>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</si>
  <si>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</si>
  <si>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</si>
  <si>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</si>
  <si>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</si>
  <si>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</si>
  <si>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</si>
  <si>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</si>
  <si>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</si>
  <si>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</si>
  <si>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</si>
  <si>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</si>
  <si>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</si>
  <si>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</si>
  <si>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</si>
  <si>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</si>
  <si>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</si>
  <si>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</si>
  <si>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</si>
  <si>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</si>
  <si>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</si>
  <si>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</si>
  <si>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</si>
  <si>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</si>
  <si>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</si>
  <si>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</si>
  <si>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</si>
  <si>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</si>
  <si>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</si>
  <si>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</si>
  <si>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</si>
  <si>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</si>
  <si>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</si>
  <si>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</si>
  <si>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</si>
  <si>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</si>
  <si>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</si>
  <si>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</si>
  <si>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</si>
  <si>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</si>
  <si>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</si>
  <si>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</si>
  <si>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</si>
  <si>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</si>
  <si>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</si>
  <si>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</si>
  <si>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</si>
  <si>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</si>
  <si>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</si>
  <si>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</si>
  <si>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</si>
  <si>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</si>
  <si>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</si>
  <si>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</si>
  <si>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</si>
  <si>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</si>
  <si>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</si>
  <si>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</si>
  <si>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</si>
  <si>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</si>
  <si>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</si>
  <si>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</si>
  <si>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</si>
  <si>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</si>
  <si>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</si>
  <si>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</si>
  <si>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</si>
  <si>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</si>
  <si>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</si>
  <si>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</si>
  <si>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</si>
  <si>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</si>
  <si>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</si>
  <si>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</si>
  <si>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</si>
  <si>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</si>
  <si>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</si>
  <si>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</si>
  <si>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</si>
  <si>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</si>
  <si>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</si>
  <si>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</si>
  <si>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</si>
  <si>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</si>
  <si>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</si>
  <si>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</si>
  <si>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</si>
  <si>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</si>
  <si>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</si>
  <si>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</si>
  <si>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</si>
  <si>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</si>
  <si>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</si>
  <si>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</si>
  <si>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</si>
  <si>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</si>
  <si>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</si>
  <si>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</si>
  <si>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</si>
  <si>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</si>
  <si>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</si>
  <si>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</si>
  <si>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</si>
  <si>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</si>
  <si>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</si>
  <si>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</si>
  <si>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</si>
  <si>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</si>
  <si>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</si>
  <si>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</si>
  <si>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</si>
  <si>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</si>
  <si>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</si>
  <si>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</si>
  <si>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</si>
  <si>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</si>
  <si>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</si>
  <si>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</si>
  <si>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</si>
  <si>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</si>
  <si>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</si>
  <si>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</si>
  <si>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</si>
  <si>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</si>
  <si>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</si>
  <si>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</si>
  <si>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</si>
  <si>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</si>
  <si>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</si>
  <si>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</si>
  <si>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</si>
  <si>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</si>
  <si>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</si>
  <si>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</si>
  <si>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</si>
  <si>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</si>
  <si>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</si>
  <si>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</si>
  <si>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</si>
  <si>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</si>
  <si>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</si>
  <si>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</si>
  <si>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</si>
  <si>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</si>
  <si>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</si>
  <si>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</si>
  <si>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</si>
  <si>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</si>
  <si>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</si>
  <si>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</si>
  <si>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</si>
  <si>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</si>
  <si>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</si>
  <si>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</si>
  <si>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</si>
  <si>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</si>
  <si>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</si>
  <si>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</si>
  <si>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</si>
  <si>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</si>
  <si>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</si>
  <si>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</si>
  <si>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</si>
  <si>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</si>
  <si>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</si>
  <si>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</si>
  <si>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</si>
  <si>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</si>
  <si>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</si>
  <si>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</si>
  <si>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</si>
  <si>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</si>
  <si>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</si>
  <si>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</si>
  <si>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</si>
  <si>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</si>
  <si>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</si>
  <si>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</si>
  <si>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</si>
  <si>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</si>
  <si>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</si>
  <si>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</si>
  <si>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</si>
  <si>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</si>
  <si>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</si>
  <si>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</si>
  <si>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</si>
  <si>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</si>
  <si>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</si>
  <si>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</si>
  <si>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</si>
  <si>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</si>
  <si>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</si>
  <si>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</si>
  <si>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</si>
  <si>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</si>
  <si>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</si>
  <si>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</si>
  <si>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</si>
  <si>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</si>
  <si>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</si>
  <si>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</si>
  <si>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</si>
  <si>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</si>
  <si>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</si>
  <si>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</si>
  <si>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</si>
  <si>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</si>
  <si>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</si>
  <si>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</si>
  <si>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</si>
  <si>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</si>
  <si>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</si>
  <si>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</si>
  <si>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</si>
  <si>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</si>
  <si>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</si>
  <si>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</si>
  <si>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</si>
  <si>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</si>
  <si>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</si>
  <si>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</si>
  <si>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</si>
  <si>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</si>
  <si>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</si>
  <si>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</si>
  <si>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</si>
  <si>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</si>
  <si>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</si>
  <si>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</si>
  <si>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</si>
  <si>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</si>
  <si>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</si>
  <si>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</si>
  <si>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</si>
  <si>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</si>
  <si>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</si>
  <si>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</si>
  <si>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</si>
  <si>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</si>
  <si>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</si>
  <si>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</si>
  <si>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</si>
  <si>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</si>
  <si>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</si>
  <si>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</si>
  <si>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</si>
  <si>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</si>
  <si>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</si>
  <si>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</si>
  <si>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</si>
  <si>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</si>
  <si>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</si>
  <si>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</si>
  <si>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</si>
  <si>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</si>
  <si>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</si>
  <si>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</si>
  <si>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</si>
  <si>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</si>
  <si>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</si>
  <si>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</si>
  <si>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</si>
  <si>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</si>
  <si>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</si>
  <si>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</si>
  <si>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</si>
  <si>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</si>
  <si>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</si>
  <si>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</si>
  <si>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</si>
  <si>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</si>
  <si>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</si>
  <si>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</si>
  <si>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</si>
  <si>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</si>
  <si>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</si>
  <si>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</si>
  <si>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</si>
  <si>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</si>
  <si>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</si>
  <si>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</si>
  <si>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</si>
  <si>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</si>
  <si>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</si>
  <si>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</si>
  <si>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</si>
  <si>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</si>
  <si>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</si>
  <si>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</si>
  <si>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</si>
  <si>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</si>
  <si>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</si>
  <si>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</si>
  <si>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</si>
  <si>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</si>
  <si>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</si>
  <si>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</si>
  <si>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</si>
  <si>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</si>
  <si>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</si>
  <si>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</si>
  <si>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</si>
  <si>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</si>
  <si>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</si>
  <si>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</si>
  <si>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</si>
  <si>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</si>
  <si>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</si>
  <si>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</si>
  <si>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</si>
  <si>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</si>
  <si>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</si>
  <si>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</si>
  <si>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</si>
  <si>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</si>
  <si>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</si>
  <si>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</si>
  <si>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</si>
  <si>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</si>
  <si>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</si>
  <si>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</si>
  <si>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</si>
  <si>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</si>
  <si>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</si>
  <si>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</si>
  <si>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</si>
  <si>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</si>
  <si>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</si>
  <si>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</si>
  <si>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</si>
  <si>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</si>
  <si>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</si>
  <si>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</si>
  <si>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</si>
  <si>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</si>
  <si>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</si>
  <si>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</si>
  <si>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</si>
  <si>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</si>
  <si>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</si>
  <si>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</si>
  <si>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</si>
  <si>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</si>
  <si>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</si>
  <si>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</si>
  <si>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</si>
  <si>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</si>
  <si>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</si>
  <si>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</si>
  <si>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</si>
  <si>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</si>
  <si>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</si>
  <si>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</si>
  <si>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</si>
  <si>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</si>
  <si>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</si>
  <si>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</si>
  <si>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</si>
  <si>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</si>
  <si>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</si>
  <si>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</si>
  <si>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</si>
  <si>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</si>
  <si>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</si>
  <si>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</si>
  <si>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</si>
  <si>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</si>
  <si>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</si>
  <si>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</si>
  <si>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</si>
  <si>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</si>
  <si>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</si>
  <si>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</si>
  <si>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</si>
  <si>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</si>
  <si>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</si>
  <si>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</si>
  <si>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</si>
  <si>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</si>
  <si>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</si>
  <si>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</si>
  <si>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</si>
  <si>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</si>
  <si>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</si>
  <si>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</si>
  <si>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</si>
  <si>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</si>
  <si>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</si>
  <si>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</si>
  <si>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</si>
  <si>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</si>
  <si>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</si>
  <si>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</si>
  <si>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</si>
  <si>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</si>
  <si>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</si>
  <si>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</si>
  <si>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</si>
  <si>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</si>
  <si>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</si>
  <si>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</si>
  <si>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</si>
  <si>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</si>
  <si>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</si>
  <si>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</si>
  <si>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</si>
  <si>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</si>
  <si>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</si>
  <si>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</si>
  <si>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</si>
  <si>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</si>
  <si>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</si>
  <si>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</si>
  <si>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</si>
  <si>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</si>
  <si>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</si>
  <si>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</si>
  <si>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</si>
  <si>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</si>
  <si>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</si>
  <si>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</si>
  <si>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</si>
  <si>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</si>
  <si>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</si>
  <si>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</si>
  <si>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</si>
  <si>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</si>
  <si>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</si>
  <si>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</si>
  <si>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</si>
  <si>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</si>
  <si>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</si>
  <si>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</si>
  <si>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</si>
  <si>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</si>
  <si>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</si>
  <si>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</si>
  <si>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</si>
  <si>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</si>
  <si>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</si>
  <si>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</si>
  <si>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</si>
  <si>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</si>
  <si>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</si>
  <si>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</si>
  <si>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</si>
  <si>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</si>
  <si>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</si>
  <si>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</si>
  <si>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</si>
  <si>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</si>
  <si>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</si>
  <si>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</si>
  <si>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</si>
  <si>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</si>
  <si>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</si>
  <si>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</si>
  <si>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</si>
  <si>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</si>
  <si>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</si>
  <si>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</si>
  <si>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</si>
  <si>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</si>
  <si>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</si>
  <si>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</si>
  <si>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</si>
  <si>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</si>
  <si>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</si>
  <si>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</si>
  <si>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</si>
  <si>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</si>
  <si>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</si>
  <si>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</si>
  <si>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</si>
  <si>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</si>
  <si>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</si>
  <si>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</si>
  <si>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</si>
  <si>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</si>
  <si>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</si>
  <si>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</si>
  <si>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</si>
  <si>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</si>
  <si>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</si>
  <si>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</si>
  <si>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</si>
  <si>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</si>
  <si>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</si>
  <si>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</si>
  <si>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</si>
  <si>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</si>
  <si>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</si>
  <si>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</si>
  <si>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</si>
  <si>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</si>
  <si>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</si>
  <si>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</si>
  <si>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</si>
  <si>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</si>
  <si>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</si>
  <si>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</si>
  <si>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</si>
  <si>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</si>
  <si>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</si>
  <si>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</si>
  <si>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</si>
  <si>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</si>
  <si>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</si>
  <si>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</si>
  <si>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</si>
  <si>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</si>
  <si>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</si>
  <si>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</si>
  <si>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</si>
  <si>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</si>
  <si>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</si>
  <si>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</si>
  <si>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</si>
  <si>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</si>
  <si>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</si>
  <si>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</si>
  <si>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</si>
  <si>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</si>
  <si>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</si>
  <si>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</si>
  <si>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</si>
  <si>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</si>
  <si>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</si>
  <si>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</si>
  <si>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</si>
  <si>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</si>
  <si>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</si>
  <si>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</si>
  <si>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</si>
  <si>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</si>
  <si>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</si>
  <si>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</si>
  <si>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</si>
  <si>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</si>
  <si>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</si>
  <si>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</si>
  <si>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</si>
  <si>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</si>
  <si>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</si>
  <si>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</si>
  <si>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</si>
  <si>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</si>
  <si>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</si>
  <si>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</si>
  <si>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</si>
  <si>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</si>
  <si>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</si>
  <si>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</si>
  <si>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</si>
  <si>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</si>
  <si>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</si>
  <si>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</si>
  <si>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</si>
  <si>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</si>
  <si>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</si>
  <si>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</si>
  <si>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</si>
  <si>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</si>
  <si>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</si>
  <si>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</si>
  <si>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</si>
  <si>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</si>
  <si>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</si>
  <si>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</si>
  <si>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</si>
  <si>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</si>
  <si>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</si>
  <si>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</si>
  <si>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</si>
  <si>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</si>
  <si>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</si>
  <si>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</si>
  <si>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</si>
  <si>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</si>
  <si>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</si>
  <si>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</si>
  <si>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</si>
  <si>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</si>
  <si>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</si>
  <si>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</si>
  <si>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</si>
  <si>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</si>
  <si>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</si>
  <si>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</si>
  <si>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</si>
  <si>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</si>
  <si>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</si>
  <si>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</si>
  <si>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</si>
  <si>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</si>
  <si>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</si>
  <si>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</si>
  <si>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</si>
  <si>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</si>
  <si>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</si>
  <si>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</si>
  <si>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</si>
  <si>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</si>
  <si>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</si>
  <si>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</si>
  <si>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</si>
  <si>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</si>
  <si>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</si>
  <si>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</si>
  <si>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</si>
  <si>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</si>
  <si>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</si>
  <si>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</si>
  <si>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</si>
  <si>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</si>
  <si>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</si>
  <si>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</si>
  <si>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</si>
  <si>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</si>
  <si>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</si>
  <si>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</si>
  <si>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</si>
  <si>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</si>
  <si>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</si>
  <si>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</si>
  <si>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</si>
  <si>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</si>
  <si>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</si>
  <si>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</si>
  <si>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</si>
  <si>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</si>
  <si>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(blank)</t>
  </si>
  <si>
    <t>Grand Total</t>
  </si>
  <si>
    <t>Row Labels</t>
  </si>
  <si>
    <t>Count of outcomes</t>
  </si>
  <si>
    <t>(All)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</si>
  <si>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</si>
  <si>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</si>
  <si>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</si>
  <si>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</si>
  <si>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</si>
  <si>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</si>
  <si>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</si>
  <si>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</si>
  <si>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</si>
  <si>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</si>
  <si>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</si>
  <si>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</si>
  <si>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</si>
  <si>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</si>
  <si>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Name</t>
  </si>
  <si>
    <t>Goal</t>
  </si>
  <si>
    <t>Pledged</t>
  </si>
  <si>
    <t>Blurb</t>
  </si>
  <si>
    <t>Number of Backers</t>
  </si>
  <si>
    <t>Successful</t>
  </si>
  <si>
    <t>Failed</t>
  </si>
  <si>
    <t>Mean Goal</t>
  </si>
  <si>
    <t>Median Goal</t>
  </si>
  <si>
    <t>Mean Pledged</t>
  </si>
  <si>
    <t xml:space="preserve">Median Pledged </t>
  </si>
  <si>
    <t>Standard Deviation of Goal</t>
  </si>
  <si>
    <t>Upper Quartile of Goal</t>
  </si>
  <si>
    <t>Lower Quartile of Goal</t>
  </si>
  <si>
    <t>GR of Goal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</si>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</sst>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  <font>
      <b/>
      <sz val="11"/>
      <color rgb="FF2B2B2B"/>
      <name val="Calibri"/>
      <family val="2"/>
      <scheme val="minor"/>
    </font>
    <font>
      <sz val="16"/>
      <color rgb="FFA5030B"/>
      <name val="Monaco"/>
      <family val="2"/>
    </font>
    <font>
      <sz val="11"/>
      <color rgb="FF464646"/>
      <name val="Calibri"/>
      <family val="2"/>
      <scheme val="minor"/>
    </font>
    <font>
      <sz val="11"/>
      <color rgb="FFA5030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3" fillId="0" borderId="0" xfId="0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4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/>
    <xf numFmtId="0" fontId="5" fillId="0" borderId="0" xfId="0" applyFont="1"/>
    <xf numFmtId="42" fontId="0" fillId="0" borderId="0" xfId="0" applyNumberFormat="1"/>
    <xf numFmtId="42" fontId="6" fillId="0" borderId="0" xfId="0" applyNumberFormat="1" applyFont="1"/>
    <xf numFmtId="42" fontId="0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3A-774E-9693-BB9B9328595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C8-F74E-AD4B-DFB43BAA829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C8-F74E-AD4B-DFB43BAA829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C8-F74E-AD4B-DFB43BAA8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550817919"/>
        <c:axId val="1550379695"/>
      </c:barChart>
      <c:catAx>
        <c:axId val="15508179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379695"/>
        <c:crosses val="autoZero"/>
        <c:auto val="1"/>
        <c:lblAlgn val="ctr"/>
        <c:lblOffset val="100"/>
        <c:noMultiLvlLbl val="0"/>
      </c:catAx>
      <c:valAx>
        <c:axId val="1550379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81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01-CB49-AABC-BFC1E27CA67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3B-214B-9E82-28BBEB007C9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3B-214B-9E82-28BBEB007C97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3B-214B-9E82-28BBEB007C97}"/>
            </c:ext>
          </c:extLst>
        </c:ser>
        <c:ser>
          <c:idx val="4"/>
          <c:order val="4"/>
          <c:tx>
            <c:strRef>
              <c:f>'Subcategory Statistics'!$F$4:$F$5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503B-214B-9E82-28BBEB007C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522071647"/>
        <c:axId val="1521885279"/>
      </c:barChart>
      <c:catAx>
        <c:axId val="15220716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1885279"/>
        <c:crosses val="autoZero"/>
        <c:auto val="1"/>
        <c:lblAlgn val="ctr"/>
        <c:lblOffset val="100"/>
        <c:noMultiLvlLbl val="0"/>
      </c:catAx>
      <c:valAx>
        <c:axId val="1521885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071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7">
                  <c:v>2</c:v>
                </c:pt>
                <c:pt idx="8">
                  <c:v>3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E6-C64E-8B37-1DDA36481DE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18</c:v>
                </c:pt>
                <c:pt idx="1">
                  <c:v>32</c:v>
                </c:pt>
                <c:pt idx="2">
                  <c:v>22</c:v>
                </c:pt>
                <c:pt idx="3">
                  <c:v>28</c:v>
                </c:pt>
                <c:pt idx="4">
                  <c:v>29</c:v>
                </c:pt>
                <c:pt idx="5">
                  <c:v>36</c:v>
                </c:pt>
                <c:pt idx="6">
                  <c:v>38</c:v>
                </c:pt>
                <c:pt idx="7">
                  <c:v>38</c:v>
                </c:pt>
                <c:pt idx="8">
                  <c:v>28</c:v>
                </c:pt>
                <c:pt idx="9">
                  <c:v>36</c:v>
                </c:pt>
                <c:pt idx="10">
                  <c:v>17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54-C54E-B9A3-E7FB2761005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54-C54E-B9A3-E7FB2761005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38</c:v>
                </c:pt>
                <c:pt idx="1">
                  <c:v>45</c:v>
                </c:pt>
                <c:pt idx="2">
                  <c:v>32</c:v>
                </c:pt>
                <c:pt idx="3">
                  <c:v>39</c:v>
                </c:pt>
                <c:pt idx="4">
                  <c:v>65</c:v>
                </c:pt>
                <c:pt idx="5">
                  <c:v>59</c:v>
                </c:pt>
                <c:pt idx="6">
                  <c:v>55</c:v>
                </c:pt>
                <c:pt idx="7">
                  <c:v>50</c:v>
                </c:pt>
                <c:pt idx="8">
                  <c:v>41</c:v>
                </c:pt>
                <c:pt idx="9">
                  <c:v>44</c:v>
                </c:pt>
                <c:pt idx="10">
                  <c:v>30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54-C54E-B9A3-E7FB27610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3986352"/>
        <c:axId val="743988592"/>
      </c:lineChart>
      <c:catAx>
        <c:axId val="74398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988592"/>
        <c:crosses val="autoZero"/>
        <c:auto val="1"/>
        <c:lblAlgn val="ctr"/>
        <c:lblOffset val="100"/>
        <c:noMultiLvlLbl val="0"/>
      </c:catAx>
      <c:valAx>
        <c:axId val="74398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98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[Kickstarter_Challenge1.xlsx]Theater Outcomes by Launch Date!Theater_Outcomes_vs_Launch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vs Launch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BE-C344-8DF7-65C008E1B8F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BE-C344-8DF7-65C008E1B8F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BE-C344-8DF7-65C008E1B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6056032"/>
        <c:axId val="347796656"/>
      </c:lineChart>
      <c:catAx>
        <c:axId val="346056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796656"/>
        <c:crosses val="autoZero"/>
        <c:auto val="1"/>
        <c:lblAlgn val="ctr"/>
        <c:lblOffset val="100"/>
        <c:noMultiLvlLbl val="0"/>
      </c:catAx>
      <c:valAx>
        <c:axId val="34779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05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Outsomes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44-894D-AC15-1DA2B7D27036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544-894D-AC15-1DA2B7D27036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544-894D-AC15-1DA2B7D27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6997424"/>
        <c:axId val="369883856"/>
      </c:lineChart>
      <c:catAx>
        <c:axId val="376997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883856"/>
        <c:crosses val="autoZero"/>
        <c:auto val="1"/>
        <c:lblAlgn val="ctr"/>
        <c:lblOffset val="100"/>
        <c:noMultiLvlLbl val="0"/>
      </c:catAx>
      <c:valAx>
        <c:axId val="369883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99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203200</xdr:colOff>
      <xdr:row>16</xdr:row>
      <xdr:rowOff>12700</xdr:rowOff>
    </xdr:from>
    <xdr:to>
      <xdr:col>9</xdr:col>
      <xdr:colOff>584200</xdr:colOff>
      <xdr:row>39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0A5B4E-B21B-2D40-8559-85AB201F1C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819150</xdr:colOff>
      <xdr:row>31</xdr:row>
      <xdr:rowOff>50800</xdr:rowOff>
    </xdr:from>
    <xdr:to>
      <xdr:col>18</xdr:col>
      <xdr:colOff>431800</xdr:colOff>
      <xdr:row>60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5F53DF-B908-7146-B0F9-1E96650495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3</xdr:row>
      <xdr:rowOff>12700</xdr:rowOff>
    </xdr:from>
    <xdr:to>
      <xdr:col>11</xdr:col>
      <xdr:colOff>190500</xdr:colOff>
      <xdr:row>17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CE50B6-BC84-014C-87E8-71FC9EA12E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3</xdr:row>
      <xdr:rowOff>0</xdr:rowOff>
    </xdr:from>
    <xdr:to>
      <xdr:col>12</xdr:col>
      <xdr:colOff>635000</xdr:colOff>
      <xdr:row>22</xdr:row>
      <xdr:rowOff>69850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EDC0D3-ED08-0140-9518-AEEBD7F078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1066800</xdr:colOff>
      <xdr:row>14</xdr:row>
      <xdr:rowOff>95250</xdr:rowOff>
    </xdr:from>
    <xdr:to>
      <xdr:col>10</xdr:col>
      <xdr:colOff>812800</xdr:colOff>
      <xdr:row>37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F3F07F-99B8-BB4A-A5C8-7605A38445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data-1-1-3-StarterBook%202:12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y Nichols" refreshedDate="44604.415370601855" createdVersion="7" refreshedVersion="7" minRefreshableVersion="3" recordCount="4115" xr:uid="{3FEAE305-0C9A-534D-B72E-64D2AEF40E99}">
  <cacheSource type="worksheet">
    <worksheetSource ref="A1:R4116" sheet="Sheet1" r:id="rId2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y Nichols" refreshedDate="44604.598696180554" createdVersion="7" refreshedVersion="7" minRefreshableVersion="3" recordCount="4115" xr:uid="{C1B0D176-BC48-754C-BF74-AD48299BC130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y Nichols" refreshedDate="44604.622002314813" createdVersion="7" refreshedVersion="7" minRefreshableVersion="3" recordCount="4116" xr:uid="{3F068340-B64A-9D42-863C-3BDE48036C1F}">
  <cacheSource type="worksheet">
    <worksheetSource ref="A1:T4117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y Nichols" refreshedDate="44610.562649768515" createdVersion="7" refreshedVersion="7" minRefreshableVersion="3" recordCount="4116" xr:uid="{E1DCDD8E-4CC4-6C4E-9F77-9FA5000DA709}">
  <cacheSource type="worksheet">
    <worksheetSource ref="A1:U4117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2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Years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  <r>
    <m/>
    <m/>
    <m/>
    <m/>
    <m/>
    <x v="4"/>
    <x v="21"/>
    <m/>
    <m/>
    <m/>
    <m/>
    <m/>
    <m/>
    <m/>
    <m/>
    <n v="0"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x v="21"/>
    <m/>
    <m/>
    <m/>
    <m/>
    <m/>
    <m/>
    <m/>
    <m/>
    <n v="0"/>
    <x v="9"/>
    <m/>
    <x v="4114"/>
    <d v="1970-01-01T00:00:00"/>
  </r>
  <r>
    <m/>
    <m/>
    <m/>
    <m/>
    <m/>
    <x v="4"/>
    <x v="21"/>
    <m/>
    <m/>
    <m/>
    <m/>
    <m/>
    <m/>
    <m/>
    <m/>
    <m/>
    <x v="9"/>
    <m/>
    <x v="4114"/>
    <d v="1970-01-01T00:00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x v="445"/>
    <m/>
    <x v="4"/>
    <m/>
    <m/>
    <m/>
    <m/>
    <m/>
    <m/>
    <m/>
    <m/>
    <m/>
    <n v="0"/>
    <x v="9"/>
    <m/>
    <x v="4114"/>
    <d v="1970-01-01T00:00:00"/>
    <x v="9"/>
  </r>
  <r>
    <m/>
    <m/>
    <m/>
    <x v="445"/>
    <m/>
    <x v="4"/>
    <m/>
    <m/>
    <m/>
    <m/>
    <m/>
    <m/>
    <m/>
    <m/>
    <m/>
    <m/>
    <x v="9"/>
    <m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59E62E-2429-494B-8A11-B7F41D909DB3}" name="PivotTable1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C1DB7E-3B41-384C-B256-D2B87A40C003}" name="PivotTable3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1DB04F-08E8-2F4F-8E34-C261B0244100}" name="PivotTable4" cacheId="2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047654-CEC8-BD41-A562-5EBEA54D28C3}" name="Theater_Outcomes_vs_Launch" cacheId="3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Theater_Outcomes_vs_Launch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B5D63-3F89-0B43-BB2F-A1A57EDC4A77}">
  <dimension ref="A1:F6"/>
  <sheetViews>
    <sheetView workbookViewId="0">
      <selection activeCell="K18" sqref="K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8364</v>
      </c>
      <c r="B3" s="12" t="s">
        <v>8360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8362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24D3B-13C0-AC47-915A-38201157DE45}">
  <dimension ref="A1:G48"/>
  <sheetViews>
    <sheetView workbookViewId="0">
      <selection activeCell="O15" sqref="O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2" t="s">
        <v>8358</v>
      </c>
      <c r="B1" t="s">
        <v>8365</v>
      </c>
    </row>
    <row r="2" spans="1:7" x14ac:dyDescent="0.2">
      <c r="A2" s="12" t="s">
        <v>8222</v>
      </c>
      <c r="B2" t="s">
        <v>8365</v>
      </c>
    </row>
    <row r="4" spans="1:7" x14ac:dyDescent="0.2">
      <c r="A4" s="12" t="s">
        <v>8364</v>
      </c>
      <c r="B4" s="12" t="s">
        <v>8360</v>
      </c>
    </row>
    <row r="5" spans="1:7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  <c r="G5" t="s">
        <v>8362</v>
      </c>
    </row>
    <row r="6" spans="1:7" x14ac:dyDescent="0.2">
      <c r="A6" s="13" t="s">
        <v>8314</v>
      </c>
      <c r="B6" s="14"/>
      <c r="C6" s="14">
        <v>100</v>
      </c>
      <c r="D6" s="14"/>
      <c r="E6" s="14"/>
      <c r="F6" s="14"/>
      <c r="G6" s="14">
        <v>100</v>
      </c>
    </row>
    <row r="7" spans="1:7" x14ac:dyDescent="0.2">
      <c r="A7" s="13" t="s">
        <v>8342</v>
      </c>
      <c r="B7" s="14">
        <v>20</v>
      </c>
      <c r="C7" s="14"/>
      <c r="D7" s="14"/>
      <c r="E7" s="14"/>
      <c r="F7" s="14"/>
      <c r="G7" s="14">
        <v>20</v>
      </c>
    </row>
    <row r="8" spans="1:7" x14ac:dyDescent="0.2">
      <c r="A8" s="13" t="s">
        <v>8330</v>
      </c>
      <c r="B8" s="14">
        <v>24</v>
      </c>
      <c r="C8" s="14"/>
      <c r="D8" s="14"/>
      <c r="E8" s="14"/>
      <c r="F8" s="14"/>
      <c r="G8" s="14">
        <v>24</v>
      </c>
    </row>
    <row r="9" spans="1:7" x14ac:dyDescent="0.2">
      <c r="A9" s="13" t="s">
        <v>8356</v>
      </c>
      <c r="B9" s="14"/>
      <c r="C9" s="14">
        <v>40</v>
      </c>
      <c r="D9" s="14"/>
      <c r="E9" s="14"/>
      <c r="F9" s="14"/>
      <c r="G9" s="14">
        <v>40</v>
      </c>
    </row>
    <row r="10" spans="1:7" x14ac:dyDescent="0.2">
      <c r="A10" s="13" t="s">
        <v>8352</v>
      </c>
      <c r="B10" s="14"/>
      <c r="C10" s="14"/>
      <c r="D10" s="14"/>
      <c r="E10" s="14">
        <v>40</v>
      </c>
      <c r="F10" s="14"/>
      <c r="G10" s="14">
        <v>40</v>
      </c>
    </row>
    <row r="11" spans="1:7" x14ac:dyDescent="0.2">
      <c r="A11" s="13" t="s">
        <v>8313</v>
      </c>
      <c r="B11" s="14"/>
      <c r="C11" s="14"/>
      <c r="D11" s="14"/>
      <c r="E11" s="14">
        <v>180</v>
      </c>
      <c r="F11" s="14"/>
      <c r="G11" s="14">
        <v>180</v>
      </c>
    </row>
    <row r="12" spans="1:7" x14ac:dyDescent="0.2">
      <c r="A12" s="13" t="s">
        <v>8312</v>
      </c>
      <c r="B12" s="14"/>
      <c r="C12" s="14">
        <v>80</v>
      </c>
      <c r="D12" s="14"/>
      <c r="E12" s="14"/>
      <c r="F12" s="14"/>
      <c r="G12" s="14">
        <v>80</v>
      </c>
    </row>
    <row r="13" spans="1:7" x14ac:dyDescent="0.2">
      <c r="A13" s="13" t="s">
        <v>8328</v>
      </c>
      <c r="B13" s="14"/>
      <c r="C13" s="14"/>
      <c r="D13" s="14"/>
      <c r="E13" s="14">
        <v>40</v>
      </c>
      <c r="F13" s="14"/>
      <c r="G13" s="14">
        <v>40</v>
      </c>
    </row>
    <row r="14" spans="1:7" x14ac:dyDescent="0.2">
      <c r="A14" s="13" t="s">
        <v>8345</v>
      </c>
      <c r="B14" s="14"/>
      <c r="C14" s="14">
        <v>40</v>
      </c>
      <c r="D14" s="14">
        <v>20</v>
      </c>
      <c r="E14" s="14"/>
      <c r="F14" s="14"/>
      <c r="G14" s="14">
        <v>60</v>
      </c>
    </row>
    <row r="15" spans="1:7" x14ac:dyDescent="0.2">
      <c r="A15" s="13" t="s">
        <v>8322</v>
      </c>
      <c r="B15" s="14"/>
      <c r="C15" s="14">
        <v>40</v>
      </c>
      <c r="D15" s="14"/>
      <c r="E15" s="14"/>
      <c r="F15" s="14"/>
      <c r="G15" s="14">
        <v>40</v>
      </c>
    </row>
    <row r="16" spans="1:7" x14ac:dyDescent="0.2">
      <c r="A16" s="13" t="s">
        <v>8335</v>
      </c>
      <c r="B16" s="14">
        <v>20</v>
      </c>
      <c r="C16" s="14">
        <v>120</v>
      </c>
      <c r="D16" s="14"/>
      <c r="E16" s="14"/>
      <c r="F16" s="14"/>
      <c r="G16" s="14">
        <v>140</v>
      </c>
    </row>
    <row r="17" spans="1:7" x14ac:dyDescent="0.2">
      <c r="A17" s="13" t="s">
        <v>8346</v>
      </c>
      <c r="B17" s="14"/>
      <c r="C17" s="14">
        <v>20</v>
      </c>
      <c r="D17" s="14"/>
      <c r="E17" s="14"/>
      <c r="F17" s="14"/>
      <c r="G17" s="14">
        <v>20</v>
      </c>
    </row>
    <row r="18" spans="1:7" x14ac:dyDescent="0.2">
      <c r="A18" s="13" t="s">
        <v>8347</v>
      </c>
      <c r="B18" s="14"/>
      <c r="C18" s="14"/>
      <c r="D18" s="14"/>
      <c r="E18" s="14">
        <v>140</v>
      </c>
      <c r="F18" s="14"/>
      <c r="G18" s="14">
        <v>140</v>
      </c>
    </row>
    <row r="19" spans="1:7" x14ac:dyDescent="0.2">
      <c r="A19" s="13" t="s">
        <v>8327</v>
      </c>
      <c r="B19" s="14"/>
      <c r="C19" s="14">
        <v>20</v>
      </c>
      <c r="D19" s="14"/>
      <c r="E19" s="14">
        <v>140</v>
      </c>
      <c r="F19" s="14"/>
      <c r="G19" s="14">
        <v>160</v>
      </c>
    </row>
    <row r="20" spans="1:7" x14ac:dyDescent="0.2">
      <c r="A20" s="13" t="s">
        <v>8326</v>
      </c>
      <c r="B20" s="14"/>
      <c r="C20" s="14">
        <v>60</v>
      </c>
      <c r="D20" s="14"/>
      <c r="E20" s="14"/>
      <c r="F20" s="14"/>
      <c r="G20" s="14">
        <v>60</v>
      </c>
    </row>
    <row r="21" spans="1:7" x14ac:dyDescent="0.2">
      <c r="A21" s="13" t="s">
        <v>8354</v>
      </c>
      <c r="B21" s="14"/>
      <c r="C21" s="14">
        <v>11</v>
      </c>
      <c r="D21" s="14"/>
      <c r="E21" s="14">
        <v>9</v>
      </c>
      <c r="F21" s="14"/>
      <c r="G21" s="14">
        <v>20</v>
      </c>
    </row>
    <row r="22" spans="1:7" x14ac:dyDescent="0.2">
      <c r="A22" s="13" t="s">
        <v>8325</v>
      </c>
      <c r="B22" s="14"/>
      <c r="C22" s="14"/>
      <c r="D22" s="14"/>
      <c r="E22" s="14">
        <v>20</v>
      </c>
      <c r="F22" s="14"/>
      <c r="G22" s="14">
        <v>20</v>
      </c>
    </row>
    <row r="23" spans="1:7" x14ac:dyDescent="0.2">
      <c r="A23" s="13" t="s">
        <v>8333</v>
      </c>
      <c r="B23" s="14"/>
      <c r="C23" s="14">
        <v>40</v>
      </c>
      <c r="D23" s="14"/>
      <c r="E23" s="14"/>
      <c r="F23" s="14"/>
      <c r="G23" s="14">
        <v>40</v>
      </c>
    </row>
    <row r="24" spans="1:7" x14ac:dyDescent="0.2">
      <c r="A24" s="13" t="s">
        <v>8357</v>
      </c>
      <c r="B24" s="14">
        <v>20</v>
      </c>
      <c r="C24" s="14">
        <v>60</v>
      </c>
      <c r="D24" s="14"/>
      <c r="E24" s="14">
        <v>60</v>
      </c>
      <c r="F24" s="14"/>
      <c r="G24" s="14">
        <v>140</v>
      </c>
    </row>
    <row r="25" spans="1:7" x14ac:dyDescent="0.2">
      <c r="A25" s="13" t="s">
        <v>8341</v>
      </c>
      <c r="B25" s="14"/>
      <c r="C25" s="14">
        <v>20</v>
      </c>
      <c r="D25" s="14"/>
      <c r="E25" s="14"/>
      <c r="F25" s="14"/>
      <c r="G25" s="14">
        <v>20</v>
      </c>
    </row>
    <row r="26" spans="1:7" x14ac:dyDescent="0.2">
      <c r="A26" s="13" t="s">
        <v>8321</v>
      </c>
      <c r="B26" s="14"/>
      <c r="C26" s="14"/>
      <c r="D26" s="14"/>
      <c r="E26" s="14">
        <v>60</v>
      </c>
      <c r="F26" s="14"/>
      <c r="G26" s="14">
        <v>60</v>
      </c>
    </row>
    <row r="27" spans="1:7" x14ac:dyDescent="0.2">
      <c r="A27" s="13" t="s">
        <v>8348</v>
      </c>
      <c r="B27" s="14"/>
      <c r="C27" s="14">
        <v>20</v>
      </c>
      <c r="D27" s="14"/>
      <c r="E27" s="14"/>
      <c r="F27" s="14"/>
      <c r="G27" s="14">
        <v>20</v>
      </c>
    </row>
    <row r="28" spans="1:7" x14ac:dyDescent="0.2">
      <c r="A28" s="13" t="s">
        <v>8337</v>
      </c>
      <c r="B28" s="14"/>
      <c r="C28" s="14">
        <v>57</v>
      </c>
      <c r="D28" s="14"/>
      <c r="E28" s="14">
        <v>103</v>
      </c>
      <c r="F28" s="14"/>
      <c r="G28" s="14">
        <v>160</v>
      </c>
    </row>
    <row r="29" spans="1:7" x14ac:dyDescent="0.2">
      <c r="A29" s="13" t="s">
        <v>8343</v>
      </c>
      <c r="B29" s="14"/>
      <c r="C29" s="14">
        <v>20</v>
      </c>
      <c r="D29" s="14"/>
      <c r="E29" s="14"/>
      <c r="F29" s="14"/>
      <c r="G29" s="14">
        <v>20</v>
      </c>
    </row>
    <row r="30" spans="1:7" x14ac:dyDescent="0.2">
      <c r="A30" s="13" t="s">
        <v>8316</v>
      </c>
      <c r="B30" s="14"/>
      <c r="C30" s="14">
        <v>353</v>
      </c>
      <c r="D30" s="14">
        <v>19</v>
      </c>
      <c r="E30" s="14">
        <v>694</v>
      </c>
      <c r="F30" s="14"/>
      <c r="G30" s="14">
        <v>1066</v>
      </c>
    </row>
    <row r="31" spans="1:7" x14ac:dyDescent="0.2">
      <c r="A31" s="13" t="s">
        <v>8344</v>
      </c>
      <c r="B31" s="14"/>
      <c r="C31" s="14"/>
      <c r="D31" s="14"/>
      <c r="E31" s="14">
        <v>40</v>
      </c>
      <c r="F31" s="14"/>
      <c r="G31" s="14">
        <v>40</v>
      </c>
    </row>
    <row r="32" spans="1:7" x14ac:dyDescent="0.2">
      <c r="A32" s="13" t="s">
        <v>8340</v>
      </c>
      <c r="B32" s="14"/>
      <c r="C32" s="14"/>
      <c r="D32" s="14"/>
      <c r="E32" s="14">
        <v>20</v>
      </c>
      <c r="F32" s="14"/>
      <c r="G32" s="14">
        <v>20</v>
      </c>
    </row>
    <row r="33" spans="1:7" x14ac:dyDescent="0.2">
      <c r="A33" s="13" t="s">
        <v>8351</v>
      </c>
      <c r="B33" s="14"/>
      <c r="C33" s="14">
        <v>20</v>
      </c>
      <c r="D33" s="14"/>
      <c r="E33" s="14"/>
      <c r="F33" s="14"/>
      <c r="G33" s="14">
        <v>20</v>
      </c>
    </row>
    <row r="34" spans="1:7" x14ac:dyDescent="0.2">
      <c r="A34" s="13" t="s">
        <v>8324</v>
      </c>
      <c r="B34" s="14"/>
      <c r="C34" s="14"/>
      <c r="D34" s="14"/>
      <c r="E34" s="14">
        <v>260</v>
      </c>
      <c r="F34" s="14"/>
      <c r="G34" s="14">
        <v>260</v>
      </c>
    </row>
    <row r="35" spans="1:7" x14ac:dyDescent="0.2">
      <c r="A35" s="13" t="s">
        <v>8311</v>
      </c>
      <c r="B35" s="14">
        <v>40</v>
      </c>
      <c r="C35" s="14"/>
      <c r="D35" s="14"/>
      <c r="E35" s="14"/>
      <c r="F35" s="14"/>
      <c r="G35" s="14">
        <v>40</v>
      </c>
    </row>
    <row r="36" spans="1:7" x14ac:dyDescent="0.2">
      <c r="A36" s="13" t="s">
        <v>8310</v>
      </c>
      <c r="B36" s="14"/>
      <c r="C36" s="14"/>
      <c r="D36" s="14"/>
      <c r="E36" s="14">
        <v>60</v>
      </c>
      <c r="F36" s="14"/>
      <c r="G36" s="14">
        <v>60</v>
      </c>
    </row>
    <row r="37" spans="1:7" x14ac:dyDescent="0.2">
      <c r="A37" s="13" t="s">
        <v>8350</v>
      </c>
      <c r="B37" s="14"/>
      <c r="C37" s="14"/>
      <c r="D37" s="14">
        <v>6</v>
      </c>
      <c r="E37" s="14">
        <v>34</v>
      </c>
      <c r="F37" s="14"/>
      <c r="G37" s="14">
        <v>40</v>
      </c>
    </row>
    <row r="38" spans="1:7" x14ac:dyDescent="0.2">
      <c r="A38" s="13" t="s">
        <v>8353</v>
      </c>
      <c r="B38" s="14">
        <v>18</v>
      </c>
      <c r="C38" s="14">
        <v>2</v>
      </c>
      <c r="D38" s="14"/>
      <c r="E38" s="14">
        <v>40</v>
      </c>
      <c r="F38" s="14"/>
      <c r="G38" s="14">
        <v>60</v>
      </c>
    </row>
    <row r="39" spans="1:7" x14ac:dyDescent="0.2">
      <c r="A39" s="13" t="s">
        <v>8355</v>
      </c>
      <c r="B39" s="14">
        <v>17</v>
      </c>
      <c r="C39" s="14">
        <v>80</v>
      </c>
      <c r="D39" s="14">
        <v>5</v>
      </c>
      <c r="E39" s="14">
        <v>85</v>
      </c>
      <c r="F39" s="14"/>
      <c r="G39" s="14">
        <v>187</v>
      </c>
    </row>
    <row r="40" spans="1:7" x14ac:dyDescent="0.2">
      <c r="A40" s="13" t="s">
        <v>8349</v>
      </c>
      <c r="B40" s="14"/>
      <c r="C40" s="14"/>
      <c r="D40" s="14"/>
      <c r="E40" s="14">
        <v>80</v>
      </c>
      <c r="F40" s="14"/>
      <c r="G40" s="14">
        <v>80</v>
      </c>
    </row>
    <row r="41" spans="1:7" x14ac:dyDescent="0.2">
      <c r="A41" s="13" t="s">
        <v>8309</v>
      </c>
      <c r="B41" s="14"/>
      <c r="C41" s="14"/>
      <c r="D41" s="14"/>
      <c r="E41" s="14">
        <v>60</v>
      </c>
      <c r="F41" s="14"/>
      <c r="G41" s="14">
        <v>60</v>
      </c>
    </row>
    <row r="42" spans="1:7" x14ac:dyDescent="0.2">
      <c r="A42" s="13" t="s">
        <v>8339</v>
      </c>
      <c r="B42" s="14">
        <v>10</v>
      </c>
      <c r="C42" s="14">
        <v>47</v>
      </c>
      <c r="D42" s="14"/>
      <c r="E42" s="14"/>
      <c r="F42" s="14"/>
      <c r="G42" s="14">
        <v>57</v>
      </c>
    </row>
    <row r="43" spans="1:7" x14ac:dyDescent="0.2">
      <c r="A43" s="13" t="s">
        <v>8332</v>
      </c>
      <c r="B43" s="14"/>
      <c r="C43" s="14">
        <v>100</v>
      </c>
      <c r="D43" s="14"/>
      <c r="E43" s="14"/>
      <c r="F43" s="14"/>
      <c r="G43" s="14">
        <v>100</v>
      </c>
    </row>
    <row r="44" spans="1:7" x14ac:dyDescent="0.2">
      <c r="A44" s="13" t="s">
        <v>8319</v>
      </c>
      <c r="B44" s="14">
        <v>60</v>
      </c>
      <c r="C44" s="14">
        <v>120</v>
      </c>
      <c r="D44" s="14"/>
      <c r="E44" s="14">
        <v>20</v>
      </c>
      <c r="F44" s="14"/>
      <c r="G44" s="14">
        <v>200</v>
      </c>
    </row>
    <row r="45" spans="1:7" x14ac:dyDescent="0.2">
      <c r="A45" s="13" t="s">
        <v>8318</v>
      </c>
      <c r="B45" s="14">
        <v>100</v>
      </c>
      <c r="C45" s="14">
        <v>60</v>
      </c>
      <c r="D45" s="14"/>
      <c r="E45" s="14"/>
      <c r="F45" s="14"/>
      <c r="G45" s="14">
        <v>160</v>
      </c>
    </row>
    <row r="46" spans="1:7" x14ac:dyDescent="0.2">
      <c r="A46" s="13" t="s">
        <v>8338</v>
      </c>
      <c r="B46" s="14">
        <v>20</v>
      </c>
      <c r="C46" s="14"/>
      <c r="D46" s="14"/>
      <c r="E46" s="14"/>
      <c r="F46" s="14"/>
      <c r="G46" s="14">
        <v>20</v>
      </c>
    </row>
    <row r="47" spans="1:7" x14ac:dyDescent="0.2">
      <c r="A47" s="13" t="s">
        <v>8361</v>
      </c>
      <c r="B47" s="14"/>
      <c r="C47" s="14"/>
      <c r="D47" s="14"/>
      <c r="E47" s="14"/>
      <c r="F47" s="14"/>
      <c r="G47" s="14"/>
    </row>
    <row r="48" spans="1:7" x14ac:dyDescent="0.2">
      <c r="A48" s="13" t="s">
        <v>8362</v>
      </c>
      <c r="B48" s="14">
        <v>349</v>
      </c>
      <c r="C48" s="14">
        <v>1530</v>
      </c>
      <c r="D48" s="14">
        <v>50</v>
      </c>
      <c r="E48" s="14">
        <v>2185</v>
      </c>
      <c r="F48" s="14"/>
      <c r="G48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10A5A-EBDB-DB4D-9A7C-878C969AD9FD}">
  <dimension ref="A1:F18"/>
  <sheetViews>
    <sheetView workbookViewId="0">
      <selection activeCell="L19" sqref="L1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15.6640625" bestFit="1" customWidth="1"/>
    <col min="9" max="9" width="16.83203125" bestFit="1" customWidth="1"/>
    <col min="10" max="10" width="15.6640625" bestFit="1" customWidth="1"/>
    <col min="11" max="11" width="16.83203125" bestFit="1" customWidth="1"/>
    <col min="12" max="12" width="20" bestFit="1" customWidth="1"/>
    <col min="13" max="13" width="21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8222</v>
      </c>
      <c r="B2" t="s">
        <v>8223</v>
      </c>
    </row>
    <row r="4" spans="1:6" x14ac:dyDescent="0.2">
      <c r="A4" s="12" t="s">
        <v>8364</v>
      </c>
      <c r="B4" s="12" t="s">
        <v>8360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7" t="s">
        <v>8368</v>
      </c>
      <c r="B6" s="14">
        <v>4</v>
      </c>
      <c r="C6" s="14">
        <v>18</v>
      </c>
      <c r="D6" s="14">
        <v>1</v>
      </c>
      <c r="E6" s="14">
        <v>38</v>
      </c>
      <c r="F6" s="14">
        <v>61</v>
      </c>
    </row>
    <row r="7" spans="1:6" x14ac:dyDescent="0.2">
      <c r="A7" s="17" t="s">
        <v>8369</v>
      </c>
      <c r="B7" s="14">
        <v>3</v>
      </c>
      <c r="C7" s="14">
        <v>32</v>
      </c>
      <c r="D7" s="14">
        <v>4</v>
      </c>
      <c r="E7" s="14">
        <v>45</v>
      </c>
      <c r="F7" s="14">
        <v>84</v>
      </c>
    </row>
    <row r="8" spans="1:6" x14ac:dyDescent="0.2">
      <c r="A8" s="17" t="s">
        <v>8370</v>
      </c>
      <c r="B8" s="14">
        <v>3</v>
      </c>
      <c r="C8" s="14">
        <v>22</v>
      </c>
      <c r="D8" s="14">
        <v>7</v>
      </c>
      <c r="E8" s="14">
        <v>32</v>
      </c>
      <c r="F8" s="14">
        <v>64</v>
      </c>
    </row>
    <row r="9" spans="1:6" x14ac:dyDescent="0.2">
      <c r="A9" s="17" t="s">
        <v>8371</v>
      </c>
      <c r="B9" s="14">
        <v>2</v>
      </c>
      <c r="C9" s="14">
        <v>28</v>
      </c>
      <c r="D9" s="14"/>
      <c r="E9" s="14">
        <v>39</v>
      </c>
      <c r="F9" s="14">
        <v>69</v>
      </c>
    </row>
    <row r="10" spans="1:6" x14ac:dyDescent="0.2">
      <c r="A10" s="17" t="s">
        <v>8372</v>
      </c>
      <c r="B10" s="14">
        <v>2</v>
      </c>
      <c r="C10" s="14">
        <v>29</v>
      </c>
      <c r="D10" s="14"/>
      <c r="E10" s="14">
        <v>65</v>
      </c>
      <c r="F10" s="14">
        <v>96</v>
      </c>
    </row>
    <row r="11" spans="1:6" x14ac:dyDescent="0.2">
      <c r="A11" s="17" t="s">
        <v>8373</v>
      </c>
      <c r="B11" s="14">
        <v>3</v>
      </c>
      <c r="C11" s="14">
        <v>36</v>
      </c>
      <c r="D11" s="14"/>
      <c r="E11" s="14">
        <v>59</v>
      </c>
      <c r="F11" s="14">
        <v>98</v>
      </c>
    </row>
    <row r="12" spans="1:6" x14ac:dyDescent="0.2">
      <c r="A12" s="17" t="s">
        <v>8374</v>
      </c>
      <c r="B12" s="14"/>
      <c r="C12" s="14">
        <v>38</v>
      </c>
      <c r="D12" s="14"/>
      <c r="E12" s="14">
        <v>55</v>
      </c>
      <c r="F12" s="14">
        <v>93</v>
      </c>
    </row>
    <row r="13" spans="1:6" x14ac:dyDescent="0.2">
      <c r="A13" s="17" t="s">
        <v>8375</v>
      </c>
      <c r="B13" s="14">
        <v>2</v>
      </c>
      <c r="C13" s="14">
        <v>38</v>
      </c>
      <c r="D13" s="14"/>
      <c r="E13" s="14">
        <v>50</v>
      </c>
      <c r="F13" s="14">
        <v>90</v>
      </c>
    </row>
    <row r="14" spans="1:6" x14ac:dyDescent="0.2">
      <c r="A14" s="17" t="s">
        <v>8376</v>
      </c>
      <c r="B14" s="14">
        <v>3</v>
      </c>
      <c r="C14" s="14">
        <v>28</v>
      </c>
      <c r="D14" s="14"/>
      <c r="E14" s="14">
        <v>41</v>
      </c>
      <c r="F14" s="14">
        <v>72</v>
      </c>
    </row>
    <row r="15" spans="1:6" x14ac:dyDescent="0.2">
      <c r="A15" s="17" t="s">
        <v>8377</v>
      </c>
      <c r="B15" s="14"/>
      <c r="C15" s="14">
        <v>36</v>
      </c>
      <c r="D15" s="14"/>
      <c r="E15" s="14">
        <v>44</v>
      </c>
      <c r="F15" s="14">
        <v>80</v>
      </c>
    </row>
    <row r="16" spans="1:6" x14ac:dyDescent="0.2">
      <c r="A16" s="17" t="s">
        <v>8378</v>
      </c>
      <c r="B16" s="14">
        <v>2</v>
      </c>
      <c r="C16" s="14">
        <v>17</v>
      </c>
      <c r="D16" s="14"/>
      <c r="E16" s="14">
        <v>30</v>
      </c>
      <c r="F16" s="14">
        <v>49</v>
      </c>
    </row>
    <row r="17" spans="1:6" x14ac:dyDescent="0.2">
      <c r="A17" s="17" t="s">
        <v>8379</v>
      </c>
      <c r="B17" s="14">
        <v>2</v>
      </c>
      <c r="C17" s="14">
        <v>27</v>
      </c>
      <c r="D17" s="14"/>
      <c r="E17" s="14">
        <v>27</v>
      </c>
      <c r="F17" s="14">
        <v>56</v>
      </c>
    </row>
    <row r="18" spans="1:6" x14ac:dyDescent="0.2">
      <c r="A18" s="17" t="s">
        <v>8362</v>
      </c>
      <c r="B18" s="14">
        <v>26</v>
      </c>
      <c r="C18" s="14">
        <v>349</v>
      </c>
      <c r="D18" s="14">
        <v>12</v>
      </c>
      <c r="E18" s="14">
        <v>525</v>
      </c>
      <c r="F18" s="14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CD703-AE7E-BF42-855F-CE710A714370}">
  <dimension ref="A1:E18"/>
  <sheetViews>
    <sheetView tabSelected="1" workbookViewId="0">
      <selection activeCell="L52" sqref="L5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  <col min="8" max="12" width="14.83203125" bestFit="1" customWidth="1"/>
    <col min="13" max="13" width="10" bestFit="1" customWidth="1"/>
    <col min="14" max="16" width="6.83203125" bestFit="1" customWidth="1"/>
    <col min="17" max="17" width="9" bestFit="1" customWidth="1"/>
    <col min="18" max="20" width="6.5" bestFit="1" customWidth="1"/>
    <col min="21" max="21" width="9" bestFit="1" customWidth="1"/>
    <col min="22" max="24" width="6.5" bestFit="1" customWidth="1"/>
    <col min="25" max="25" width="9" bestFit="1" customWidth="1"/>
    <col min="26" max="28" width="6.5" bestFit="1" customWidth="1"/>
    <col min="29" max="29" width="9" bestFit="1" customWidth="1"/>
    <col min="30" max="30" width="9.33203125" bestFit="1" customWidth="1"/>
    <col min="31" max="33" width="6.83203125" bestFit="1" customWidth="1"/>
    <col min="34" max="34" width="9" bestFit="1" customWidth="1"/>
    <col min="35" max="37" width="6.5" bestFit="1" customWidth="1"/>
    <col min="38" max="38" width="9" bestFit="1" customWidth="1"/>
    <col min="39" max="41" width="6.5" bestFit="1" customWidth="1"/>
    <col min="42" max="42" width="9" bestFit="1" customWidth="1"/>
    <col min="43" max="45" width="6.5" bestFit="1" customWidth="1"/>
    <col min="46" max="46" width="9" bestFit="1" customWidth="1"/>
    <col min="47" max="47" width="9.33203125" bestFit="1" customWidth="1"/>
    <col min="48" max="50" width="6.83203125" bestFit="1" customWidth="1"/>
    <col min="51" max="51" width="9" bestFit="1" customWidth="1"/>
    <col min="52" max="54" width="6.5" bestFit="1" customWidth="1"/>
    <col min="55" max="55" width="9" bestFit="1" customWidth="1"/>
    <col min="56" max="58" width="6.5" bestFit="1" customWidth="1"/>
    <col min="59" max="59" width="9" bestFit="1" customWidth="1"/>
    <col min="60" max="62" width="6.5" bestFit="1" customWidth="1"/>
    <col min="63" max="63" width="9" bestFit="1" customWidth="1"/>
    <col min="64" max="64" width="9.33203125" bestFit="1" customWidth="1"/>
    <col min="65" max="67" width="6.83203125" bestFit="1" customWidth="1"/>
    <col min="68" max="68" width="9" bestFit="1" customWidth="1"/>
    <col min="69" max="71" width="6.5" bestFit="1" customWidth="1"/>
    <col min="72" max="72" width="9" bestFit="1" customWidth="1"/>
    <col min="73" max="75" width="6.5" bestFit="1" customWidth="1"/>
    <col min="76" max="76" width="9" bestFit="1" customWidth="1"/>
    <col min="77" max="79" width="6.5" bestFit="1" customWidth="1"/>
    <col min="80" max="80" width="9" bestFit="1" customWidth="1"/>
    <col min="81" max="81" width="9.33203125" bestFit="1" customWidth="1"/>
    <col min="82" max="84" width="6.83203125" bestFit="1" customWidth="1"/>
    <col min="85" max="85" width="9" bestFit="1" customWidth="1"/>
    <col min="86" max="88" width="6.5" bestFit="1" customWidth="1"/>
    <col min="89" max="89" width="9" bestFit="1" customWidth="1"/>
    <col min="90" max="92" width="6.5" bestFit="1" customWidth="1"/>
    <col min="93" max="93" width="9" bestFit="1" customWidth="1"/>
    <col min="94" max="96" width="6.5" bestFit="1" customWidth="1"/>
    <col min="97" max="97" width="9" bestFit="1" customWidth="1"/>
    <col min="98" max="98" width="9.33203125" bestFit="1" customWidth="1"/>
    <col min="99" max="101" width="6.83203125" bestFit="1" customWidth="1"/>
    <col min="102" max="102" width="9" bestFit="1" customWidth="1"/>
    <col min="103" max="105" width="6.5" bestFit="1" customWidth="1"/>
    <col min="106" max="106" width="9" bestFit="1" customWidth="1"/>
    <col min="107" max="109" width="6.5" bestFit="1" customWidth="1"/>
    <col min="110" max="110" width="9" bestFit="1" customWidth="1"/>
    <col min="111" max="113" width="6.5" bestFit="1" customWidth="1"/>
    <col min="114" max="114" width="9" bestFit="1" customWidth="1"/>
    <col min="115" max="115" width="9.33203125" bestFit="1" customWidth="1"/>
    <col min="116" max="118" width="6.83203125" bestFit="1" customWidth="1"/>
    <col min="119" max="119" width="9" bestFit="1" customWidth="1"/>
    <col min="120" max="122" width="6.5" bestFit="1" customWidth="1"/>
    <col min="123" max="123" width="9" bestFit="1" customWidth="1"/>
    <col min="124" max="126" width="6.5" bestFit="1" customWidth="1"/>
    <col min="127" max="127" width="9" bestFit="1" customWidth="1"/>
    <col min="128" max="130" width="6.5" bestFit="1" customWidth="1"/>
    <col min="131" max="131" width="9" bestFit="1" customWidth="1"/>
    <col min="132" max="132" width="9.33203125" bestFit="1" customWidth="1"/>
    <col min="133" max="135" width="6.83203125" bestFit="1" customWidth="1"/>
    <col min="136" max="136" width="9" bestFit="1" customWidth="1"/>
    <col min="137" max="137" width="9.33203125" bestFit="1" customWidth="1"/>
    <col min="138" max="138" width="10" bestFit="1" customWidth="1"/>
    <col min="139" max="4115" width="14.83203125" bestFit="1" customWidth="1"/>
    <col min="4116" max="4116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8395</v>
      </c>
      <c r="B2" t="s">
        <v>8365</v>
      </c>
    </row>
    <row r="4" spans="1:5" x14ac:dyDescent="0.2">
      <c r="A4" s="12" t="s">
        <v>8364</v>
      </c>
      <c r="B4" s="12" t="s">
        <v>8360</v>
      </c>
    </row>
    <row r="5" spans="1:5" x14ac:dyDescent="0.2">
      <c r="A5" s="12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7" t="s">
        <v>8368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7" t="s">
        <v>8369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7" t="s">
        <v>8370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7" t="s">
        <v>8371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7" t="s">
        <v>8372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7" t="s">
        <v>8373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7" t="s">
        <v>8374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7" t="s">
        <v>8375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7" t="s">
        <v>8376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7" t="s">
        <v>8377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7" t="s">
        <v>8378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7" t="s">
        <v>8379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7" t="s">
        <v>8362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7"/>
  <sheetViews>
    <sheetView zoomScaleNormal="100" workbookViewId="0">
      <selection activeCell="H22" sqref="H2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4.5" bestFit="1" customWidth="1"/>
    <col min="17" max="17" width="41.1640625" customWidth="1"/>
    <col min="18" max="18" width="14.5" bestFit="1" customWidth="1"/>
    <col min="19" max="19" width="19.83203125" bestFit="1" customWidth="1"/>
    <col min="20" max="20" width="18.6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9" t="s">
        <v>8307</v>
      </c>
      <c r="Q1" s="9" t="s">
        <v>8358</v>
      </c>
      <c r="R1" t="s">
        <v>8359</v>
      </c>
      <c r="S1" s="9" t="s">
        <v>8366</v>
      </c>
      <c r="T1" s="9" t="s">
        <v>8367</v>
      </c>
      <c r="U1" s="9" t="s">
        <v>8395</v>
      </c>
    </row>
    <row r="2" spans="1:21" ht="49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xml:space="preserve"> 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6">
        <f>(((I2/60)/60)/24)+DATE(1970,1,1)</f>
        <v>42208.125</v>
      </c>
      <c r="U2">
        <f>YEAR(S:S)</f>
        <v>2015</v>
      </c>
    </row>
    <row r="3" spans="1:21" ht="33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 xml:space="preserve"> 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YEAR(S:S)</f>
        <v>2017</v>
      </c>
    </row>
    <row r="4" spans="1:21" ht="49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3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5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9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9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9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2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9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9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9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9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3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3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9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9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9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9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9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9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9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3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9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3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9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9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9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3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9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9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9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9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9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9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3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3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9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9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9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9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9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9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9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9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9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9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9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9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2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9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9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9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3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9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9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3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9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3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9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9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9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9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9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9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3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 xml:space="preserve"> 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YEAR(S:S)</f>
        <v>2014</v>
      </c>
    </row>
    <row r="68" spans="1:21" ht="33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9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5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9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9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9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9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9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9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9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9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9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7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9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9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9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9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9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9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9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9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9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9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9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3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9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9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9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9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9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9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9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9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3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9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9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9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3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3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9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9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9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9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9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9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9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3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9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2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9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9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3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9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9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9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3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9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9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9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9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9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3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9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 xml:space="preserve"> 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YEAR(S:S)</f>
        <v>2014</v>
      </c>
    </row>
    <row r="132" spans="1:21" ht="49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9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3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3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9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9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9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9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3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9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9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9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9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9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9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9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3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9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9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9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9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3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9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3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5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9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9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9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9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9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9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9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5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9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3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9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9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9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9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9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9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9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9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9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9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9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3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3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3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9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9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9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9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9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3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9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9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9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9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9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 xml:space="preserve"> 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YEAR(S:S)</f>
        <v>2014</v>
      </c>
    </row>
    <row r="196" spans="1:21" ht="49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9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9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9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9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9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3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9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9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9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9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9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9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9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9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9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9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3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9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9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9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9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9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3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9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2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9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9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9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9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3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9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3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9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9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9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9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9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9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3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9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2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9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9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9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9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9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9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9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9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9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5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9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9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9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9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9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9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9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3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9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9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 xml:space="preserve"> IFERROR(ROUND(E259/L259,2),0)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YEAR(S:S)</f>
        <v>2016</v>
      </c>
    </row>
    <row r="260" spans="1:21" ht="49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9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3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3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3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5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5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5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9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9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9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9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9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9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9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9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9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9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9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9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3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9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9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9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9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3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9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9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9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3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9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9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3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9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9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9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9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9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9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9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3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9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9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9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5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9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3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3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3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9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9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9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9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9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9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9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9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3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3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9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5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9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9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 xml:space="preserve"> IFERROR(ROUND(E323/L323,2),0)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YEAR(S:S)</f>
        <v>2016</v>
      </c>
    </row>
    <row r="324" spans="1:21" ht="49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9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9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9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9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9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9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9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9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9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9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9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9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9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9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9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9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9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9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9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3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9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9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9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9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9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9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3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9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9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9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9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9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3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3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9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9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9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9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9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9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9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9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9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9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9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9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9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9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9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3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9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9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9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9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9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9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9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9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9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9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9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9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9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 xml:space="preserve"> IFERROR(ROUND(E387/L387,2),0)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YEAR(S:S)</f>
        <v>2014</v>
      </c>
    </row>
    <row r="388" spans="1:21" ht="49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9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9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9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9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9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9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3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9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9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9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5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9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9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9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9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9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9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9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3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9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9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9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9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9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9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9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9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9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5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3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9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9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9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9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9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9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9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9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9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9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9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3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5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3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9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9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5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9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9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9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9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9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9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9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9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9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3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9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9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9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9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9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 xml:space="preserve"> IFERROR(ROUND(E451/L451,2),0)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YEAR(S:S)</f>
        <v>2013</v>
      </c>
    </row>
    <row r="452" spans="1:21" ht="49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9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3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9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9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9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9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9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9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9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3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9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9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9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3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2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9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9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9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3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9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5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9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9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9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9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3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9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9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9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9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9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9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9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5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3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9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9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3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9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9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9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9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9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9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3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9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5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5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9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9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9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9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9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9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9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9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9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9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9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9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3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 xml:space="preserve"> IFERROR(ROUND(E515/L515,2),0)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YEAR(S:S)</f>
        <v>2016</v>
      </c>
    </row>
    <row r="516" spans="1:21" ht="49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9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3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9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9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9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9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9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9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9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9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9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9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9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2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9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9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9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9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9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9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3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9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9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9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9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5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9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9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9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9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9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9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9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9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9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9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9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9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9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9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9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3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9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9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9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9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9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9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9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9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9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9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9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9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3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9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9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9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9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9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9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9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 xml:space="preserve"> IFERROR(ROUND(E579/L579,2),0)</f>
        <v>10</v>
      </c>
      <c r="Q579" s="11" t="s">
        <v>8317</v>
      </c>
      <c r="R579" t="s">
        <v>8318</v>
      </c>
      <c r="S579" s="15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YEAR(S:S)</f>
        <v>2016</v>
      </c>
    </row>
    <row r="580" spans="1:21" ht="33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3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9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9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9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3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3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9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9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9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9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9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9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9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3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9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3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9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3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9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3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9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9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9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9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3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9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9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9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9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9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9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3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9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9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9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9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9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9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3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9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9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9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9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9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9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9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9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9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9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9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3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3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9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3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3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3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9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3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9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8317</v>
      </c>
      <c r="R642" t="s">
        <v>8319</v>
      </c>
      <c r="S642" s="15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9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 xml:space="preserve"> IFERROR(ROUND(E643/L643,2),0)</f>
        <v>151.32</v>
      </c>
      <c r="Q643" s="11" t="s">
        <v>8317</v>
      </c>
      <c r="R643" t="s">
        <v>8319</v>
      </c>
      <c r="S643" s="15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YEAR(S:S)</f>
        <v>2015</v>
      </c>
    </row>
    <row r="644" spans="1:21" ht="49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3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9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3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9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9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3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9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9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9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9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9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9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9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9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9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9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9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9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3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9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9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9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9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9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9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5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9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9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9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9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3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9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5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9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9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9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9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9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9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9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9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5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9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9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9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3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9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9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3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9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9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3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9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9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9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9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9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9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9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9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3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 xml:space="preserve"> IFERROR(ROUND(E707/L707,2),0)</f>
        <v>195.4</v>
      </c>
      <c r="Q707" s="11" t="s">
        <v>8317</v>
      </c>
      <c r="R707" t="s">
        <v>8319</v>
      </c>
      <c r="S707" s="15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YEAR(S:S)</f>
        <v>2016</v>
      </c>
    </row>
    <row r="708" spans="1:21" ht="49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9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9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3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3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9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9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9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9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9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9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2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9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9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9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9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9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3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9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9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9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9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9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9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3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9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9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9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3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9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9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9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3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9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9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3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9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9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3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9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2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9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9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9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9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9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9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9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9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9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9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9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3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9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9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9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9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9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9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9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9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9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8320</v>
      </c>
      <c r="R770" t="s">
        <v>8322</v>
      </c>
      <c r="S770" s="15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9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 xml:space="preserve"> IFERROR(ROUND(E771/L771,2),0)</f>
        <v>31.85</v>
      </c>
      <c r="Q771" s="11" t="s">
        <v>8320</v>
      </c>
      <c r="R771" t="s">
        <v>8322</v>
      </c>
      <c r="S771" s="15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YEAR(S:S)</f>
        <v>2013</v>
      </c>
    </row>
    <row r="772" spans="1:21" ht="49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9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5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9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9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9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9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9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9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9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3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9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9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9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9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9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9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9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9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9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9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9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3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9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9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9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5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9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9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9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9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9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9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9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9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9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2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3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9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3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9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3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9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3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9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3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3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9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9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3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9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9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3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9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9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3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9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9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9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9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9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3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9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 xml:space="preserve"> IFERROR(ROUND(E835/L835,2),0)</f>
        <v>148.78</v>
      </c>
      <c r="Q835" s="11" t="s">
        <v>8323</v>
      </c>
      <c r="R835" t="s">
        <v>8324</v>
      </c>
      <c r="S835" s="15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YEAR(S:S)</f>
        <v>2014</v>
      </c>
    </row>
    <row r="836" spans="1:21" ht="49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9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3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9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9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3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9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9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9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9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9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3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2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9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5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9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3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3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9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9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3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9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3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9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3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9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9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9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9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9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9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9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9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5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49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9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9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9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3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9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5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2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9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9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9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9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9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9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9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9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9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9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9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9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9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9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9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9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9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9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9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9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9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 xml:space="preserve"> IFERROR(ROUND(E899/L899,2),0)</f>
        <v>0</v>
      </c>
      <c r="Q899" s="11" t="s">
        <v>8323</v>
      </c>
      <c r="R899" t="s">
        <v>8327</v>
      </c>
      <c r="S899" s="15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YEAR(S:S)</f>
        <v>2012</v>
      </c>
    </row>
    <row r="900" spans="1:21" ht="49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9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3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5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9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9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9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9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3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3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9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9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9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9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9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9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9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9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9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9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9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9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9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9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9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9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9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5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3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9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9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9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9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3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9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9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9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9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9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9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9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9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9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9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3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9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9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3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9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9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9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9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3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9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9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9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5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3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9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9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9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9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 xml:space="preserve"> IFERROR(ROUND(E963/L963,2),0)</f>
        <v>364.35</v>
      </c>
      <c r="Q963" s="11" t="s">
        <v>8317</v>
      </c>
      <c r="R963" t="s">
        <v>8319</v>
      </c>
      <c r="S963" s="15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YEAR(S:S)</f>
        <v>2017</v>
      </c>
    </row>
    <row r="964" spans="1:21" ht="49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3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9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9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9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9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9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3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9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9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9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9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9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9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9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9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9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9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9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9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3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9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9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9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9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9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2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9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9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9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5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9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3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3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3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9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9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9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9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9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3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3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9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9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9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9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9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9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9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9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3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3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9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9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9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3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9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9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3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9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9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3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 xml:space="preserve"> IFERROR(ROUND(E1027/L1027,2),0)</f>
        <v>71.849999999999994</v>
      </c>
      <c r="Q1027" s="11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YEAR(S:S)</f>
        <v>2015</v>
      </c>
    </row>
    <row r="1028" spans="1:21" ht="49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9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9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3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3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9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9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9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9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9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9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9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9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9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9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9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9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9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9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9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9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9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2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9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9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9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9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9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3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9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9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3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2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9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9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9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9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9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9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9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9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9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9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3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9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3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9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9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9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9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9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9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3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9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3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9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3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3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 xml:space="preserve"> IFERROR(ROUND(E1091/L1091,2),0)</f>
        <v>23.96</v>
      </c>
      <c r="Q1091" s="1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YEAR(S:S)</f>
        <v>2015</v>
      </c>
    </row>
    <row r="1092" spans="1:21" ht="49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9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9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9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9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9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9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9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3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9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9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3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9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9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9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9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9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5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9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9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9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9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9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9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9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9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3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9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9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9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3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9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9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9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9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9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3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5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9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9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9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9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9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9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5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9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9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9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9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9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9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9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9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9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3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9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3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3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3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9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3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 xml:space="preserve"> IFERROR(ROUND(E1155/L1155,2),0)</f>
        <v>50</v>
      </c>
      <c r="Q1155" s="11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YEAR(S:S)</f>
        <v>2015</v>
      </c>
    </row>
    <row r="1156" spans="1:21" ht="49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9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9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9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9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9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9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9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9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9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5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9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9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9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9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9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9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3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2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9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9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9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5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9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9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9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3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2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9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9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9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9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9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9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9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9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3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9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3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9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9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5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3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9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9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9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9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9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9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9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9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9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9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3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9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9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3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9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9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9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9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9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3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9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 xml:space="preserve"> IFERROR(ROUND(E1219/L1219,2),0)</f>
        <v>148.57</v>
      </c>
      <c r="Q1219" s="11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YEAR(S:S)</f>
        <v>2016</v>
      </c>
    </row>
    <row r="1220" spans="1:21" ht="49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3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9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9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3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3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3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9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9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9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3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9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9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9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9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9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9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9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2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9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9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3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3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9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9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9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9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9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9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3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3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9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9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3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9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9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9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9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9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9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9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3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9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3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9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3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9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5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3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9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3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9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3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9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9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3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9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9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3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9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9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9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9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9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 xml:space="preserve"> IFERROR(ROUND(E1283/L1283,2),0)</f>
        <v>104.73</v>
      </c>
      <c r="Q1283" s="11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YEAR(S:S)</f>
        <v>2013</v>
      </c>
    </row>
    <row r="1284" spans="1:21" ht="49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9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9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9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9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5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9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9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3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9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9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9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9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9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9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9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9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9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9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9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9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3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9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9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5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3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3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3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3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9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9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9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9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3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9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9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9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9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9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9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9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9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9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9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9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9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9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9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9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9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9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9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9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9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9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9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9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3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9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9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9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9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9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9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 xml:space="preserve"> IFERROR(ROUND(E1347/L1347,2),0)</f>
        <v>53.57</v>
      </c>
      <c r="Q1347" s="11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YEAR(S:S)</f>
        <v>2014</v>
      </c>
    </row>
    <row r="1348" spans="1:21" ht="49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9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9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9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9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3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9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3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9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9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9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9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9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9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3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9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3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9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9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9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9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9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9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3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9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2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3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9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9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3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9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3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3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9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9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9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9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9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3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9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9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3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9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9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9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2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9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2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9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9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9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9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9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9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9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9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9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3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2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9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9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9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 xml:space="preserve"> IFERROR(ROUND(E1411/L1411,2),0)</f>
        <v>0</v>
      </c>
      <c r="Q1411" s="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YEAR(S:S)</f>
        <v>2014</v>
      </c>
    </row>
    <row r="1412" spans="1:21" ht="49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9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3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9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9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9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9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9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5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9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2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9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9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9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9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9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9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9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9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3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9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9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9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9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9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3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9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9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9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9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9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9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9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9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3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9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9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3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9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9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9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3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3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9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9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9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2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3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9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9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9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3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3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9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9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9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3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9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3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9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9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9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 xml:space="preserve"> IFERROR(ROUND(E1475/L1475,2),0)</f>
        <v>38.46</v>
      </c>
      <c r="Q1475" s="11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YEAR(S:S)</f>
        <v>2012</v>
      </c>
    </row>
    <row r="1476" spans="1:21" ht="49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9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3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9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9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9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9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9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9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9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9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9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9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9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9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9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3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9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3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9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3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9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9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9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9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9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3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9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9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3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9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9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9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9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9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9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9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9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9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9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9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9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9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3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9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3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9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9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9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9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9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9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33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3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3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9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9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9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3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9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9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9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9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 xml:space="preserve"> IFERROR(ROUND(E1539/L1539,2),0)</f>
        <v>96.38</v>
      </c>
      <c r="Q1539" s="11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YEAR(S:S)</f>
        <v>2016</v>
      </c>
    </row>
    <row r="1540" spans="1:21" ht="49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9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9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9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9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9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9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9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9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9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3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9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9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9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9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9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9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9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9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9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3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3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9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9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9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9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9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9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9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9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9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3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9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9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9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9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9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3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9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5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3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9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9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3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9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9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9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3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9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3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9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9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3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3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3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9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3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9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9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9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9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9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 xml:space="preserve"> IFERROR(ROUND(E1603/L1603,2),0)</f>
        <v>48.33</v>
      </c>
      <c r="Q1603" s="11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YEAR(S:S)</f>
        <v>2011</v>
      </c>
    </row>
    <row r="1604" spans="1:21" ht="49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3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9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9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9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9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3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9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3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3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9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9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9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9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3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3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9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3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9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9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9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3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9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9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9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3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3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9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9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9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9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3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9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9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9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3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9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9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3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9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3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9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9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9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9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9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9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3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9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9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9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9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3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5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9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9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9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9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9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3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9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9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 xml:space="preserve"> IFERROR(ROUND(E1667/L1667,2),0)</f>
        <v>44.96</v>
      </c>
      <c r="Q1667" s="11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YEAR(S:S)</f>
        <v>2011</v>
      </c>
    </row>
    <row r="1668" spans="1:21" ht="49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9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9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9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5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3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3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9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9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3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3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9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3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5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3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9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3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9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3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9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9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9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5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2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9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9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9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9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9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9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9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9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9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9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9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2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9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3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9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9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9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9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9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3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9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9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9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9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9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9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9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9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9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9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9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9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9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9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3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9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9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9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 xml:space="preserve"> IFERROR(ROUND(E1731/L1731,2),0)</f>
        <v>0</v>
      </c>
      <c r="Q1731" s="11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YEAR(S:S)</f>
        <v>2016</v>
      </c>
    </row>
    <row r="1732" spans="1:21" ht="49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3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9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9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9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9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3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9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3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9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9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3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9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9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9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9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9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9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3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3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9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3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3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9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9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9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9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3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9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3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9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3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2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9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9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9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3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3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9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9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9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9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3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9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9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9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9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9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9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9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9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9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9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9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9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9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9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9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9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9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9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3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3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9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 xml:space="preserve"> IFERROR(ROUND(E1795/L1795,2),0)</f>
        <v>20</v>
      </c>
      <c r="Q1795" s="11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YEAR(S:S)</f>
        <v>2014</v>
      </c>
    </row>
    <row r="1796" spans="1:21" ht="49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9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9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9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9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3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9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9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3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9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9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9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9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3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9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9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9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3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9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9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9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9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9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3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3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9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9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9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3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9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9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2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9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9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9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9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9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9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9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3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2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9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9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9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9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3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9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9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9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7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9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9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9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3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9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9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9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9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9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9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9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9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 xml:space="preserve"> IFERROR(ROUND(E1859/L1859,2),0)</f>
        <v>136.36000000000001</v>
      </c>
      <c r="Q1859" s="11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YEAR(S:S)</f>
        <v>2014</v>
      </c>
    </row>
    <row r="1860" spans="1:21" ht="49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3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9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9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9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9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9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9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9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9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9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9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9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9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9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9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9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3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9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3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9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9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3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9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9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9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9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9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9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9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9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9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9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5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3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9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2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9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9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9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9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9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9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9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9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9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9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9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9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9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9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9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9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9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9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3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9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9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3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3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9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9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9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3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 xml:space="preserve"> IFERROR(ROUND(E1923/L1923,2),0)</f>
        <v>54</v>
      </c>
      <c r="Q1923" s="11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YEAR(S:S)</f>
        <v>2012</v>
      </c>
    </row>
    <row r="1924" spans="1:21" ht="49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9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9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3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5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3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9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3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3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9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9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9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9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9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9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9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9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9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9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9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9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9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9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9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9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3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9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9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9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9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9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3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9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9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3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9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9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9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9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9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9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9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9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9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9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3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9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9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9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9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9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9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3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3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9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9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3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3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9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9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9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5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9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 xml:space="preserve"> IFERROR(ROUND(E1987/L1987,2),0)</f>
        <v>12.75</v>
      </c>
      <c r="Q1987" s="11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YEAR(S:S)</f>
        <v>2016</v>
      </c>
    </row>
    <row r="1988" spans="1:21" ht="49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3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9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9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3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3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9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9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9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9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9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9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9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9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3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9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5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9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9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9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9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9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9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3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9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9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9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9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9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3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9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9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9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9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9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9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9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9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9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3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9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3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3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9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3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9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9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9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9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9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9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9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3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3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9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9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9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9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9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9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9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9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 xml:space="preserve"> IFERROR(ROUND(E2051/L2051,2),0)</f>
        <v>80.989999999999995</v>
      </c>
      <c r="Q2051" s="11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YEAR(S:S)</f>
        <v>2013</v>
      </c>
    </row>
    <row r="2052" spans="1:21" ht="49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9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9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9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9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9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9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9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3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9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9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9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9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3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9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9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9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9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9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9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9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9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9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9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3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9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3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9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9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9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9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9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9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9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9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9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9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9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9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3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9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9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9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9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9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9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9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9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9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9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9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9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3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9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3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9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9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9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3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3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9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9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3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 xml:space="preserve"> IFERROR(ROUND(E2115/L2115,2),0)</f>
        <v>68.599999999999994</v>
      </c>
      <c r="Q2115" s="11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YEAR(S:S)</f>
        <v>2014</v>
      </c>
    </row>
    <row r="2116" spans="1:21" ht="49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9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9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9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3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9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9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3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3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5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9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9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9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2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9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9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3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9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9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9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9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9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9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9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3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9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9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9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9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9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3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9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9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9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9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9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9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9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3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9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3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3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9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9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3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9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9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3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9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9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3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3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9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9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9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9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9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9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9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9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6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 xml:space="preserve"> IFERROR(ROUND(E2179/L2179,2),0)</f>
        <v>65.87</v>
      </c>
      <c r="Q2179" s="11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YEAR(S:S)</f>
        <v>2016</v>
      </c>
    </row>
    <row r="2180" spans="1:21" ht="49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3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3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9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3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9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9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9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3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9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9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9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9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9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9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9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9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3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3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9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9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3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9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9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3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9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9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9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9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9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9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3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9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9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9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9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9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3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9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9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9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9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9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9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9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9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9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9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9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9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9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9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9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9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9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9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9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3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3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9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3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3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9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9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 xml:space="preserve"> IFERROR(ROUND(E2243/L2243,2),0)</f>
        <v>49.47</v>
      </c>
      <c r="Q2243" s="11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YEAR(S:S)</f>
        <v>2017</v>
      </c>
    </row>
    <row r="2244" spans="1:21" ht="33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9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9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9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9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3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9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9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9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9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9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9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3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3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9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9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3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9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9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9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3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9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9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9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9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9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9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9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9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9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9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9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9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9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9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9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3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9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9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9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3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9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3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9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9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9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9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9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9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9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9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3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9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9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9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3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9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9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9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3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9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9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9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9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 xml:space="preserve"> IFERROR(ROUND(E2307/L2307,2),0)</f>
        <v>109.11</v>
      </c>
      <c r="Q2307" s="11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YEAR(S:S)</f>
        <v>2014</v>
      </c>
    </row>
    <row r="2308" spans="1:21" ht="49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9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9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9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9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9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9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3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9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3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9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9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5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9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9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9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9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9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3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9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9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3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5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9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9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9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9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9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9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9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9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3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9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9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9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9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9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9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9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9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9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9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9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9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3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3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9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9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9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9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3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3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9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9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9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9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3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9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3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9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9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9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9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9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 xml:space="preserve"> IFERROR(ROUND(E2371/L2371,2),0)</f>
        <v>0</v>
      </c>
      <c r="Q2371" s="1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YEAR(S:S)</f>
        <v>2016</v>
      </c>
    </row>
    <row r="2372" spans="1:21" ht="49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9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9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3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9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9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9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9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3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3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9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9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5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9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9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9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9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9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9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9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9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3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9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9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9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9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9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9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9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9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9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9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2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9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9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33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9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5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3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3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5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9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9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9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9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9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9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9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9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9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3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3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9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3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9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9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3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3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9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9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3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9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9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 xml:space="preserve"> IFERROR(ROUND(E2435/L2435,2),0)</f>
        <v>0</v>
      </c>
      <c r="Q2435" s="11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YEAR(S:S)</f>
        <v>2016</v>
      </c>
    </row>
    <row r="2436" spans="1:21" ht="49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9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9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9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9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9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3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3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3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9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9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5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9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9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9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9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9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9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9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9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9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9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9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9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9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9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9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9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9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2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9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3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9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9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3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9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9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9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49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9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9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3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9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3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9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3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9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9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9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3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9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9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9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9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9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9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9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9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3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9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9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9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3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9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 xml:space="preserve"> IFERROR(ROUND(E2499/L2499,2),0)</f>
        <v>80.55</v>
      </c>
      <c r="Q2499" s="11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YEAR(S:S)</f>
        <v>2011</v>
      </c>
    </row>
    <row r="2500" spans="1:21" ht="49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9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9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9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9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9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3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5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9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9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9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9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9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9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9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9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9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9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9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9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3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9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9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9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9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3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9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9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9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9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3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9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9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9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9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9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9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3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9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9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9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9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9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9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9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9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9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9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9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9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9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9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9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9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9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9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3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3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9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9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9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 xml:space="preserve"> IFERROR(ROUND(E2563/L2563,2),0)</f>
        <v>0</v>
      </c>
      <c r="Q2563" s="11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YEAR(S:S)</f>
        <v>2015</v>
      </c>
    </row>
    <row r="2564" spans="1:21" ht="49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3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9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9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9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9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9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9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9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9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9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9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9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9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3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9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9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9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9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9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3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3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3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9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3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9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9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9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9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9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9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9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9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3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9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9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3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3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3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9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9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3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9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9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9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9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9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3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9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9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9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9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9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9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9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3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9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9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9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9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9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9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9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 xml:space="preserve"> IFERROR(ROUND(E2627/L2627,2),0)</f>
        <v>27.58</v>
      </c>
      <c r="Q2627" s="11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YEAR(S:S)</f>
        <v>2016</v>
      </c>
    </row>
    <row r="2628" spans="1:21" ht="49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9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3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3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9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9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9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9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9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9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9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3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9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9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3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5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9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9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9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9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9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9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2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9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9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9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9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9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3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9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9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9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9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9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9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9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9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9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9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3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9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9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9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9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9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5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9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9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9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9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9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9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9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9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9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9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9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9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3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9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 xml:space="preserve"> IFERROR(ROUND(E2691/L2691,2),0)</f>
        <v>1</v>
      </c>
      <c r="Q2691" s="1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YEAR(S:S)</f>
        <v>2016</v>
      </c>
    </row>
    <row r="2692" spans="1:21" ht="49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3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9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9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9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3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9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9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9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9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9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9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9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3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9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3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9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9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9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9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3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9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9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9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3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9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9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9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9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9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9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9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9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9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3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9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3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3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3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9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9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9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9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9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9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9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9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3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3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9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5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9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9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9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9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3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3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9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9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9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9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 xml:space="preserve"> IFERROR(ROUND(E2755/L2755,2),0)</f>
        <v>47.5</v>
      </c>
      <c r="Q2755" s="11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YEAR(S:S)</f>
        <v>2012</v>
      </c>
    </row>
    <row r="2756" spans="1:21" ht="49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3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9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3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9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9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9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3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9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3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9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9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9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9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9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9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9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9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9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9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9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9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9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9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5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9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3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3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3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9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9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9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3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9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3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3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9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9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9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5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9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9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9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9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9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9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9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9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9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9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9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5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9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2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9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9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9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9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9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9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9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9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9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9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 xml:space="preserve"> IFERROR(ROUND(E2819/L2819,2),0)</f>
        <v>23.64</v>
      </c>
      <c r="Q2819" s="11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YEAR(S:S)</f>
        <v>2015</v>
      </c>
    </row>
    <row r="2820" spans="1:21" ht="49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9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9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9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9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9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3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9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9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9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9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9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3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3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9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9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9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9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5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9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9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9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9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9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9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9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9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9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9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9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9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9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9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9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9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9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9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9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5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9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3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9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9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9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9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9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9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9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9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9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9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9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3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9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9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9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9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9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9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9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9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9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 xml:space="preserve"> IFERROR(ROUND(E2883/L2883,2),0)</f>
        <v>0</v>
      </c>
      <c r="Q2883" s="11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YEAR(S:S)</f>
        <v>2014</v>
      </c>
    </row>
    <row r="2884" spans="1:21" ht="49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9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3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3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9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9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9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9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9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9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9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2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3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9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9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9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9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9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9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9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3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9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9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9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9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9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5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9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9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9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9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9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3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9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3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9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9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9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9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3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9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9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9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9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9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9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3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9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9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9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9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9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9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9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9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3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9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9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9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9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9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9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33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1" t="s">
        <v>8315</v>
      </c>
      <c r="R2946" t="s">
        <v>8355</v>
      </c>
      <c r="S2946" s="15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49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 xml:space="preserve"> IFERROR(ROUND(E2947/L2947,2),0)</f>
        <v>0</v>
      </c>
      <c r="Q2947" s="11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YEAR(S:S)</f>
        <v>2015</v>
      </c>
    </row>
    <row r="2948" spans="1:21" ht="49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9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9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9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9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5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9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9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9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3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9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9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9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9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9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9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9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5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9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9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9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9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3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9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9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9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3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9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49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9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9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5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9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9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9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9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33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9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9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9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9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9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9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9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9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9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9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9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33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9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9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9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9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9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3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5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9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9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9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3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3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9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1" t="s">
        <v>8315</v>
      </c>
      <c r="R3010" t="s">
        <v>8355</v>
      </c>
      <c r="S3010" s="15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9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 xml:space="preserve"> IFERROR(ROUND(E3011/L3011,2),0)</f>
        <v>233.9</v>
      </c>
      <c r="Q3011" s="11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YEAR(S:S)</f>
        <v>2014</v>
      </c>
    </row>
    <row r="3012" spans="1:21" ht="49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9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9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9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9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9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9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9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9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9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9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9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9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9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9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9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9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33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3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9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9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8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9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9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3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9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5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9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9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9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5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3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5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49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5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9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5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9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5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9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5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9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5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9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5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9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5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9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5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3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5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9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33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9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9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5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9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9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5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9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5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9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9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3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5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9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33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3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5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9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5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9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5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9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5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9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5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9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5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9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5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9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5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9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1" t="s">
        <v>8315</v>
      </c>
      <c r="R3074" t="s">
        <v>8355</v>
      </c>
      <c r="S3074" s="15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9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 xml:space="preserve"> IFERROR(ROUND(E3075/L3075,2),0)</f>
        <v>92.14</v>
      </c>
      <c r="Q3075" s="11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YEAR(S:S)</f>
        <v>2015</v>
      </c>
    </row>
    <row r="3076" spans="1:21" ht="6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9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3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9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9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9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9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5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9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5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9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5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5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9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5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9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5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9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5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9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5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33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5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33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5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9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5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9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5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9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5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9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5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33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5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9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5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9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5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9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5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9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5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9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5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9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5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49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5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9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5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3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5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9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5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9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5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9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5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9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5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2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5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9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5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9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5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33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5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9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5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9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5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9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5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9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5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9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5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9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5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3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5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9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5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9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5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33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5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5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9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5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33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5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5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8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5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9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5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9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5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9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5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33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5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3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5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3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5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9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5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9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5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9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5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9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1" t="s">
        <v>8315</v>
      </c>
      <c r="R3138" t="s">
        <v>8316</v>
      </c>
      <c r="S3138" s="15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33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 xml:space="preserve"> IFERROR(ROUND(E3139/L3139,2),0)</f>
        <v>50</v>
      </c>
      <c r="Q3139" s="11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YEAR(S:S)</f>
        <v>2017</v>
      </c>
    </row>
    <row r="3140" spans="1:21" ht="65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9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9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5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9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5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5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5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3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5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3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5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9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5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3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5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9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5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5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5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33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5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9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5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9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5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9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5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9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5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9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5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3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5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3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5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3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5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9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5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9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5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9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5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9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5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9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5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9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5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9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5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3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5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9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5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3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5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3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5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9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5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9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5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9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5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9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5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9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5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9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5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9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5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9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5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33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5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9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5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9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5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5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5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9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5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9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5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9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5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9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5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9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5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9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5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49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5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9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5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9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5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9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5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9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5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9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5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9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5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9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5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3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5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9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5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9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5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9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1" t="s">
        <v>8315</v>
      </c>
      <c r="R3202" t="s">
        <v>8357</v>
      </c>
      <c r="S3202" s="15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9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 xml:space="preserve"> IFERROR(ROUND(E3203/L3203,2),0)</f>
        <v>12.5</v>
      </c>
      <c r="Q3203" s="11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YEAR(S:S)</f>
        <v>2014</v>
      </c>
    </row>
    <row r="3204" spans="1:21" ht="49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3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9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9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9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9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9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5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9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5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9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5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9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5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3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5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9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5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9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5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5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5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9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5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3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5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9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5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3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5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3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5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9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5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3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5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3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5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9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5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9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5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9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5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9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5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2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5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9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5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9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5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9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5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9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5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9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5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9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5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9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5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9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5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3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5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9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5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9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5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9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5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5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5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3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5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9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5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9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5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9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5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9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5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9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5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3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5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9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5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9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5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9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5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33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5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9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5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9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5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9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5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9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5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9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5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33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5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9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5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9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5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9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5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3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5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3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5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3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1" t="s">
        <v>8315</v>
      </c>
      <c r="R3266" t="s">
        <v>8316</v>
      </c>
      <c r="S3266" s="15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9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 xml:space="preserve"> IFERROR(ROUND(E3267/L3267,2),0)</f>
        <v>70.290000000000006</v>
      </c>
      <c r="Q3267" s="11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YEAR(S:S)</f>
        <v>2015</v>
      </c>
    </row>
    <row r="3268" spans="1:21" ht="49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5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9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5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9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5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9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5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9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5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2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5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9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5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9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5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9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5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9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5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9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5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9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5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9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5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9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5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9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5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3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5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9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5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9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5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9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5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5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9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5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3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5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9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5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9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5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8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5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9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5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9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5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9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5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9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5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9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5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9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5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9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5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9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5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9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5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9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5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9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5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5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9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5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9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5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9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5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9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5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9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5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9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5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3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5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3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5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9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5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9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5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9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5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9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5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9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5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8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5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9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5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3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5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9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5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9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5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9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5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9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5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9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5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33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5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9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5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9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5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9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5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9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1" t="s">
        <v>8315</v>
      </c>
      <c r="R3330" t="s">
        <v>8316</v>
      </c>
      <c r="S3330" s="15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9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 xml:space="preserve"> IFERROR(ROUND(E3331/L3331,2),0)</f>
        <v>44.92</v>
      </c>
      <c r="Q3331" s="11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YEAR(S:S)</f>
        <v>2014</v>
      </c>
    </row>
    <row r="3332" spans="1:21" ht="49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5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9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5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9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5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9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5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3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5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9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5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9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5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9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5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3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5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3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5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9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5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9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5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3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5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9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5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9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5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9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5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9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5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9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5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9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5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9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5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9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5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9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5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9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5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9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5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3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5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9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5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9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5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9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5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9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5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3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5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3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5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9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5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9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5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9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5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9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5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9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5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9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5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9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5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9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5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9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5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3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5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3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5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9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5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9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5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9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5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9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5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9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5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9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5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9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5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9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5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9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5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9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5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9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5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9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5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9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5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9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5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9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5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9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5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9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5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9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5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9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5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9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5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9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1" t="s">
        <v>8315</v>
      </c>
      <c r="R3394" t="s">
        <v>8316</v>
      </c>
      <c r="S3394" s="15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9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 xml:space="preserve"> IFERROR(ROUND(E3395/L3395,2),0)</f>
        <v>36.07</v>
      </c>
      <c r="Q3395" s="11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YEAR(S:S)</f>
        <v>2014</v>
      </c>
    </row>
    <row r="3396" spans="1:21" ht="49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3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9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3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9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9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9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5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9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9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5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9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9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5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9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33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5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5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9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5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9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9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5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9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5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9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9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5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9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5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3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5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9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9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5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9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5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5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9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9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5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9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9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5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9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5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9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5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9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5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9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5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9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5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9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5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9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5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9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5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9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5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9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5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9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5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9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5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9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5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9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5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9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5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3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5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9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5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9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5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9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5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9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5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9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5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9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5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9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5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3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5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9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5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9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5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9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5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9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5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9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5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9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5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9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5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9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5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9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1" t="s">
        <v>8315</v>
      </c>
      <c r="R3458" t="s">
        <v>8316</v>
      </c>
      <c r="S3458" s="15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3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 xml:space="preserve"> IFERROR(ROUND(E3459/L3459,2),0)</f>
        <v>50.98</v>
      </c>
      <c r="Q3459" s="11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YEAR(S:S)</f>
        <v>2015</v>
      </c>
    </row>
    <row r="3460" spans="1:21" ht="49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5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9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5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9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5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9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5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9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5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9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5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9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5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9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5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33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5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5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9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5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9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5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3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5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9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5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9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5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9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5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9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5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9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5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9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5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9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5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9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5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9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5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9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5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9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5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9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5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9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5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9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5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9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5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9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5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9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5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9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5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9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5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9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5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9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5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9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5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9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5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9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5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9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5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9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5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9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5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9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5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9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5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9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5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9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5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9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5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9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5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9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5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7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5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9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5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33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5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9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5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9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5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9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5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9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5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9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5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9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5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9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5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9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5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9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5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9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5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9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5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9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5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33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1" t="s">
        <v>8315</v>
      </c>
      <c r="R3522" t="s">
        <v>8316</v>
      </c>
      <c r="S3522" s="15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49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 xml:space="preserve"> IFERROR(ROUND(E3523/L3523,2),0)</f>
        <v>45.62</v>
      </c>
      <c r="Q3523" s="11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YEAR(S:S)</f>
        <v>2014</v>
      </c>
    </row>
    <row r="3524" spans="1:21" ht="49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5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9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5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9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5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9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5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9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5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9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5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9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5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9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5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9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5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5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9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5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9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5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3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5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9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5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9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5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9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5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9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5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9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5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49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5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9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5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9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5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9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5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3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5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9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5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9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5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9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5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9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5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9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5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9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5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9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5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9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5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9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5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9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5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9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5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9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5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9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5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9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5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9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5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9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5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3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5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9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5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9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5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3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5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9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5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9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5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9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5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9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5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9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5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9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5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9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5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3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5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33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5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9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5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9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5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9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5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9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5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9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5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9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5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9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5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9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5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9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5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9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5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7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1" t="s">
        <v>8315</v>
      </c>
      <c r="R3586" t="s">
        <v>8316</v>
      </c>
      <c r="S3586" s="15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9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 xml:space="preserve"> IFERROR(ROUND(E3587/L3587,2),0)</f>
        <v>176.09</v>
      </c>
      <c r="Q3587" s="11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YEAR(S:S)</f>
        <v>2014</v>
      </c>
    </row>
    <row r="3588" spans="1:21" ht="2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5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9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5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9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5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9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5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9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5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9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5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9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5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9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5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9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5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3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5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9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5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3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5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9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5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9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5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3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5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9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5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49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5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9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5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9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5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49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5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9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5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3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5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9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5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9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5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9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5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9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5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9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5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33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5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9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5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9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5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9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5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9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5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9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5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9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5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9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5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9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5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3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5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3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5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8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5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9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5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9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5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9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5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9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5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9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9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5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49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5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9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5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9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5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9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5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3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5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9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5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5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5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3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5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9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5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8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5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9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5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5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5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9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5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9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5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9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5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9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5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9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5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3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1" t="s">
        <v>8315</v>
      </c>
      <c r="R3650" t="s">
        <v>8316</v>
      </c>
      <c r="S3650" s="15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9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 xml:space="preserve"> IFERROR(ROUND(E3651/L3651,2),0)</f>
        <v>97.5</v>
      </c>
      <c r="Q3651" s="11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YEAR(S:S)</f>
        <v>2014</v>
      </c>
    </row>
    <row r="3652" spans="1:21" ht="49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5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33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5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9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5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9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5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9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5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9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5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9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5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9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5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3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5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9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5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9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5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9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5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9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5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9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5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9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5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9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5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2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5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9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5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9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5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9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5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9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5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9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5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9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5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9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5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9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5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9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5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9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5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33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5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33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5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9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5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33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5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5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5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9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5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9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5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9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5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9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5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9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5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9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5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9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5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9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5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9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5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3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5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3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5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9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5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9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5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5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5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9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5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9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5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33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5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9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5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3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5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9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5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9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5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9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5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9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5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9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5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9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5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33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5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9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5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9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5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3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5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3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5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9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1" t="s">
        <v>8315</v>
      </c>
      <c r="R3714" t="s">
        <v>8316</v>
      </c>
      <c r="S3714" s="15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9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 xml:space="preserve"> IFERROR(ROUND(E3715/L3715,2),0)</f>
        <v>106.84</v>
      </c>
      <c r="Q3715" s="11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YEAR(S:S)</f>
        <v>2016</v>
      </c>
    </row>
    <row r="3716" spans="1:21" ht="49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5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9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5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9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5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9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5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9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5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3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5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3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5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9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5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5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5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3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5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9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5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9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5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9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5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9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5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33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5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9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5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9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5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9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5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33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5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9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5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9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5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3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5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9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5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33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5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3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5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9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5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9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5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9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5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9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5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3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5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9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5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9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5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2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5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3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5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9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5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9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5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7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5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9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5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5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5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9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5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9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5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9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5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9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5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9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5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3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5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3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5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9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5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9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5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9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5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3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5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9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5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9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5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33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5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9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5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9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5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9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5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9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5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3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5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9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5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3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5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9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5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9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5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5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1" t="s">
        <v>8315</v>
      </c>
      <c r="R3778" t="s">
        <v>8357</v>
      </c>
      <c r="S3778" s="15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9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 xml:space="preserve"> IFERROR(ROUND(E3779/L3779,2),0)</f>
        <v>48.54</v>
      </c>
      <c r="Q3779" s="11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YEAR(S:S)</f>
        <v>2014</v>
      </c>
    </row>
    <row r="3780" spans="1:21" ht="33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3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9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9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9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5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9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9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5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9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5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9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5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9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5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8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5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9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5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9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5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3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5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3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5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9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5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9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5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9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5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9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5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49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5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9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5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3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5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9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5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9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5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9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5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3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5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9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5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9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5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9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5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9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5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9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5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9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5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9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5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9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5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9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5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9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5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9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5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3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5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5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5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9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5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9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5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33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5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9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5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9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5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49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5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9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5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9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5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9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5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33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5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5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5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9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5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9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5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9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5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9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5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9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5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9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5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9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5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9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5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9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5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3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5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49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5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9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5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9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1" t="s">
        <v>8315</v>
      </c>
      <c r="R3842" t="s">
        <v>8316</v>
      </c>
      <c r="S3842" s="15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9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 xml:space="preserve"> IFERROR(ROUND(E3843/L3843,2),0)</f>
        <v>25.65</v>
      </c>
      <c r="Q3843" s="11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YEAR(S:S)</f>
        <v>2014</v>
      </c>
    </row>
    <row r="3844" spans="1:21" ht="49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5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9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5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9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5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5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5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9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5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9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5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9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5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9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5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3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5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9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5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9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5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3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5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3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5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9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5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9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5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9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5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9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5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9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5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9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5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5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3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5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9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5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9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5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9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5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3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5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9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5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2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5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3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5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9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5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3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5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9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5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9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5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9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5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9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5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9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5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9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5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9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5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9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5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9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5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3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5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9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5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9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5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9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5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9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5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5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9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5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9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5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9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5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9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5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3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5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9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5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9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5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9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5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9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5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9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5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9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5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5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5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9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5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33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5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9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5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9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5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9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5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2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1" t="s">
        <v>8315</v>
      </c>
      <c r="R3906" t="s">
        <v>8316</v>
      </c>
      <c r="S3906" s="15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9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 xml:space="preserve"> IFERROR(ROUND(E3907/L3907,2),0)</f>
        <v>24.71</v>
      </c>
      <c r="Q3907" s="11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YEAR(S:S)</f>
        <v>2015</v>
      </c>
    </row>
    <row r="3908" spans="1:21" ht="49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5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33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5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9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5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9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5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9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5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9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5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9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5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9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5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9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5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9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5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9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5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9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5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9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5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9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5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9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5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9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5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9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5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9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5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9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5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9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5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3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5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9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5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9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5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9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5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9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5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9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5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9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5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9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5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9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5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5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5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9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5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9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5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9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5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9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5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9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5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49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5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9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5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9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5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9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5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9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5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3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5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9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5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9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5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9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5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9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5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9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5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9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5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9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5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9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5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9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5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9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5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9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5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9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5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9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5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9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5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49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5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9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5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9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5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9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5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9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5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9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5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9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5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9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1" t="s">
        <v>8315</v>
      </c>
      <c r="R3970" t="s">
        <v>8316</v>
      </c>
      <c r="S3970" s="15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9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 xml:space="preserve"> IFERROR(ROUND(E3971/L3971,2),0)</f>
        <v>35.17</v>
      </c>
      <c r="Q3971" s="11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YEAR(S:S)</f>
        <v>2016</v>
      </c>
    </row>
    <row r="3972" spans="1:21" ht="65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5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9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5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33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5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9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5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9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5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9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5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9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5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9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5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9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5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9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5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9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5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33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5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5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5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9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5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9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5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49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5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9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5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9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5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3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5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9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5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9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5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3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5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9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5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9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5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33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5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9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5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9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5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9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5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9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5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9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5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2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5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49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5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9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5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9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5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5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9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5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9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5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9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5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9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5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9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5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9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5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9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5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49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5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9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5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9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5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9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5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9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5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9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5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3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5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9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5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9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5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9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5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3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5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9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5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9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5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9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5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9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5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9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5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9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5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9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5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9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5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9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5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9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1" t="s">
        <v>8315</v>
      </c>
      <c r="R4034" t="s">
        <v>8316</v>
      </c>
      <c r="S4034" s="15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9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 xml:space="preserve"> IFERROR(ROUND(E4035/L4035,2),0)</f>
        <v>65.34</v>
      </c>
      <c r="Q4035" s="11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YEAR(S:S)</f>
        <v>2016</v>
      </c>
    </row>
    <row r="4036" spans="1:21" ht="49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5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3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5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9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5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9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5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9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5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33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5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9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5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3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5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9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5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9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5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9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5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9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5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9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5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9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5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9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5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9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5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9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5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9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5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5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5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9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5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9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5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9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5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9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5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9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5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9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5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9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5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9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5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33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5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9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5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9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5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9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5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3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5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9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5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9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5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33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5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9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5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33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5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49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5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49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5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9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5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9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5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9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5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9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5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9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5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9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5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9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5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9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5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9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5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9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5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9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5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49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5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9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5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9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5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5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9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5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49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5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9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5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9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5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9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5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9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5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9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5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33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5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9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1" t="s">
        <v>8315</v>
      </c>
      <c r="R4098" t="s">
        <v>8316</v>
      </c>
      <c r="S4098" s="15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9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 xml:space="preserve"> IFERROR(ROUND(E4099/L4099,2),0)</f>
        <v>0</v>
      </c>
      <c r="Q4099" s="11" t="s">
        <v>8315</v>
      </c>
      <c r="R4099" t="s">
        <v>8316</v>
      </c>
      <c r="S4099" s="15">
        <f t="shared" ref="S4099:S4117" si="322">(((J4099/60)/60)/24)+DATE(1970,1,1)</f>
        <v>42344.824502314819</v>
      </c>
      <c r="T4099" s="16">
        <f t="shared" ref="T4099:T4117" si="323">(((I4099/60)/60)/24)+DATE(1970,1,1)</f>
        <v>42400.996527777781</v>
      </c>
      <c r="U4099">
        <f t="shared" ref="U4099:U4117" si="324">YEAR(S:S)</f>
        <v>2015</v>
      </c>
    </row>
    <row r="4100" spans="1:21" ht="49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5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9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5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33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5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9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5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9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5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9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5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9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5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9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5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9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5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9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5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9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5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9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5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9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5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9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5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9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5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9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5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  <row r="4116" spans="1:21" ht="21" x14ac:dyDescent="0.25">
      <c r="P4116">
        <f t="shared" ref="P4116" si="325" xml:space="preserve"> IFERROR(ROUND(E4116/L4116,2),0)</f>
        <v>0</v>
      </c>
      <c r="S4116" s="15">
        <f t="shared" si="322"/>
        <v>25569</v>
      </c>
      <c r="T4116" s="16">
        <f t="shared" si="323"/>
        <v>25569</v>
      </c>
      <c r="U4116">
        <f t="shared" si="324"/>
        <v>1970</v>
      </c>
    </row>
    <row r="4117" spans="1:21" ht="21" x14ac:dyDescent="0.25">
      <c r="S4117" s="15">
        <f t="shared" si="322"/>
        <v>25569</v>
      </c>
      <c r="T4117" s="16">
        <f t="shared" si="323"/>
        <v>25569</v>
      </c>
      <c r="U4117">
        <f t="shared" si="324"/>
        <v>1970</v>
      </c>
    </row>
  </sheetData>
  <autoFilter ref="A1:T4117" xr:uid="{00000000-0001-0000-0000-000000000000}"/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3CA13-C1E2-D74D-B518-B401B1992A3C}">
  <dimension ref="A1:H13"/>
  <sheetViews>
    <sheetView workbookViewId="0">
      <selection activeCell="H66" sqref="H66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23.5" bestFit="1" customWidth="1"/>
    <col min="4" max="4" width="28.6640625" bestFit="1" customWidth="1"/>
    <col min="5" max="5" width="22.1640625" bestFit="1" customWidth="1"/>
    <col min="6" max="6" width="27.1640625" customWidth="1"/>
    <col min="7" max="7" width="28.83203125" bestFit="1" customWidth="1"/>
    <col min="8" max="8" width="34" bestFit="1" customWidth="1"/>
  </cols>
  <sheetData>
    <row r="1" spans="1:8" s="18" customFormat="1" x14ac:dyDescent="0.2">
      <c r="A1" s="9" t="s">
        <v>8381</v>
      </c>
      <c r="B1" s="18" t="s">
        <v>8396</v>
      </c>
      <c r="C1" s="9" t="s">
        <v>8397</v>
      </c>
      <c r="D1" s="9" t="s">
        <v>8398</v>
      </c>
      <c r="E1" s="9" t="s">
        <v>8399</v>
      </c>
      <c r="F1" s="9" t="s">
        <v>8400</v>
      </c>
      <c r="G1" s="9" t="s">
        <v>8401</v>
      </c>
      <c r="H1" s="9" t="s">
        <v>8402</v>
      </c>
    </row>
    <row r="2" spans="1:8" x14ac:dyDescent="0.2">
      <c r="A2" t="s">
        <v>8403</v>
      </c>
      <c r="B2">
        <f>COUNTIFS(Kickstarter!F:F,"successful", Kickstarter!D:D,"&lt;1000",Kickstarter!R:R,"plays")</f>
        <v>141</v>
      </c>
      <c r="C2">
        <f>COUNTIFS(Kickstarter!F:F,"failed",Kickstarter!D:D,"&lt;1000",Kickstarter!R:R,"plays")</f>
        <v>45</v>
      </c>
      <c r="D2">
        <f>COUNTIFS(Kickstarter!F:F,"canceled",Kickstarter!D:D,"&lt;1000",Kickstarter!R:R,"plays")</f>
        <v>0</v>
      </c>
      <c r="E2">
        <f>SUM('Outcomes Based on Goals'!B2:D2)</f>
        <v>186</v>
      </c>
      <c r="F2" s="23">
        <f>B2/E2</f>
        <v>0.75806451612903225</v>
      </c>
      <c r="G2" s="23">
        <f>C2/E2</f>
        <v>0.24193548387096775</v>
      </c>
      <c r="H2">
        <f>D2/E2</f>
        <v>0</v>
      </c>
    </row>
    <row r="3" spans="1:8" x14ac:dyDescent="0.2">
      <c r="A3" t="s">
        <v>8404</v>
      </c>
      <c r="B3">
        <f>COUNTIFS(Kickstarter!F:F,"successful", Kickstarter!D:D,"&gt;=1000",Kickstarter!D:D,"&lt;=4999",Kickstarter!R:R,"plays")</f>
        <v>388</v>
      </c>
      <c r="C3">
        <f>COUNTIFS(Kickstarter!F:F,"failed", Kickstarter!D:D,"&gt;=1000",Kickstarter!D:D,"&lt;=4999",Kickstarter!R:R,"plays")</f>
        <v>146</v>
      </c>
      <c r="D3">
        <f>COUNTIFS(Kickstarter!F:F,"canceled",Kickstarter!D:D,"&gt;=1000",Kickstarter!D:D,"&lt;=4999",Kickstarter!R:R,"plays")</f>
        <v>0</v>
      </c>
      <c r="E3">
        <f>SUM(B3:D3)</f>
        <v>534</v>
      </c>
      <c r="F3" s="23">
        <f t="shared" ref="F3:F13" si="0">B3/E3</f>
        <v>0.72659176029962547</v>
      </c>
      <c r="G3" s="23">
        <f t="shared" ref="G3:G13" si="1">C3/E3</f>
        <v>0.27340823970037453</v>
      </c>
      <c r="H3">
        <f t="shared" ref="H3:H13" si="2">D3/E3</f>
        <v>0</v>
      </c>
    </row>
    <row r="4" spans="1:8" x14ac:dyDescent="0.2">
      <c r="A4" t="s">
        <v>8405</v>
      </c>
      <c r="B4">
        <f>COUNTIFS(Kickstarter!F:F,"successful", Kickstarter!D:D,"&gt;=5000",Kickstarter!D:D,"&lt;=9999",Kickstarter!R:R,"plays")</f>
        <v>93</v>
      </c>
      <c r="C4">
        <f>COUNTIFS(Kickstarter!F:F,"failed", Kickstarter!D:D,"&gt;=5000",Kickstarter!D:D,"&lt;=9999",Kickstarter!R:R,"plays")</f>
        <v>76</v>
      </c>
      <c r="D4">
        <f>COUNTIFS(Kickstarter!F:F,"canceled",Kickstarter!D:D,"&gt;=5000",Kickstarter!D:D,"&lt;=9999",Kickstarter!R:R,"plays")</f>
        <v>0</v>
      </c>
      <c r="E4">
        <f>SUM(B4:D4)</f>
        <v>169</v>
      </c>
      <c r="F4" s="23">
        <f t="shared" si="0"/>
        <v>0.55029585798816572</v>
      </c>
      <c r="G4" s="23">
        <f t="shared" si="1"/>
        <v>0.44970414201183434</v>
      </c>
      <c r="H4">
        <f t="shared" si="2"/>
        <v>0</v>
      </c>
    </row>
    <row r="5" spans="1:8" x14ac:dyDescent="0.2">
      <c r="A5" t="s">
        <v>8406</v>
      </c>
      <c r="B5">
        <f>COUNTIFS(Kickstarter!F:F,"successful", Kickstarter!D:D,"&gt;=10000",Kickstarter!D:D,"&lt;=14999",Kickstarter!R:R,"plays")</f>
        <v>39</v>
      </c>
      <c r="C5">
        <f>COUNTIFS(Kickstarter!F:F,"failed", Kickstarter!D:D,"&gt;=10000",Kickstarter!D:D,"&lt;=14999",Kickstarter!R:R,"plays")</f>
        <v>33</v>
      </c>
      <c r="D5">
        <f>COUNTIFS(Kickstarter!F:F,"canceled",Kickstarter!D:D,"&gt;=10000",Kickstarter!D:D,"&gt;=14999",Kickstarter!R:R,"plays")</f>
        <v>0</v>
      </c>
      <c r="E5">
        <f>SUM(B5:D5)</f>
        <v>72</v>
      </c>
      <c r="F5" s="23">
        <f t="shared" si="0"/>
        <v>0.54166666666666663</v>
      </c>
      <c r="G5" s="23">
        <f t="shared" si="1"/>
        <v>0.45833333333333331</v>
      </c>
      <c r="H5">
        <f t="shared" si="2"/>
        <v>0</v>
      </c>
    </row>
    <row r="6" spans="1:8" x14ac:dyDescent="0.2">
      <c r="A6" t="s">
        <v>8407</v>
      </c>
      <c r="B6">
        <f>COUNTIFS(Kickstarter!F:F,"successful", Kickstarter!D:D,"&gt;=15000",Kickstarter!D:D,"&lt;=19999",Kickstarter!R:R,"plays")</f>
        <v>12</v>
      </c>
      <c r="C6">
        <f>COUNTIFS(Kickstarter!F:F,"failed", Kickstarter!D:D,"&gt;=15000",Kickstarter!D:D,"&lt;=19999",Kickstarter!R:R,"plays")</f>
        <v>12</v>
      </c>
      <c r="D6">
        <f>COUNTIFS(Kickstarter!F:F,"canceled",Kickstarter!D:D,"&gt;=15000",Kickstarter!D:D,"&gt;=19999",Kickstarter!R:R,"plays")</f>
        <v>0</v>
      </c>
      <c r="E6">
        <f>SUM(B6:D6)</f>
        <v>24</v>
      </c>
      <c r="F6" s="23">
        <f t="shared" si="0"/>
        <v>0.5</v>
      </c>
      <c r="G6" s="23">
        <f t="shared" si="1"/>
        <v>0.5</v>
      </c>
      <c r="H6">
        <f t="shared" si="2"/>
        <v>0</v>
      </c>
    </row>
    <row r="7" spans="1:8" x14ac:dyDescent="0.2">
      <c r="A7" t="s">
        <v>8408</v>
      </c>
      <c r="B7">
        <f>COUNTIFS(Kickstarter!F:F,"successful", Kickstarter!D:D,"&gt;=20000",Kickstarter!D:D,"&lt;=24999",Kickstarter!R:R,"plays")</f>
        <v>9</v>
      </c>
      <c r="C7">
        <f>COUNTIFS(Kickstarter!F:F,"failed", Kickstarter!D:D,"&gt;=20000",Kickstarter!D:D,"&lt;=24999",Kickstarter!R:R,"plays")</f>
        <v>11</v>
      </c>
      <c r="D7">
        <f>COUNTIFS(Kickstarter!F:F,"canceled",Kickstarter!D:D,"&gt;=20000",Kickstarter!D:D,"&gt;=24999",Kickstarter!R:R,"plays")</f>
        <v>0</v>
      </c>
      <c r="E7">
        <f>SUM(B7:D7)</f>
        <v>20</v>
      </c>
      <c r="F7" s="23">
        <f t="shared" si="0"/>
        <v>0.45</v>
      </c>
      <c r="G7" s="23">
        <f t="shared" si="1"/>
        <v>0.55000000000000004</v>
      </c>
      <c r="H7">
        <f t="shared" si="2"/>
        <v>0</v>
      </c>
    </row>
    <row r="8" spans="1:8" x14ac:dyDescent="0.2">
      <c r="A8" t="s">
        <v>8409</v>
      </c>
      <c r="B8">
        <f>COUNTIFS(Kickstarter!F:F,"successful", Kickstarter!D:D,"&gt;=25000",Kickstarter!D:D,"&lt;=29999",Kickstarter!R:R,"plays")</f>
        <v>1</v>
      </c>
      <c r="C8">
        <f>COUNTIFS(Kickstarter!F:F,"failed", Kickstarter!D:D,"&gt;=25000",Kickstarter!D:D,"&lt;=29999",Kickstarter!R:R,"plays")</f>
        <v>4</v>
      </c>
      <c r="D8">
        <f>COUNTIFS(Kickstarter!F:F,"canceled",Kickstarter!D:D,"&gt;=25000",Kickstarter!D:D,"&gt;=29999",Kickstarter!R:R,"plays")</f>
        <v>0</v>
      </c>
      <c r="E8">
        <f>SUM(B8:D8)</f>
        <v>5</v>
      </c>
      <c r="F8" s="23">
        <f t="shared" si="0"/>
        <v>0.2</v>
      </c>
      <c r="G8" s="23">
        <f t="shared" si="1"/>
        <v>0.8</v>
      </c>
      <c r="H8">
        <f t="shared" si="2"/>
        <v>0</v>
      </c>
    </row>
    <row r="9" spans="1:8" x14ac:dyDescent="0.2">
      <c r="A9" t="s">
        <v>8410</v>
      </c>
      <c r="B9">
        <f>COUNTIFS(Kickstarter!F:F,"successful", Kickstarter!D:D,"&gt;=30000",Kickstarter!D:D,"&lt;=34999",Kickstarter!R:R,"plays")</f>
        <v>3</v>
      </c>
      <c r="C9">
        <f>COUNTIFS(Kickstarter!F:F,"failed", Kickstarter!D:D,"&gt;=30000",Kickstarter!D:D,"&lt;=34999",Kickstarter!R:R,"plays")</f>
        <v>8</v>
      </c>
      <c r="D9">
        <f>COUNTIFS(Kickstarter!F:F,"canceled",Kickstarter!D:D,"&gt;=30000",Kickstarter!D:D,"&gt;=34999",Kickstarter!R:R,"plays")</f>
        <v>0</v>
      </c>
      <c r="E9">
        <f>SUM(B9:D9)</f>
        <v>11</v>
      </c>
      <c r="F9" s="23">
        <f t="shared" si="0"/>
        <v>0.27272727272727271</v>
      </c>
      <c r="G9" s="23">
        <f t="shared" si="1"/>
        <v>0.72727272727272729</v>
      </c>
      <c r="H9">
        <f t="shared" si="2"/>
        <v>0</v>
      </c>
    </row>
    <row r="10" spans="1:8" x14ac:dyDescent="0.2">
      <c r="A10" t="s">
        <v>8411</v>
      </c>
      <c r="B10">
        <f>COUNTIFS(Kickstarter!F:F,"successful", Kickstarter!D:D,"&gt;=35000",Kickstarter!D:D,"&lt;=39999",Kickstarter!R:R,"plays")</f>
        <v>4</v>
      </c>
      <c r="C10">
        <f>COUNTIFS(Kickstarter!F:F,"failed", Kickstarter!D:D,"&gt;=35000",Kickstarter!D:D,"&lt;=39999",Kickstarter!R:R,"plays")</f>
        <v>2</v>
      </c>
      <c r="D10">
        <f>COUNTIFS(Kickstarter!F:F,"canceled",Kickstarter!D:D,"&gt;=35000",Kickstarter!D:D,"&gt;=39999",Kickstarter!R:R,"plays")</f>
        <v>0</v>
      </c>
      <c r="E10">
        <f>SUM(B10:D10)</f>
        <v>6</v>
      </c>
      <c r="F10" s="23">
        <f t="shared" si="0"/>
        <v>0.66666666666666663</v>
      </c>
      <c r="G10" s="23">
        <f t="shared" si="1"/>
        <v>0.33333333333333331</v>
      </c>
      <c r="H10">
        <f t="shared" si="2"/>
        <v>0</v>
      </c>
    </row>
    <row r="11" spans="1:8" x14ac:dyDescent="0.2">
      <c r="A11" t="s">
        <v>8412</v>
      </c>
      <c r="B11">
        <f>COUNTIFS(Kickstarter!F:F,"successful", Kickstarter!D:D,"&gt;=40000",Kickstarter!D:D,"&lt;=44999",Kickstarter!R:R,"plays")</f>
        <v>2</v>
      </c>
      <c r="C11">
        <f>COUNTIFS(Kickstarter!F:F,"failed", Kickstarter!D:D,"&gt;=40000",Kickstarter!D:D,"&lt;=44999",Kickstarter!R:R,"plays")</f>
        <v>1</v>
      </c>
      <c r="D11">
        <f>COUNTIFS(Kickstarter!F:F,"canceled",Kickstarter!D:D,"&gt;=40000",Kickstarter!D:D,"&gt;=44999",Kickstarter!R:R,"plays")</f>
        <v>0</v>
      </c>
      <c r="E11">
        <f>SUM(B11:D11)</f>
        <v>3</v>
      </c>
      <c r="F11" s="23">
        <f t="shared" si="0"/>
        <v>0.66666666666666663</v>
      </c>
      <c r="G11" s="23">
        <f t="shared" si="1"/>
        <v>0.33333333333333331</v>
      </c>
      <c r="H11">
        <f t="shared" si="2"/>
        <v>0</v>
      </c>
    </row>
    <row r="12" spans="1:8" x14ac:dyDescent="0.2">
      <c r="A12" t="s">
        <v>8413</v>
      </c>
      <c r="B12">
        <f>COUNTIFS(Kickstarter!F:F,"successful", Kickstarter!D:D,"&gt;=45000",Kickstarter!D:D,"&lt;=49999",Kickstarter!R:R,"plays")</f>
        <v>0</v>
      </c>
      <c r="C12">
        <f>COUNTIFS(Kickstarter!F:F,"failed", Kickstarter!D:D,"&gt;=45000",Kickstarter!D:D,"&lt;=49999",Kickstarter!R:R,"plays")</f>
        <v>1</v>
      </c>
      <c r="D12">
        <f>COUNTIFS(Kickstarter!F:F,"canceled",Kickstarter!D:D,"&gt;=45000",Kickstarter!D:D,"&gt;=49999",Kickstarter!R:R,"plays")</f>
        <v>0</v>
      </c>
      <c r="E12">
        <f>SUM(B12:D12)</f>
        <v>1</v>
      </c>
      <c r="F12" s="23">
        <f t="shared" si="0"/>
        <v>0</v>
      </c>
      <c r="G12" s="23">
        <f t="shared" si="1"/>
        <v>1</v>
      </c>
      <c r="H12">
        <f t="shared" si="2"/>
        <v>0</v>
      </c>
    </row>
    <row r="13" spans="1:8" x14ac:dyDescent="0.2">
      <c r="A13" t="s">
        <v>8414</v>
      </c>
      <c r="B13">
        <f>COUNTIFS(Kickstarter!F:F,"successful", Kickstarter!D:D,"&gt;=50000",Kickstarter!R:R,"plays")</f>
        <v>2</v>
      </c>
      <c r="C13">
        <f>COUNTIFS(Kickstarter!F:F,"failed", Kickstarter!D:D,"&gt;=50000",Kickstarter!R:R,"plays")</f>
        <v>14</v>
      </c>
      <c r="D13">
        <f>COUNTIFS(Kickstarter!F:F,"canceled",Kickstarter!D:D,"&gt;50000",Kickstarter!R:R,"plays")</f>
        <v>0</v>
      </c>
      <c r="E13">
        <f>SUM(B13:D13)</f>
        <v>16</v>
      </c>
      <c r="F13" s="23">
        <f t="shared" si="0"/>
        <v>0.125</v>
      </c>
      <c r="G13" s="23">
        <f t="shared" si="1"/>
        <v>0.875</v>
      </c>
      <c r="H13">
        <f t="shared" si="2"/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57411-30A0-264F-B005-99D8F6440686}"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21.6640625" bestFit="1" customWidth="1"/>
    <col min="2" max="2" width="20" bestFit="1" customWidth="1"/>
    <col min="3" max="3" width="21.8320312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8387</v>
      </c>
      <c r="B2" s="20" t="e">
        <f>AVERAGE(#REF!)</f>
        <v>#REF!</v>
      </c>
      <c r="C2" s="21" t="e">
        <f>AVERAGE(#REF!)</f>
        <v>#REF!</v>
      </c>
    </row>
    <row r="3" spans="1:3" x14ac:dyDescent="0.2">
      <c r="A3" t="s">
        <v>8388</v>
      </c>
      <c r="B3" s="22" t="e">
        <f>MEDIAN(#REF!)</f>
        <v>#REF!</v>
      </c>
      <c r="C3" s="21" t="e">
        <f>MEDIAN(#REF!)</f>
        <v>#REF!</v>
      </c>
    </row>
    <row r="4" spans="1:3" x14ac:dyDescent="0.2">
      <c r="A4" t="s">
        <v>8391</v>
      </c>
      <c r="B4" s="18" t="e">
        <f>_xlfn.STDEV.P(#REF!)</f>
        <v>#REF!</v>
      </c>
      <c r="C4" s="21" t="e">
        <f>_xlfn.STDEV.P(#REF!)</f>
        <v>#REF!</v>
      </c>
    </row>
    <row r="5" spans="1:3" x14ac:dyDescent="0.2">
      <c r="A5" t="s">
        <v>8392</v>
      </c>
      <c r="B5" s="18" t="e">
        <f>_xlfn.QUARTILE.EXC(#REF!, 3)</f>
        <v>#REF!</v>
      </c>
      <c r="C5" s="21" t="e">
        <f>_xlfn.QUARTILE.EXC(#REF!,3)</f>
        <v>#REF!</v>
      </c>
    </row>
    <row r="6" spans="1:3" x14ac:dyDescent="0.2">
      <c r="A6" t="s">
        <v>8393</v>
      </c>
      <c r="B6" s="18" t="e">
        <f>_xlfn.QUARTILE.EXC(#REF!, 1)</f>
        <v>#REF!</v>
      </c>
      <c r="C6" s="21" t="e">
        <f>_xlfn.QUARTILE.EXC(#REF!,1)</f>
        <v>#REF!</v>
      </c>
    </row>
    <row r="7" spans="1:3" x14ac:dyDescent="0.2">
      <c r="A7" t="s">
        <v>8394</v>
      </c>
      <c r="B7" s="18" t="e">
        <f>B5-B6</f>
        <v>#REF!</v>
      </c>
      <c r="C7" s="21" t="e">
        <f>C5-C6</f>
        <v>#REF!</v>
      </c>
    </row>
    <row r="8" spans="1:3" x14ac:dyDescent="0.2">
      <c r="B8" s="20"/>
      <c r="C8" s="20"/>
    </row>
    <row r="9" spans="1:3" x14ac:dyDescent="0.2">
      <c r="A9" t="s">
        <v>8389</v>
      </c>
      <c r="B9" s="20" t="e">
        <f>AVERAGE(#REF!)</f>
        <v>#REF!</v>
      </c>
      <c r="C9" s="20" t="e">
        <f>AVERAGE(#REF!)</f>
        <v>#REF!</v>
      </c>
    </row>
    <row r="10" spans="1:3" x14ac:dyDescent="0.2">
      <c r="A10" t="s">
        <v>8390</v>
      </c>
      <c r="B10" s="20" t="e">
        <f>MEDIAN(#REF!)</f>
        <v>#REF!</v>
      </c>
      <c r="C10" s="20" t="e">
        <f>MEDIAN(#REF!)</f>
        <v>#REF!</v>
      </c>
    </row>
    <row r="11" spans="1:3" x14ac:dyDescent="0.2">
      <c r="A11" t="s">
        <v>8391</v>
      </c>
      <c r="B11" t="e">
        <f>_xlfn.STDEV.P(#REF!)</f>
        <v>#REF!</v>
      </c>
      <c r="C11" t="e">
        <f>_xlfn.STDEV.P(#REF!)</f>
        <v>#REF!</v>
      </c>
    </row>
    <row r="12" spans="1:3" x14ac:dyDescent="0.2">
      <c r="A12" t="s">
        <v>8392</v>
      </c>
      <c r="B12" t="e">
        <f>_xlfn.QUARTILE.EXC(#REF!,3)</f>
        <v>#REF!</v>
      </c>
      <c r="C12" t="e">
        <f>_xlfn.QUARTILE.EXC(#REF!,3)</f>
        <v>#REF!</v>
      </c>
    </row>
    <row r="13" spans="1:3" x14ac:dyDescent="0.2">
      <c r="A13" t="s">
        <v>8393</v>
      </c>
      <c r="B13" t="e">
        <f>_xlfn.QUARTILE.EXC(#REF!,1)</f>
        <v>#REF!</v>
      </c>
      <c r="C13" t="e">
        <f>_xlfn.QUARTILE.EXC(#REF!,1)</f>
        <v>#REF!</v>
      </c>
    </row>
    <row r="14" spans="1:3" x14ac:dyDescent="0.2">
      <c r="A14" t="s">
        <v>8394</v>
      </c>
      <c r="B14" t="e">
        <f>B12-B13</f>
        <v>#REF!</v>
      </c>
      <c r="C14" t="e">
        <f>C12-C13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64B6F-B2CE-A04C-8B8C-2D6341708AD1}">
  <dimension ref="A1:F6"/>
  <sheetViews>
    <sheetView workbookViewId="0">
      <selection activeCell="F2" sqref="F2"/>
    </sheetView>
  </sheetViews>
  <sheetFormatPr baseColWidth="10" defaultRowHeight="15" x14ac:dyDescent="0.2"/>
  <cols>
    <col min="1" max="1" width="28.6640625" style="18" bestFit="1" customWidth="1"/>
    <col min="2" max="2" width="109" bestFit="1" customWidth="1"/>
    <col min="3" max="3" width="5.1640625" bestFit="1" customWidth="1"/>
    <col min="4" max="4" width="13.5" bestFit="1" customWidth="1"/>
    <col min="5" max="5" width="14.5" bestFit="1" customWidth="1"/>
    <col min="6" max="6" width="15.1640625" bestFit="1" customWidth="1"/>
  </cols>
  <sheetData>
    <row r="1" spans="1:6" x14ac:dyDescent="0.2">
      <c r="A1" s="18" t="s">
        <v>8380</v>
      </c>
      <c r="B1" t="s">
        <v>8383</v>
      </c>
      <c r="C1" t="s">
        <v>8381</v>
      </c>
      <c r="D1" s="9" t="s">
        <v>8382</v>
      </c>
      <c r="E1" s="19" t="s">
        <v>8307</v>
      </c>
      <c r="F1" t="s">
        <v>8384</v>
      </c>
    </row>
    <row r="2" spans="1:6" x14ac:dyDescent="0.2">
      <c r="A2" s="9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s="9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s="9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s="9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s="9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Statistics</vt:lpstr>
      <vt:lpstr>Outcomes Based on Launch Date</vt:lpstr>
      <vt:lpstr>Theater Outcomes by Launch Date</vt:lpstr>
      <vt:lpstr>Kickstarter</vt:lpstr>
      <vt:lpstr>Outcomes Based on Goals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Kelly Nichols</cp:lastModifiedBy>
  <dcterms:created xsi:type="dcterms:W3CDTF">2017-04-20T15:17:24Z</dcterms:created>
  <dcterms:modified xsi:type="dcterms:W3CDTF">2022-02-19T21:40:14Z</dcterms:modified>
</cp:coreProperties>
</file>