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d.docs.live.net/b5b02f2d421a08f9/Desktop/Grad School/MBC638/Semester Project/"/>
    </mc:Choice>
  </mc:AlternateContent>
  <xr:revisionPtr revIDLastSave="810" documentId="8_{4F5A60C7-1C0F-475C-B001-26705CDD2135}" xr6:coauthVersionLast="45" xr6:coauthVersionMax="45" xr10:uidLastSave="{1445DB4E-71BA-474F-AD8D-9A5F3A32A8DC}"/>
  <bookViews>
    <workbookView xWindow="28680" yWindow="-120" windowWidth="25440" windowHeight="15390" activeTab="6" xr2:uid="{8BA8E650-2B96-4955-826B-52834CD74669}"/>
  </bookViews>
  <sheets>
    <sheet name="Sheet2" sheetId="13" r:id="rId1"/>
    <sheet name="SQL" sheetId="12" r:id="rId2"/>
    <sheet name="data" sheetId="1" r:id="rId3"/>
    <sheet name="mean-stdev" sheetId="3" r:id="rId4"/>
    <sheet name="norm dist" sheetId="4" r:id="rId5"/>
    <sheet name="hyp" sheetId="14" r:id="rId6"/>
    <sheet name="chi square" sheetId="5" r:id="rId7"/>
    <sheet name="confidence interval" sheetId="6" r:id="rId8"/>
    <sheet name="sample size" sheetId="7" r:id="rId9"/>
    <sheet name="mult regression" sheetId="8" r:id="rId10"/>
    <sheet name="correlation" sheetId="9" r:id="rId11"/>
    <sheet name="Control Chart" sheetId="10" r:id="rId12"/>
    <sheet name="data2" sheetId="11"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9" i="5" l="1"/>
  <c r="C30" i="5"/>
  <c r="B81" i="4" l="1"/>
  <c r="B51" i="4"/>
  <c r="G4" i="10" l="1"/>
  <c r="E64" i="10"/>
  <c r="J4" i="5"/>
  <c r="B64" i="3"/>
  <c r="B62" i="3"/>
  <c r="G57" i="4" l="1"/>
  <c r="G63" i="4"/>
  <c r="G66" i="4"/>
  <c r="G65" i="4"/>
  <c r="G58" i="4"/>
  <c r="G60" i="4"/>
  <c r="G55" i="4"/>
  <c r="G62" i="4"/>
  <c r="G56" i="4"/>
  <c r="G64" i="4"/>
  <c r="G59" i="4"/>
  <c r="G54" i="4"/>
  <c r="G4" i="4"/>
  <c r="G5" i="4"/>
  <c r="G6" i="4"/>
  <c r="G7" i="4"/>
  <c r="G8" i="4"/>
  <c r="G10" i="4"/>
  <c r="G11" i="4"/>
  <c r="G12" i="4"/>
  <c r="G13" i="4"/>
  <c r="G14" i="4"/>
  <c r="G15" i="4"/>
  <c r="G16" i="4"/>
  <c r="G17" i="4"/>
  <c r="G18" i="4"/>
  <c r="G19" i="4"/>
  <c r="G20" i="4"/>
  <c r="G21" i="4"/>
  <c r="G22" i="4"/>
  <c r="G23" i="4"/>
  <c r="G24" i="4"/>
  <c r="G25" i="4"/>
  <c r="G26" i="4"/>
  <c r="G27" i="4"/>
  <c r="G28" i="4"/>
  <c r="G29" i="4"/>
  <c r="G30" i="4"/>
  <c r="G31" i="4"/>
  <c r="G32" i="4"/>
  <c r="G33" i="4"/>
  <c r="G34" i="4"/>
  <c r="G35" i="4"/>
  <c r="G3" i="4"/>
  <c r="G32" i="6" l="1"/>
  <c r="H9" i="6"/>
  <c r="B80" i="4"/>
  <c r="B80" i="3"/>
  <c r="B78" i="3"/>
  <c r="E71" i="3"/>
  <c r="E70" i="3"/>
  <c r="E69" i="3"/>
  <c r="E68" i="3"/>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5" i="10"/>
  <c r="G62" i="9"/>
  <c r="G61" i="9"/>
  <c r="E61" i="9"/>
  <c r="G60" i="9"/>
  <c r="E60" i="9"/>
  <c r="G59" i="9"/>
  <c r="E59" i="9"/>
  <c r="G58" i="9"/>
  <c r="E58" i="9"/>
  <c r="G57" i="9"/>
  <c r="E57" i="9"/>
  <c r="G56" i="9"/>
  <c r="G55" i="9"/>
  <c r="G54" i="9"/>
  <c r="E54" i="9"/>
  <c r="G53" i="9"/>
  <c r="E53" i="9"/>
  <c r="G52" i="9"/>
  <c r="E52" i="9"/>
  <c r="G51" i="9"/>
  <c r="E51" i="9"/>
  <c r="G50" i="9"/>
  <c r="G49" i="9"/>
  <c r="G48" i="9"/>
  <c r="G47" i="9"/>
  <c r="G46" i="9"/>
  <c r="E46" i="9"/>
  <c r="G45" i="9"/>
  <c r="E45" i="9"/>
  <c r="G44" i="9"/>
  <c r="E44" i="9"/>
  <c r="G43" i="9"/>
  <c r="E43" i="9"/>
  <c r="G42" i="9"/>
  <c r="G41" i="9"/>
  <c r="G40" i="9"/>
  <c r="E40" i="9"/>
  <c r="G39" i="9"/>
  <c r="E39" i="9"/>
  <c r="G38" i="9"/>
  <c r="E38" i="9"/>
  <c r="G37" i="9"/>
  <c r="E37" i="9"/>
  <c r="G36" i="9"/>
  <c r="E36" i="9"/>
  <c r="G35" i="9"/>
  <c r="G34" i="9"/>
  <c r="G33" i="9"/>
  <c r="E33" i="9"/>
  <c r="G32" i="9"/>
  <c r="G31" i="9"/>
  <c r="G30" i="9"/>
  <c r="G29" i="9"/>
  <c r="E29" i="9"/>
  <c r="G28" i="9"/>
  <c r="G27" i="9"/>
  <c r="G26" i="9"/>
  <c r="E26" i="9"/>
  <c r="G25" i="9"/>
  <c r="E25" i="9"/>
  <c r="G24" i="9"/>
  <c r="E24" i="9"/>
  <c r="G23" i="9"/>
  <c r="E23" i="9"/>
  <c r="G22" i="9"/>
  <c r="E22" i="9"/>
  <c r="G21" i="9"/>
  <c r="G20" i="9"/>
  <c r="G19" i="9"/>
  <c r="E19" i="9"/>
  <c r="G18" i="9"/>
  <c r="E18" i="9"/>
  <c r="G17" i="9"/>
  <c r="E17" i="9"/>
  <c r="G16" i="9"/>
  <c r="E16" i="9"/>
  <c r="G15" i="9"/>
  <c r="E15" i="9"/>
  <c r="G14" i="9"/>
  <c r="G13" i="9"/>
  <c r="G12" i="9"/>
  <c r="G11" i="9"/>
  <c r="G10" i="9"/>
  <c r="E10" i="9"/>
  <c r="G9" i="9"/>
  <c r="E9" i="9"/>
  <c r="G8" i="9"/>
  <c r="E8" i="9"/>
  <c r="G7" i="9"/>
  <c r="G6" i="9"/>
  <c r="G5" i="9"/>
  <c r="E5" i="9"/>
  <c r="G4" i="9"/>
  <c r="E4" i="9"/>
  <c r="G3" i="9"/>
  <c r="I62" i="11"/>
  <c r="I61" i="11"/>
  <c r="G61" i="11"/>
  <c r="I60" i="11"/>
  <c r="G60" i="11"/>
  <c r="I59" i="11"/>
  <c r="G59" i="11"/>
  <c r="I58" i="11"/>
  <c r="G58" i="11"/>
  <c r="I57" i="11"/>
  <c r="G57" i="11"/>
  <c r="I56" i="11"/>
  <c r="I55" i="11"/>
  <c r="I54" i="11"/>
  <c r="G54" i="11"/>
  <c r="I53" i="11"/>
  <c r="G53" i="11"/>
  <c r="I52" i="11"/>
  <c r="G52" i="11"/>
  <c r="I51" i="11"/>
  <c r="G51" i="11"/>
  <c r="I50" i="11"/>
  <c r="I49" i="11"/>
  <c r="I48" i="11"/>
  <c r="I47" i="11"/>
  <c r="I46" i="11"/>
  <c r="G46" i="11"/>
  <c r="I45" i="11"/>
  <c r="G45" i="11"/>
  <c r="I44" i="11"/>
  <c r="G44" i="11"/>
  <c r="I43" i="11"/>
  <c r="G43" i="11"/>
  <c r="I42" i="11"/>
  <c r="I41" i="11"/>
  <c r="I40" i="11"/>
  <c r="G40" i="11"/>
  <c r="I39" i="11"/>
  <c r="G39" i="11"/>
  <c r="I38" i="11"/>
  <c r="G38" i="11"/>
  <c r="I37" i="11"/>
  <c r="G37" i="11"/>
  <c r="I36" i="11"/>
  <c r="G36" i="11"/>
  <c r="I35" i="11"/>
  <c r="I34" i="11"/>
  <c r="I33" i="11"/>
  <c r="G33" i="11"/>
  <c r="I32" i="11"/>
  <c r="I31" i="11"/>
  <c r="I30" i="11"/>
  <c r="I29" i="11"/>
  <c r="G29" i="11"/>
  <c r="I28" i="11"/>
  <c r="I27" i="11"/>
  <c r="I26" i="11"/>
  <c r="G26" i="11"/>
  <c r="I25" i="11"/>
  <c r="G25" i="11"/>
  <c r="I24" i="11"/>
  <c r="G24" i="11"/>
  <c r="I23" i="11"/>
  <c r="G23" i="11"/>
  <c r="I22" i="11"/>
  <c r="G22" i="11"/>
  <c r="I21" i="11"/>
  <c r="I20" i="11"/>
  <c r="I19" i="11"/>
  <c r="G19" i="11"/>
  <c r="I18" i="11"/>
  <c r="G18" i="11"/>
  <c r="I17" i="11"/>
  <c r="G17" i="11"/>
  <c r="I16" i="11"/>
  <c r="G16" i="11"/>
  <c r="I15" i="11"/>
  <c r="G15" i="11"/>
  <c r="I14" i="11"/>
  <c r="I13" i="11"/>
  <c r="I12" i="11"/>
  <c r="I11" i="11"/>
  <c r="I10" i="11"/>
  <c r="G10" i="11"/>
  <c r="I9" i="11"/>
  <c r="G9" i="11"/>
  <c r="I8" i="11"/>
  <c r="G8" i="11"/>
  <c r="I7" i="11"/>
  <c r="I6" i="11"/>
  <c r="I5" i="11"/>
  <c r="G5" i="11"/>
  <c r="I4" i="11"/>
  <c r="G4" i="11"/>
  <c r="I3" i="11"/>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G62" i="8"/>
  <c r="G61" i="8"/>
  <c r="G60" i="8"/>
  <c r="G59" i="8"/>
  <c r="G58" i="8"/>
  <c r="G57" i="8"/>
  <c r="G56" i="8"/>
  <c r="G55" i="8"/>
  <c r="G54" i="8"/>
  <c r="G53" i="8"/>
  <c r="G52" i="8"/>
  <c r="G51" i="8"/>
  <c r="G50" i="8"/>
  <c r="G49" i="8"/>
  <c r="G48" i="8"/>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E61" i="8" l="1"/>
  <c r="E60" i="8"/>
  <c r="E59" i="8"/>
  <c r="E58" i="8"/>
  <c r="E57" i="8"/>
  <c r="E54" i="8"/>
  <c r="E53" i="8"/>
  <c r="E52" i="8"/>
  <c r="E51" i="8"/>
  <c r="E46" i="8"/>
  <c r="E45" i="8"/>
  <c r="E44" i="8"/>
  <c r="E43" i="8"/>
  <c r="E40" i="8"/>
  <c r="E39" i="8"/>
  <c r="E38" i="8"/>
  <c r="E37" i="8"/>
  <c r="E36" i="8"/>
  <c r="E33" i="8"/>
  <c r="E29" i="8"/>
  <c r="E26" i="8"/>
  <c r="E25" i="8"/>
  <c r="E24" i="8"/>
  <c r="E23" i="8"/>
  <c r="E22" i="8"/>
  <c r="E19" i="8"/>
  <c r="E18" i="8"/>
  <c r="E17" i="8"/>
  <c r="E16" i="8"/>
  <c r="E15" i="8"/>
  <c r="E10" i="8"/>
  <c r="E9" i="8"/>
  <c r="E8" i="8"/>
  <c r="E5" i="8"/>
  <c r="E4" i="8"/>
  <c r="E60" i="3"/>
  <c r="E59" i="3"/>
  <c r="E58" i="3"/>
  <c r="E57" i="3"/>
  <c r="E56" i="3"/>
  <c r="E53" i="3"/>
  <c r="E52" i="3"/>
  <c r="E51" i="3"/>
  <c r="E50" i="3"/>
  <c r="E45" i="3"/>
  <c r="E44" i="3"/>
  <c r="E43" i="3"/>
  <c r="E42" i="3"/>
  <c r="E39" i="3"/>
  <c r="E38" i="3"/>
  <c r="E37" i="3"/>
  <c r="E36" i="3"/>
  <c r="E35" i="3"/>
  <c r="E32" i="3"/>
  <c r="E28" i="3"/>
  <c r="E25" i="3"/>
  <c r="E24" i="3"/>
  <c r="E23" i="3"/>
  <c r="E22" i="3"/>
  <c r="E21" i="3"/>
  <c r="E18" i="3"/>
  <c r="E17" i="3"/>
  <c r="E16" i="3"/>
  <c r="E15" i="3"/>
  <c r="E14" i="3"/>
  <c r="E9" i="3"/>
  <c r="E8" i="3"/>
  <c r="E7" i="3"/>
  <c r="E4" i="3"/>
  <c r="E3" i="3"/>
  <c r="F68" i="1" l="1"/>
  <c r="F67" i="1"/>
  <c r="F66" i="1"/>
  <c r="F65" i="1"/>
  <c r="F60" i="1"/>
  <c r="F59" i="1"/>
  <c r="F58" i="1"/>
  <c r="F57" i="1"/>
  <c r="F56" i="1"/>
  <c r="F53" i="1"/>
  <c r="F52" i="1"/>
  <c r="F51" i="1"/>
  <c r="F50" i="1"/>
  <c r="F45" i="1"/>
  <c r="F44" i="1"/>
  <c r="F43" i="1"/>
  <c r="F42" i="1"/>
  <c r="F39" i="1"/>
  <c r="F38" i="1"/>
  <c r="F37" i="1"/>
  <c r="F36" i="1"/>
  <c r="F35" i="1"/>
  <c r="F32" i="1"/>
  <c r="F28" i="1"/>
  <c r="F25" i="1"/>
  <c r="F24" i="1"/>
  <c r="F23" i="1"/>
  <c r="F22" i="1"/>
  <c r="F21" i="1"/>
  <c r="F18" i="1"/>
  <c r="F17" i="1"/>
  <c r="F16" i="1"/>
  <c r="F15" i="1"/>
  <c r="F14" i="1"/>
  <c r="F9" i="1"/>
  <c r="F8" i="1"/>
  <c r="F7" i="1"/>
  <c r="F4" i="1"/>
  <c r="F3" i="1"/>
  <c r="E4" i="10" l="1"/>
  <c r="F4" i="10" l="1"/>
  <c r="K4" i="10" l="1"/>
  <c r="L4" i="10"/>
  <c r="H4" i="10"/>
  <c r="E3" i="6"/>
  <c r="E25" i="5"/>
  <c r="E24" i="5"/>
  <c r="E23" i="5"/>
  <c r="E22" i="5"/>
  <c r="E21" i="5"/>
  <c r="E20" i="5"/>
  <c r="C26" i="5"/>
  <c r="E26" i="5" l="1"/>
  <c r="E10" i="5" l="1"/>
  <c r="D10" i="5"/>
  <c r="C10" i="5"/>
  <c r="F9" i="5"/>
  <c r="F8" i="5"/>
  <c r="F10" i="5" l="1"/>
  <c r="E15" i="5" s="1"/>
  <c r="C16" i="5"/>
  <c r="D16" i="5"/>
  <c r="E16" i="5" l="1"/>
  <c r="C15" i="5"/>
  <c r="D15" i="5"/>
</calcChain>
</file>

<file path=xl/sharedStrings.xml><?xml version="1.0" encoding="utf-8"?>
<sst xmlns="http://schemas.openxmlformats.org/spreadsheetml/2006/main" count="566" uniqueCount="223">
  <si>
    <t>Date</t>
  </si>
  <si>
    <t>Type</t>
  </si>
  <si>
    <t>Joes</t>
  </si>
  <si>
    <t>walking</t>
  </si>
  <si>
    <t>Joes/walking</t>
  </si>
  <si>
    <t>Volleyball/walking</t>
  </si>
  <si>
    <t xml:space="preserve"> </t>
  </si>
  <si>
    <t>joes/walking</t>
  </si>
  <si>
    <t>joes</t>
  </si>
  <si>
    <t>alpha = .05</t>
  </si>
  <si>
    <t>Actual Observered frequencies</t>
  </si>
  <si>
    <t>workday</t>
  </si>
  <si>
    <t>nonworkday</t>
  </si>
  <si>
    <t>Ho: type of day and hours of sleep are independent (no relationship)</t>
  </si>
  <si>
    <t>Ha: type of day and hours of sleep are not independent (is a relationship)</t>
  </si>
  <si>
    <t>Expected Frequencies</t>
  </si>
  <si>
    <t>degrees of freedom:</t>
  </si>
  <si>
    <t>df = (r-1) * (c-1)</t>
  </si>
  <si>
    <t>(2-1) * (3-1)</t>
  </si>
  <si>
    <t>Category</t>
  </si>
  <si>
    <t>F (Expected)</t>
  </si>
  <si>
    <t>(f-F)^2/F</t>
  </si>
  <si>
    <t>f (observed)</t>
  </si>
  <si>
    <t>totals</t>
  </si>
  <si>
    <t>chi square</t>
  </si>
  <si>
    <t>p value</t>
  </si>
  <si>
    <t>Reject Ho</t>
  </si>
  <si>
    <t>n = 60</t>
  </si>
  <si>
    <t>U = xbar + Z* (s/sqrt(n))</t>
  </si>
  <si>
    <t>L = xbar - Z* (s/sqrt(n))</t>
  </si>
  <si>
    <t>p = .95</t>
  </si>
  <si>
    <t>Z* = 1.96</t>
  </si>
  <si>
    <t>n = ((Z* S)/E)^2</t>
  </si>
  <si>
    <t>Y = Output</t>
  </si>
  <si>
    <t>X = Inputs</t>
  </si>
  <si>
    <t>Xbar/R Chart</t>
  </si>
  <si>
    <t>Sample #</t>
  </si>
  <si>
    <t>R</t>
  </si>
  <si>
    <t>UCL</t>
  </si>
  <si>
    <t>LCL</t>
  </si>
  <si>
    <t>Xbar</t>
  </si>
  <si>
    <t>I want to know if continue with this process if it will stay in control or if out of control</t>
  </si>
  <si>
    <t>Minutes of Exercise (Y - output)</t>
  </si>
  <si>
    <t>Minutes of Sleep</t>
  </si>
  <si>
    <t>Minutes of Studying</t>
  </si>
  <si>
    <t>Minutes of Sicktime</t>
  </si>
  <si>
    <t>Minutes of overtime</t>
  </si>
  <si>
    <t>Minutes of work</t>
  </si>
  <si>
    <t>Calories of Junk Food Consumed</t>
  </si>
  <si>
    <t>avg</t>
  </si>
  <si>
    <t>std</t>
  </si>
  <si>
    <t>sample mean =35.3167</t>
  </si>
  <si>
    <t>sample std deviation = 50.7688</t>
  </si>
  <si>
    <t>Hypothesized mean = 60 minutes</t>
  </si>
  <si>
    <t>480 mins sleep</t>
  </si>
  <si>
    <t>xbar = 35.3167</t>
  </si>
  <si>
    <t>s = 50.7688</t>
  </si>
  <si>
    <t>U = 35.3167 + 1.96(50.7688/(7.7460))</t>
  </si>
  <si>
    <t>U =  35.3167 +1.96(6.5542)</t>
  </si>
  <si>
    <t>S = 50.7688</t>
  </si>
  <si>
    <t>n = ((1.96*50.7688)/.15)^2</t>
  </si>
  <si>
    <t>n = (99.5068/15)^2</t>
  </si>
  <si>
    <t>n = (6.6338)^2</t>
  </si>
  <si>
    <t>n = 44.0073 or 44</t>
  </si>
  <si>
    <t>44 samples are needed to detect a change in the population mean</t>
  </si>
  <si>
    <t>Minutes of Overtime</t>
  </si>
  <si>
    <t>Minutes of Work</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</si>
  <si>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</si>
  <si>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</si>
  <si>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</si>
  <si>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</si>
  <si>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</si>
  <si>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</si>
  <si>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</si>
  <si>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</si>
  <si>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</si>
  <si>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</si>
  <si>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</si>
  <si>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</si>
  <si>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</si>
  <si>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</si>
  <si>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</si>
  <si>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</si>
  <si>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</si>
  <si>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</si>
  <si>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</si>
  <si>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</si>
  <si>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</si>
  <si>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</si>
  <si>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</si>
  <si>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</si>
  <si>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walking/joes</t>
  </si>
  <si>
    <t>Water Consumed (ml)</t>
  </si>
  <si>
    <t>Sickday</t>
  </si>
  <si>
    <t>what two things have highest correlation</t>
  </si>
  <si>
    <t>n = 1</t>
  </si>
  <si>
    <t>LCL = D3*mRbar</t>
  </si>
  <si>
    <t>UCL = D4 *mRbar</t>
  </si>
  <si>
    <t>mRbar</t>
  </si>
  <si>
    <t xml:space="preserve">mRbar = </t>
  </si>
  <si>
    <t>Individual Chart</t>
  </si>
  <si>
    <t>UCL = xbar + E2 *mRbar</t>
  </si>
  <si>
    <t>LCL = xbar - E2*mRbar</t>
  </si>
  <si>
    <t>X</t>
  </si>
  <si>
    <t>process change - working out every morning</t>
  </si>
  <si>
    <t>sample size = 12</t>
  </si>
  <si>
    <t>sample mean =89.25</t>
  </si>
  <si>
    <t>sample std deviation = 48.9473</t>
  </si>
  <si>
    <t>What is the proportion of exercise output below 60?</t>
  </si>
  <si>
    <t>z = 60 - 35.3167/50.7688</t>
  </si>
  <si>
    <t>z = 60 - 89.25/48.9473</t>
  </si>
  <si>
    <t>From the table, the proportion of Exercise Output below 60 is 27.76%</t>
  </si>
  <si>
    <t>xbar = 89.25</t>
  </si>
  <si>
    <t>n = 12</t>
  </si>
  <si>
    <t>U = 35.3167 + 1.96(50.7688/(sqrt(60))</t>
  </si>
  <si>
    <t>s = 48.9473</t>
  </si>
  <si>
    <t>U = xbar + t (s/sqrt(n))</t>
  </si>
  <si>
    <t>L = xbar - t (s/sqrt(n))</t>
  </si>
  <si>
    <t>U = 35.3167 + 12.8460</t>
  </si>
  <si>
    <t>L = 35.3167 - 12.8460</t>
  </si>
  <si>
    <t>U = 48.1627</t>
  </si>
  <si>
    <t>L = 22.4707</t>
  </si>
  <si>
    <t>U = 89.25 + 2.201(48.9473/(sqrt(12)))</t>
  </si>
  <si>
    <t>U = 89.25 + 2.201(48.9473/(3.4641))</t>
  </si>
  <si>
    <t>U = 89.25 + 2.201(14.1299)</t>
  </si>
  <si>
    <t>U = 89.25 + 31.10</t>
  </si>
  <si>
    <t>U = 120.35</t>
  </si>
  <si>
    <t>L = 58.15</t>
  </si>
  <si>
    <t>L = 89.25 - 31.10</t>
  </si>
  <si>
    <t>We are 95% confident that the mean of the population is between 58.15 minutes and 120.35 minutes</t>
  </si>
  <si>
    <t>We are 95% confident that the mean of the population is between 22.47 minutes and 48.16 minutes</t>
  </si>
  <si>
    <t>Morning Workout</t>
  </si>
  <si>
    <t>negative tells you when run regression your coefficient will be negative</t>
  </si>
  <si>
    <t>always use highest in absolute value and sign tells you the relationship</t>
  </si>
  <si>
    <t>talk about how did process change</t>
  </si>
  <si>
    <t>morning workout and overtime are related - because can stay late</t>
  </si>
  <si>
    <t>overtime eame less significant when included morning workout</t>
  </si>
  <si>
    <t>exclude overtime</t>
  </si>
  <si>
    <t>yhat = -3.1120 + .0438sleep + .0866overtime + .0265work - .0265calories + .0097water - 22.5696sickday + 16.6298morning</t>
  </si>
  <si>
    <t>water consumed and minutes of sleep have highest correlation of .5928</t>
  </si>
  <si>
    <t>calories and minutes of work have the second highest correlation of .5594</t>
  </si>
  <si>
    <t>yhat = 66.2329 -.0371 - 27.3936</t>
  </si>
  <si>
    <t>overtime, work, junkfood, sickday, morning</t>
  </si>
  <si>
    <t>Normal Dist</t>
  </si>
  <si>
    <t>Mean</t>
  </si>
  <si>
    <t>STD</t>
  </si>
  <si>
    <t>Defect opportunities per unit:</t>
  </si>
  <si>
    <t>Units produced per timeframe</t>
  </si>
  <si>
    <t>D = 1</t>
  </si>
  <si>
    <t>Total possible defects per timeframe:</t>
  </si>
  <si>
    <t>Total actual defects during that timeframe:</t>
  </si>
  <si>
    <t>Defect per opportunity rate:</t>
  </si>
  <si>
    <t>Defects per million opportunities (DPMO)</t>
  </si>
  <si>
    <t>SQL Value</t>
  </si>
  <si>
    <t>Sample Size:</t>
  </si>
  <si>
    <t>Sample Mean:</t>
  </si>
  <si>
    <t>Standard Deviation:</t>
  </si>
  <si>
    <t>P-value:</t>
  </si>
  <si>
    <t>Alpha:</t>
  </si>
  <si>
    <t>I am 95% confident that the mean of the population is between 22.47 minutes and 48.16 minutes.</t>
  </si>
  <si>
    <t>A = 42</t>
  </si>
  <si>
    <t>Defect: Did I have 60 minutes of exercise</t>
  </si>
  <si>
    <t>U = 60</t>
  </si>
  <si>
    <t>D *U = 60</t>
  </si>
  <si>
    <t>A/DU = DPO = .7</t>
  </si>
  <si>
    <t>DPO * 1,000,000 = 700,000</t>
  </si>
  <si>
    <t>Sample Mean = 89.25</t>
  </si>
  <si>
    <t>Standard Deviation = 48.9473</t>
  </si>
  <si>
    <t>Alpha  .05</t>
  </si>
  <si>
    <t>U = 12</t>
  </si>
  <si>
    <t>D * U = 12</t>
  </si>
  <si>
    <t>A = 1</t>
  </si>
  <si>
    <t>A/DU = DPO = .083</t>
  </si>
  <si>
    <t>DPO * 1,000,000 = 83,000</t>
  </si>
  <si>
    <t xml:space="preserve">Problem Statement:  </t>
  </si>
  <si>
    <t>My sedentary job along with school leads to not enough exercise during the day.  I know this is a problem by having a lower HDL level and gaining weight  The evidence is clear – lab results such as a lower HDL and my weight on the scale has gone up along with gaining inches when measuring my body. The current process to be analyzed is to determine if it allows for 60 minutes of exercise per day.</t>
  </si>
  <si>
    <t xml:space="preserve"> - Continue with morning exercise</t>
  </si>
  <si>
    <t xml:space="preserve"> - Track data for additional 32 days (to reach sample size)</t>
  </si>
  <si>
    <t xml:space="preserve"> - Monitor quarterly for the next 2 years</t>
  </si>
  <si>
    <t xml:space="preserve"> - Continue to utilize control charts and change process as needed</t>
  </si>
  <si>
    <t>Totals</t>
  </si>
  <si>
    <t>E = 15 (minutes)</t>
  </si>
  <si>
    <t>Ho: mean minutes of exercise per day &lt;= 60 minutes</t>
  </si>
  <si>
    <t>Ha: mean minutes of exercise per day &gt;60 minutes</t>
  </si>
  <si>
    <t>From the above result, my P-value is greater than .05 thus we do not reject the null hypothesis.  The mean is &lt;=60 minutes and we need to analyze in order to improve.</t>
  </si>
  <si>
    <t>Z = (xbar-mew)/(S/sqrt(n)) (purple)</t>
  </si>
  <si>
    <t>X = 60</t>
  </si>
  <si>
    <t>Z</t>
  </si>
  <si>
    <t>From the table, the proportion of Exercise  below 60 is 68.44% (from table)</t>
  </si>
  <si>
    <t>x = 60</t>
  </si>
  <si>
    <t>table will always tell me to the left - I need upper right tail</t>
  </si>
  <si>
    <t>1-Z</t>
  </si>
  <si>
    <t>1 - P-value:</t>
  </si>
  <si>
    <t>X = 60 minutes</t>
  </si>
  <si>
    <t>X:</t>
  </si>
  <si>
    <t>t = mean - 60/s/sqrt n</t>
  </si>
  <si>
    <t>df = 11</t>
  </si>
  <si>
    <t>89.25-60 = 29.25</t>
  </si>
  <si>
    <t>48.9473/ sqrt 12 = 14.1299</t>
  </si>
  <si>
    <t>t crit = 2.201 from t chart</t>
  </si>
  <si>
    <t>Ha: mean minutes of exercise per day &gt; 60 minutes</t>
  </si>
  <si>
    <t>z = xbar - 60/(std/sqrt(n))</t>
  </si>
  <si>
    <t>35.3167-60</t>
  </si>
  <si>
    <t>50.7688/7.746</t>
  </si>
  <si>
    <t>P-value = .037</t>
  </si>
  <si>
    <t>1 - P-value = .963</t>
  </si>
  <si>
    <t>t = 2.07</t>
  </si>
  <si>
    <t>Here the P-value is not lower than .05 so we do not reject the null hypothesis.  Even though the mean has shifted we need to further analyze to collect a statisically significant sample size in order to fully analyze</t>
  </si>
  <si>
    <t>Z:</t>
  </si>
  <si>
    <t>essentially 0</t>
  </si>
  <si>
    <t>essentially 1</t>
  </si>
  <si>
    <t>&lt;480 mins sleep</t>
  </si>
  <si>
    <t>&gt;480 mins of sleep</t>
  </si>
  <si>
    <t>workday &lt; 480</t>
  </si>
  <si>
    <t>workday = 480</t>
  </si>
  <si>
    <t>workday &gt; 480</t>
  </si>
  <si>
    <t>nonworkday &lt; 480</t>
  </si>
  <si>
    <t>nonworkday = 480</t>
  </si>
  <si>
    <t>nonworkday &gt; 480</t>
  </si>
  <si>
    <t>Yes</t>
  </si>
  <si>
    <t>pvalue is less than .05 alpha so we reject the null</t>
  </si>
  <si>
    <t>There is evidence that sleep and type of day are not independent</t>
  </si>
  <si>
    <t>There is a relationship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</si>
</sst>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1"/>
      <color theme="1"/>
      <name val="Calibri"/>
      <family val="2"/>
      <scheme val="minor"/>
    </font>
    <font>
      <sz val="11"/>
      <color rgb="FFFF0000"/>
      <name val="Calibri"/>
      <family val="2"/>
      <scheme val="minor"/>
    </font>
    <font>
      <i/>
      <sz val="11"/>
      <color theme="1"/>
      <name val="Calibri"/>
      <family val="2"/>
      <scheme val="minor"/>
    </font>
    <font>
      <b/>
      <sz val="11"/>
      <color theme="1"/>
      <name val="Calibri"/>
      <family val="2"/>
      <scheme val="minor"/>
    </font>
    <font>
      <b/>
      <u/>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FF99"/>
        <bgColor indexed="64"/>
      </patternFill>
    </fill>
    <fill>
      <patternFill patternType="solid">
        <fgColor rgb="FF00B0F0"/>
        <bgColor indexed="64"/>
      </patternFill>
    </fill>
  </fills>
  <borders count="3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top/>
      <bottom style="medium">
        <color indexed="64"/>
      </bottom>
      <diagonal/>
    </border>
    <border>
      <left/>
      <right/>
      <top style="medium">
        <color indexed="64"/>
      </top>
      <bottom style="thin">
        <color indexed="64"/>
      </bottom>
      <diagonal/>
    </border>
    <border>
      <left style="thick">
        <color auto="1"/>
      </left>
      <right/>
      <top/>
      <bottom style="thick">
        <color auto="1"/>
      </bottom>
      <diagonal/>
    </border>
    <border>
      <left/>
      <right style="thick">
        <color auto="1"/>
      </right>
      <top/>
      <bottom style="thick">
        <color auto="1"/>
      </bottom>
      <diagonal/>
    </border>
    <border>
      <left style="thick">
        <color auto="1"/>
      </left>
      <right style="medium">
        <color auto="1"/>
      </right>
      <top style="thick">
        <color auto="1"/>
      </top>
      <bottom style="medium">
        <color auto="1"/>
      </bottom>
      <diagonal/>
    </border>
    <border>
      <left style="medium">
        <color auto="1"/>
      </left>
      <right style="thick">
        <color auto="1"/>
      </right>
      <top style="thick">
        <color auto="1"/>
      </top>
      <bottom style="medium">
        <color auto="1"/>
      </bottom>
      <diagonal/>
    </border>
    <border>
      <left style="thick">
        <color auto="1"/>
      </left>
      <right style="medium">
        <color auto="1"/>
      </right>
      <top style="medium">
        <color auto="1"/>
      </top>
      <bottom/>
      <diagonal/>
    </border>
    <border>
      <left style="medium">
        <color auto="1"/>
      </left>
      <right style="thick">
        <color auto="1"/>
      </right>
      <top style="medium">
        <color auto="1"/>
      </top>
      <bottom/>
      <diagonal/>
    </border>
    <border>
      <left style="thick">
        <color auto="1"/>
      </left>
      <right/>
      <top style="medium">
        <color auto="1"/>
      </top>
      <bottom style="medium">
        <color auto="1"/>
      </bottom>
      <diagonal/>
    </border>
    <border>
      <left/>
      <right style="thick">
        <color auto="1"/>
      </right>
      <top style="medium">
        <color auto="1"/>
      </top>
      <bottom style="medium">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n">
        <color auto="1"/>
      </left>
      <right style="thin">
        <color auto="1"/>
      </right>
      <top style="thin">
        <color auto="1"/>
      </top>
      <bottom style="thick">
        <color auto="1"/>
      </bottom>
      <diagonal/>
    </border>
    <border>
      <left style="thin">
        <color auto="1"/>
      </left>
      <right style="thin">
        <color auto="1"/>
      </right>
      <top style="thick">
        <color auto="1"/>
      </top>
      <bottom style="thin">
        <color auto="1"/>
      </bottom>
      <diagonal/>
    </border>
    <border>
      <left style="thick">
        <color auto="1"/>
      </left>
      <right style="thick">
        <color auto="1"/>
      </right>
      <top/>
      <bottom style="thick">
        <color auto="1"/>
      </bottom>
      <diagonal/>
    </border>
  </borders>
  <cellStyleXfs count="1">
    <xf numFmtId="0" fontId="0" fillId="0" borderId="0"/>
  </cellStyleXfs>
  <cellXfs count="86">
    <xf numFmtId="0" fontId="0" fillId="0" borderId="0" xfId="0"/>
    <xf numFmtId="14" fontId="0" fillId="0" borderId="0" xfId="0" applyNumberFormat="1"/>
    <xf numFmtId="14" fontId="0" fillId="2" borderId="0" xfId="0" applyNumberFormat="1" applyFill="1"/>
    <xf numFmtId="0" fontId="0" fillId="2" borderId="0" xfId="0" applyFill="1"/>
    <xf numFmtId="0" fontId="0" fillId="3" borderId="0" xfId="0" applyFill="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4" xfId="0" applyFill="1" applyBorder="1"/>
    <xf numFmtId="0" fontId="0" fillId="0" borderId="0" xfId="0" applyFill="1"/>
    <xf numFmtId="0" fontId="0" fillId="0" borderId="0" xfId="0" applyAlignment="1">
      <alignment horizontal="center"/>
    </xf>
    <xf numFmtId="2" fontId="0" fillId="0" borderId="4" xfId="0" applyNumberFormat="1" applyBorder="1"/>
    <xf numFmtId="2" fontId="0" fillId="0" borderId="4" xfId="0" applyNumberFormat="1" applyFill="1" applyBorder="1"/>
    <xf numFmtId="2" fontId="0" fillId="0" borderId="0" xfId="0" applyNumberFormat="1"/>
    <xf numFmtId="0" fontId="0" fillId="0" borderId="5" xfId="0" applyBorder="1"/>
    <xf numFmtId="14" fontId="0" fillId="0" borderId="6" xfId="0" applyNumberFormat="1" applyBorder="1"/>
    <xf numFmtId="14" fontId="0" fillId="2" borderId="6" xfId="0" applyNumberFormat="1" applyFill="1" applyBorder="1"/>
    <xf numFmtId="0" fontId="1" fillId="0" borderId="0" xfId="0" applyFont="1"/>
    <xf numFmtId="0" fontId="0" fillId="0" borderId="0" xfId="0" applyFill="1" applyBorder="1" applyAlignment="1"/>
    <xf numFmtId="0" fontId="0" fillId="0" borderId="7" xfId="0" applyFill="1" applyBorder="1" applyAlignment="1"/>
    <xf numFmtId="0" fontId="2" fillId="0" borderId="8" xfId="0" applyFont="1" applyFill="1" applyBorder="1" applyAlignment="1">
      <alignment horizontal="center"/>
    </xf>
    <xf numFmtId="0" fontId="2" fillId="0" borderId="8" xfId="0" applyFont="1" applyFill="1" applyBorder="1" applyAlignment="1">
      <alignment horizontal="centerContinuous"/>
    </xf>
    <xf numFmtId="0" fontId="0" fillId="2" borderId="0" xfId="0" applyFill="1" applyBorder="1" applyAlignment="1"/>
    <xf numFmtId="0" fontId="0" fillId="0" borderId="5" xfId="0" applyFill="1" applyBorder="1"/>
    <xf numFmtId="164" fontId="0" fillId="0" borderId="0" xfId="0" applyNumberFormat="1" applyFill="1" applyBorder="1" applyAlignment="1"/>
    <xf numFmtId="164" fontId="0" fillId="0" borderId="7" xfId="0" applyNumberFormat="1" applyFill="1" applyBorder="1" applyAlignment="1"/>
    <xf numFmtId="164" fontId="0" fillId="2" borderId="0" xfId="0" applyNumberFormat="1" applyFill="1" applyBorder="1" applyAlignment="1"/>
    <xf numFmtId="0" fontId="0" fillId="0" borderId="0" xfId="0" applyAlignment="1"/>
    <xf numFmtId="0" fontId="0" fillId="0" borderId="0" xfId="0" applyFill="1" applyBorder="1"/>
    <xf numFmtId="0" fontId="0" fillId="0" borderId="0" xfId="0" applyAlignment="1">
      <alignment wrapText="1"/>
    </xf>
    <xf numFmtId="0" fontId="0" fillId="4" borderId="0" xfId="0" applyFill="1" applyAlignment="1"/>
    <xf numFmtId="0" fontId="0" fillId="4" borderId="0" xfId="0" applyFill="1"/>
    <xf numFmtId="0" fontId="0" fillId="0" borderId="11" xfId="0" applyBorder="1"/>
    <xf numFmtId="0" fontId="0" fillId="0" borderId="12" xfId="0" applyBorder="1"/>
    <xf numFmtId="0" fontId="0" fillId="0" borderId="13" xfId="0" applyBorder="1"/>
    <xf numFmtId="0" fontId="0" fillId="0" borderId="14"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applyAlignment="1">
      <alignment horizontal="center"/>
    </xf>
    <xf numFmtId="0" fontId="4"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wrapText="1"/>
    </xf>
    <xf numFmtId="0" fontId="0" fillId="0" borderId="23" xfId="0" applyBorder="1"/>
    <xf numFmtId="0" fontId="0" fillId="0" borderId="25"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Border="1"/>
    <xf numFmtId="2" fontId="0" fillId="0" borderId="33" xfId="0" applyNumberFormat="1" applyBorder="1"/>
    <xf numFmtId="0" fontId="2" fillId="0" borderId="0" xfId="0" applyFont="1" applyFill="1" applyBorder="1" applyAlignment="1">
      <alignment horizontal="center"/>
    </xf>
    <xf numFmtId="0" fontId="2" fillId="0" borderId="0" xfId="0" applyFont="1" applyFill="1" applyBorder="1" applyAlignment="1">
      <alignment horizontal="centerContinuous"/>
    </xf>
    <xf numFmtId="0" fontId="0" fillId="0" borderId="0" xfId="0" applyFill="1" applyAlignment="1">
      <alignment horizontal="center" wrapText="1"/>
    </xf>
    <xf numFmtId="0" fontId="0" fillId="0" borderId="17" xfId="0" applyFill="1" applyBorder="1" applyAlignment="1">
      <alignment horizontal="center"/>
    </xf>
    <xf numFmtId="0" fontId="0" fillId="0" borderId="18" xfId="0" applyFill="1" applyBorder="1" applyAlignment="1">
      <alignment horizontal="center"/>
    </xf>
    <xf numFmtId="164" fontId="0" fillId="2" borderId="7" xfId="0" applyNumberFormat="1" applyFill="1" applyBorder="1" applyAlignment="1"/>
    <xf numFmtId="0" fontId="0" fillId="4" borderId="0" xfId="0" applyFill="1" applyAlignment="1">
      <alignment horizontal="center"/>
    </xf>
    <xf numFmtId="0" fontId="0" fillId="5" borderId="0" xfId="0" applyFill="1" applyBorder="1" applyAlignment="1">
      <alignment horizontal="center"/>
    </xf>
    <xf numFmtId="0" fontId="0" fillId="5" borderId="0" xfId="0" applyFill="1" applyBorder="1" applyAlignment="1">
      <alignment horizontal="center" wrapText="1"/>
    </xf>
    <xf numFmtId="0" fontId="0" fillId="0" borderId="35" xfId="0" applyFill="1" applyBorder="1" applyAlignment="1">
      <alignment horizontal="center" wrapText="1"/>
    </xf>
    <xf numFmtId="0" fontId="0" fillId="0" borderId="0" xfId="0" applyAlignment="1">
      <alignment horizontal="center" wrapText="1"/>
    </xf>
    <xf numFmtId="0" fontId="0" fillId="4" borderId="0" xfId="0" applyFill="1" applyAlignment="1">
      <alignment horizontal="center"/>
    </xf>
    <xf numFmtId="0" fontId="0" fillId="4" borderId="0" xfId="0" applyFill="1" applyAlignment="1">
      <alignment horizontal="center" wrapText="1"/>
    </xf>
    <xf numFmtId="0" fontId="0" fillId="0" borderId="26" xfId="0" applyBorder="1" applyAlignment="1">
      <alignment horizontal="center"/>
    </xf>
    <xf numFmtId="0" fontId="0" fillId="0" borderId="27" xfId="0" applyBorder="1" applyAlignment="1">
      <alignment horizontal="center"/>
    </xf>
    <xf numFmtId="0" fontId="0" fillId="0" borderId="0" xfId="0" applyAlignment="1">
      <alignment horizontal="center"/>
    </xf>
    <xf numFmtId="0" fontId="0" fillId="0" borderId="9" xfId="0" applyBorder="1" applyAlignment="1">
      <alignment horizontal="center" wrapText="1"/>
    </xf>
    <xf numFmtId="0" fontId="0" fillId="0" borderId="10" xfId="0" applyBorder="1" applyAlignment="1">
      <alignment horizontal="center" wrapText="1"/>
    </xf>
    <xf numFmtId="0" fontId="0" fillId="0" borderId="15" xfId="0" applyBorder="1" applyAlignment="1">
      <alignment horizontal="center"/>
    </xf>
    <xf numFmtId="0" fontId="0" fillId="0" borderId="16"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wrapText="1"/>
    </xf>
    <xf numFmtId="0" fontId="0" fillId="0" borderId="25" xfId="0" applyBorder="1" applyAlignment="1">
      <alignment horizontal="center" wrapText="1"/>
    </xf>
  </cellXfs>
  <cellStyles count="1">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 Range</a:t>
            </a:r>
            <a:r>
              <a:rPr lang="en-US" baseline="0"/>
              <a: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'Control Chart'!$E$3</c:f>
              <c:strCache>
                <c:ptCount val="1"/>
                <c:pt idx="0">
                  <c:v>R</c:v>
                </c:pt>
              </c:strCache>
            </c:strRef>
          </c:tx>
          <c:spPr>
            <a:ln w="28575" cap="rnd">
              <a:solidFill>
                <a:schemeClr val="accent1"/>
              </a:solidFill>
              <a:round/>
            </a:ln>
            <a:effectLst/>
          </c:spPr>
          <c:marker>
            <c:symbol val="none"/>
          </c:marker>
          <c:val>
            <c:numRef>
              <c:f>'Control Chart'!$E$4:$E$63</c:f>
              <c:numCache>
                <c:formatCode>General</c:formatCode>
                <c:ptCount val="60"/>
                <c:pt idx="0">
                  <c:v>0</c:v>
                </c:pt>
                <c:pt idx="1">
                  <c:v>0</c:v>
                </c:pt>
                <c:pt idx="2">
                  <c:v>0</c:v>
                </c:pt>
                <c:pt idx="3">
                  <c:v>0</c:v>
                </c:pt>
                <c:pt idx="4">
                  <c:v>0</c:v>
                </c:pt>
                <c:pt idx="5">
                  <c:v>60</c:v>
                </c:pt>
                <c:pt idx="6">
                  <c:v>33</c:v>
                </c:pt>
                <c:pt idx="7">
                  <c:v>91</c:v>
                </c:pt>
                <c:pt idx="8">
                  <c:v>184</c:v>
                </c:pt>
                <c:pt idx="9">
                  <c:v>0</c:v>
                </c:pt>
                <c:pt idx="10">
                  <c:v>20</c:v>
                </c:pt>
                <c:pt idx="11">
                  <c:v>10</c:v>
                </c:pt>
                <c:pt idx="12">
                  <c:v>30</c:v>
                </c:pt>
                <c:pt idx="13">
                  <c:v>62</c:v>
                </c:pt>
                <c:pt idx="14">
                  <c:v>135</c:v>
                </c:pt>
                <c:pt idx="15">
                  <c:v>197</c:v>
                </c:pt>
                <c:pt idx="16">
                  <c:v>0</c:v>
                </c:pt>
                <c:pt idx="17">
                  <c:v>0</c:v>
                </c:pt>
                <c:pt idx="18">
                  <c:v>0</c:v>
                </c:pt>
                <c:pt idx="19">
                  <c:v>63</c:v>
                </c:pt>
                <c:pt idx="20">
                  <c:v>6</c:v>
                </c:pt>
                <c:pt idx="21">
                  <c:v>147</c:v>
                </c:pt>
                <c:pt idx="22">
                  <c:v>204</c:v>
                </c:pt>
                <c:pt idx="23">
                  <c:v>127</c:v>
                </c:pt>
                <c:pt idx="24">
                  <c:v>67</c:v>
                </c:pt>
                <c:pt idx="25">
                  <c:v>0</c:v>
                </c:pt>
                <c:pt idx="26">
                  <c:v>27</c:v>
                </c:pt>
                <c:pt idx="27">
                  <c:v>87</c:v>
                </c:pt>
                <c:pt idx="28">
                  <c:v>0</c:v>
                </c:pt>
                <c:pt idx="29">
                  <c:v>0</c:v>
                </c:pt>
                <c:pt idx="30">
                  <c:v>0</c:v>
                </c:pt>
                <c:pt idx="31">
                  <c:v>0</c:v>
                </c:pt>
                <c:pt idx="32">
                  <c:v>0</c:v>
                </c:pt>
                <c:pt idx="33">
                  <c:v>0</c:v>
                </c:pt>
                <c:pt idx="34">
                  <c:v>0</c:v>
                </c:pt>
                <c:pt idx="35">
                  <c:v>0</c:v>
                </c:pt>
                <c:pt idx="36">
                  <c:v>0</c:v>
                </c:pt>
                <c:pt idx="37">
                  <c:v>25</c:v>
                </c:pt>
                <c:pt idx="38">
                  <c:v>5</c:v>
                </c:pt>
                <c:pt idx="39">
                  <c:v>12</c:v>
                </c:pt>
                <c:pt idx="40">
                  <c:v>32</c:v>
                </c:pt>
                <c:pt idx="41">
                  <c:v>0</c:v>
                </c:pt>
                <c:pt idx="42">
                  <c:v>65</c:v>
                </c:pt>
                <c:pt idx="43">
                  <c:v>5</c:v>
                </c:pt>
                <c:pt idx="44">
                  <c:v>1</c:v>
                </c:pt>
                <c:pt idx="45">
                  <c:v>59</c:v>
                </c:pt>
                <c:pt idx="46">
                  <c:v>30</c:v>
                </c:pt>
                <c:pt idx="47">
                  <c:v>30</c:v>
                </c:pt>
                <c:pt idx="48">
                  <c:v>64</c:v>
                </c:pt>
                <c:pt idx="49">
                  <c:v>31</c:v>
                </c:pt>
                <c:pt idx="50">
                  <c:v>95</c:v>
                </c:pt>
                <c:pt idx="51">
                  <c:v>91</c:v>
                </c:pt>
                <c:pt idx="52">
                  <c:v>61</c:v>
                </c:pt>
                <c:pt idx="53">
                  <c:v>30</c:v>
                </c:pt>
                <c:pt idx="54">
                  <c:v>0</c:v>
                </c:pt>
                <c:pt idx="55">
                  <c:v>96</c:v>
                </c:pt>
                <c:pt idx="56">
                  <c:v>96</c:v>
                </c:pt>
                <c:pt idx="57">
                  <c:v>60</c:v>
                </c:pt>
                <c:pt idx="58">
                  <c:v>28</c:v>
                </c:pt>
                <c:pt idx="59">
                  <c:v>88</c:v>
                </c:pt>
              </c:numCache>
            </c:numRef>
          </c:val>
          <c:smooth val="0"/>
          <c:extLst>
            <c:ext xmlns:c16="http://schemas.microsoft.com/office/drawing/2014/chart" uri="{C3380CC4-5D6E-409C-BE32-E72D297353CC}">
              <c16:uniqueId val="{00000000-892C-419E-9AF2-8A3C42FEE765}"/>
            </c:ext>
          </c:extLst>
        </c:ser>
        <c:ser>
          <c:idx val="1"/>
          <c:order val="1"/>
          <c:tx>
            <c:strRef>
              <c:f>'Control Chart'!$F$3</c:f>
              <c:strCache>
                <c:ptCount val="1"/>
                <c:pt idx="0">
                  <c:v>mRbar</c:v>
                </c:pt>
              </c:strCache>
            </c:strRef>
          </c:tx>
          <c:spPr>
            <a:ln w="28575" cap="rnd">
              <a:solidFill>
                <a:schemeClr val="accent2"/>
              </a:solidFill>
              <a:round/>
            </a:ln>
            <a:effectLst/>
          </c:spPr>
          <c:marker>
            <c:symbol val="none"/>
          </c:marker>
          <c:val>
            <c:numRef>
              <c:f>'Control Chart'!$F$4:$F$63</c:f>
              <c:numCache>
                <c:formatCode>0.00</c:formatCode>
                <c:ptCount val="60"/>
                <c:pt idx="0">
                  <c:v>42.56666666666667</c:v>
                </c:pt>
                <c:pt idx="1">
                  <c:v>42.56666666666667</c:v>
                </c:pt>
                <c:pt idx="2">
                  <c:v>42.56666666666667</c:v>
                </c:pt>
                <c:pt idx="3">
                  <c:v>42.56666666666667</c:v>
                </c:pt>
                <c:pt idx="4">
                  <c:v>42.56666666666667</c:v>
                </c:pt>
                <c:pt idx="5">
                  <c:v>42.56666666666667</c:v>
                </c:pt>
                <c:pt idx="6">
                  <c:v>42.56666666666667</c:v>
                </c:pt>
                <c:pt idx="7">
                  <c:v>42.56666666666667</c:v>
                </c:pt>
                <c:pt idx="8">
                  <c:v>42.56666666666667</c:v>
                </c:pt>
                <c:pt idx="9">
                  <c:v>42.56666666666667</c:v>
                </c:pt>
                <c:pt idx="10">
                  <c:v>42.56666666666667</c:v>
                </c:pt>
                <c:pt idx="11">
                  <c:v>42.56666666666667</c:v>
                </c:pt>
                <c:pt idx="12">
                  <c:v>42.56666666666667</c:v>
                </c:pt>
                <c:pt idx="13">
                  <c:v>42.56666666666667</c:v>
                </c:pt>
                <c:pt idx="14">
                  <c:v>42.56666666666667</c:v>
                </c:pt>
                <c:pt idx="15">
                  <c:v>42.56666666666667</c:v>
                </c:pt>
                <c:pt idx="16">
                  <c:v>42.56666666666667</c:v>
                </c:pt>
                <c:pt idx="17">
                  <c:v>42.56666666666667</c:v>
                </c:pt>
                <c:pt idx="18">
                  <c:v>42.56666666666667</c:v>
                </c:pt>
                <c:pt idx="19">
                  <c:v>42.56666666666667</c:v>
                </c:pt>
                <c:pt idx="20">
                  <c:v>42.56666666666667</c:v>
                </c:pt>
                <c:pt idx="21">
                  <c:v>42.56666666666667</c:v>
                </c:pt>
                <c:pt idx="22">
                  <c:v>42.56666666666667</c:v>
                </c:pt>
                <c:pt idx="23">
                  <c:v>42.56666666666667</c:v>
                </c:pt>
                <c:pt idx="24">
                  <c:v>42.56666666666667</c:v>
                </c:pt>
                <c:pt idx="25">
                  <c:v>42.56666666666667</c:v>
                </c:pt>
                <c:pt idx="26">
                  <c:v>42.56666666666667</c:v>
                </c:pt>
                <c:pt idx="27">
                  <c:v>42.56666666666667</c:v>
                </c:pt>
                <c:pt idx="28">
                  <c:v>42.56666666666667</c:v>
                </c:pt>
                <c:pt idx="29">
                  <c:v>42.56666666666667</c:v>
                </c:pt>
                <c:pt idx="30">
                  <c:v>42.56666666666667</c:v>
                </c:pt>
                <c:pt idx="31">
                  <c:v>42.56666666666667</c:v>
                </c:pt>
                <c:pt idx="32">
                  <c:v>42.56666666666667</c:v>
                </c:pt>
                <c:pt idx="33">
                  <c:v>42.56666666666667</c:v>
                </c:pt>
                <c:pt idx="34">
                  <c:v>42.56666666666667</c:v>
                </c:pt>
                <c:pt idx="35">
                  <c:v>42.56666666666667</c:v>
                </c:pt>
                <c:pt idx="36">
                  <c:v>42.56666666666667</c:v>
                </c:pt>
                <c:pt idx="37">
                  <c:v>42.56666666666667</c:v>
                </c:pt>
                <c:pt idx="38">
                  <c:v>42.56666666666667</c:v>
                </c:pt>
                <c:pt idx="39">
                  <c:v>42.56666666666667</c:v>
                </c:pt>
                <c:pt idx="40">
                  <c:v>42.56666666666667</c:v>
                </c:pt>
                <c:pt idx="41">
                  <c:v>42.56666666666667</c:v>
                </c:pt>
                <c:pt idx="42">
                  <c:v>42.56666666666667</c:v>
                </c:pt>
                <c:pt idx="43">
                  <c:v>42.56666666666667</c:v>
                </c:pt>
                <c:pt idx="44">
                  <c:v>42.56666666666667</c:v>
                </c:pt>
                <c:pt idx="45">
                  <c:v>42.56666666666667</c:v>
                </c:pt>
                <c:pt idx="46">
                  <c:v>42.56666666666667</c:v>
                </c:pt>
                <c:pt idx="47">
                  <c:v>42.56666666666667</c:v>
                </c:pt>
                <c:pt idx="48">
                  <c:v>42.56666666666667</c:v>
                </c:pt>
                <c:pt idx="49">
                  <c:v>42.56666666666667</c:v>
                </c:pt>
                <c:pt idx="50">
                  <c:v>42.56666666666667</c:v>
                </c:pt>
                <c:pt idx="51">
                  <c:v>42.56666666666667</c:v>
                </c:pt>
                <c:pt idx="52">
                  <c:v>42.56666666666667</c:v>
                </c:pt>
                <c:pt idx="53">
                  <c:v>42.56666666666667</c:v>
                </c:pt>
                <c:pt idx="54">
                  <c:v>42.56666666666667</c:v>
                </c:pt>
                <c:pt idx="55">
                  <c:v>42.56666666666667</c:v>
                </c:pt>
                <c:pt idx="56">
                  <c:v>42.56666666666667</c:v>
                </c:pt>
                <c:pt idx="57">
                  <c:v>42.56666666666667</c:v>
                </c:pt>
                <c:pt idx="58">
                  <c:v>42.56666666666667</c:v>
                </c:pt>
                <c:pt idx="59">
                  <c:v>42.56666666666667</c:v>
                </c:pt>
              </c:numCache>
            </c:numRef>
          </c:val>
          <c:smooth val="0"/>
          <c:extLst>
            <c:ext xmlns:c16="http://schemas.microsoft.com/office/drawing/2014/chart" uri="{C3380CC4-5D6E-409C-BE32-E72D297353CC}">
              <c16:uniqueId val="{00000001-892C-419E-9AF2-8A3C42FEE765}"/>
            </c:ext>
          </c:extLst>
        </c:ser>
        <c:ser>
          <c:idx val="2"/>
          <c:order val="2"/>
          <c:tx>
            <c:strRef>
              <c:f>'Control Chart'!$G$3</c:f>
              <c:strCache>
                <c:ptCount val="1"/>
                <c:pt idx="0">
                  <c:v>UCL</c:v>
                </c:pt>
              </c:strCache>
            </c:strRef>
          </c:tx>
          <c:spPr>
            <a:ln w="28575" cap="rnd">
              <a:solidFill>
                <a:schemeClr val="accent3"/>
              </a:solidFill>
              <a:round/>
            </a:ln>
            <a:effectLst/>
          </c:spPr>
          <c:marker>
            <c:symbol val="none"/>
          </c:marker>
          <c:val>
            <c:numRef>
              <c:f>'Control Chart'!$G$4:$G$63</c:f>
              <c:numCache>
                <c:formatCode>0.00</c:formatCode>
                <c:ptCount val="60"/>
                <c:pt idx="0">
                  <c:v>139.19300000000001</c:v>
                </c:pt>
                <c:pt idx="1">
                  <c:v>139.19300000000001</c:v>
                </c:pt>
                <c:pt idx="2">
                  <c:v>139.19300000000001</c:v>
                </c:pt>
                <c:pt idx="3">
                  <c:v>139.19300000000001</c:v>
                </c:pt>
                <c:pt idx="4">
                  <c:v>139.19300000000001</c:v>
                </c:pt>
                <c:pt idx="5">
                  <c:v>139.19300000000001</c:v>
                </c:pt>
                <c:pt idx="6">
                  <c:v>139.19300000000001</c:v>
                </c:pt>
                <c:pt idx="7">
                  <c:v>139.19300000000001</c:v>
                </c:pt>
                <c:pt idx="8">
                  <c:v>139.19300000000001</c:v>
                </c:pt>
                <c:pt idx="9">
                  <c:v>139.19300000000001</c:v>
                </c:pt>
                <c:pt idx="10">
                  <c:v>139.19300000000001</c:v>
                </c:pt>
                <c:pt idx="11">
                  <c:v>139.19300000000001</c:v>
                </c:pt>
                <c:pt idx="12">
                  <c:v>139.19300000000001</c:v>
                </c:pt>
                <c:pt idx="13">
                  <c:v>139.19300000000001</c:v>
                </c:pt>
                <c:pt idx="14">
                  <c:v>139.19300000000001</c:v>
                </c:pt>
                <c:pt idx="15">
                  <c:v>139.19300000000001</c:v>
                </c:pt>
                <c:pt idx="16">
                  <c:v>139.19300000000001</c:v>
                </c:pt>
                <c:pt idx="17">
                  <c:v>139.19300000000001</c:v>
                </c:pt>
                <c:pt idx="18">
                  <c:v>139.19300000000001</c:v>
                </c:pt>
                <c:pt idx="19">
                  <c:v>139.19300000000001</c:v>
                </c:pt>
                <c:pt idx="20">
                  <c:v>139.19300000000001</c:v>
                </c:pt>
                <c:pt idx="21">
                  <c:v>139.19300000000001</c:v>
                </c:pt>
                <c:pt idx="22">
                  <c:v>139.19300000000001</c:v>
                </c:pt>
                <c:pt idx="23">
                  <c:v>139.19300000000001</c:v>
                </c:pt>
                <c:pt idx="24">
                  <c:v>139.19300000000001</c:v>
                </c:pt>
                <c:pt idx="25">
                  <c:v>139.19300000000001</c:v>
                </c:pt>
                <c:pt idx="26">
                  <c:v>139.19300000000001</c:v>
                </c:pt>
                <c:pt idx="27">
                  <c:v>139.19300000000001</c:v>
                </c:pt>
                <c:pt idx="28">
                  <c:v>139.19300000000001</c:v>
                </c:pt>
                <c:pt idx="29">
                  <c:v>139.19300000000001</c:v>
                </c:pt>
                <c:pt idx="30">
                  <c:v>139.19300000000001</c:v>
                </c:pt>
                <c:pt idx="31">
                  <c:v>139.19300000000001</c:v>
                </c:pt>
                <c:pt idx="32">
                  <c:v>139.19300000000001</c:v>
                </c:pt>
                <c:pt idx="33">
                  <c:v>139.19300000000001</c:v>
                </c:pt>
                <c:pt idx="34">
                  <c:v>139.19300000000001</c:v>
                </c:pt>
                <c:pt idx="35">
                  <c:v>139.19300000000001</c:v>
                </c:pt>
                <c:pt idx="36">
                  <c:v>139.19300000000001</c:v>
                </c:pt>
                <c:pt idx="37">
                  <c:v>139.19300000000001</c:v>
                </c:pt>
                <c:pt idx="38">
                  <c:v>139.19300000000001</c:v>
                </c:pt>
                <c:pt idx="39">
                  <c:v>139.19300000000001</c:v>
                </c:pt>
                <c:pt idx="40">
                  <c:v>139.19300000000001</c:v>
                </c:pt>
                <c:pt idx="41">
                  <c:v>139.19300000000001</c:v>
                </c:pt>
                <c:pt idx="42">
                  <c:v>139.19300000000001</c:v>
                </c:pt>
                <c:pt idx="43">
                  <c:v>139.19300000000001</c:v>
                </c:pt>
                <c:pt idx="44">
                  <c:v>139.19300000000001</c:v>
                </c:pt>
                <c:pt idx="45">
                  <c:v>139.19300000000001</c:v>
                </c:pt>
                <c:pt idx="46">
                  <c:v>139.19300000000001</c:v>
                </c:pt>
                <c:pt idx="47">
                  <c:v>139.19300000000001</c:v>
                </c:pt>
                <c:pt idx="48">
                  <c:v>139.19300000000001</c:v>
                </c:pt>
                <c:pt idx="49">
                  <c:v>139.19300000000001</c:v>
                </c:pt>
                <c:pt idx="50">
                  <c:v>139.19300000000001</c:v>
                </c:pt>
                <c:pt idx="51">
                  <c:v>139.19300000000001</c:v>
                </c:pt>
                <c:pt idx="52">
                  <c:v>139.19300000000001</c:v>
                </c:pt>
                <c:pt idx="53">
                  <c:v>139.19300000000001</c:v>
                </c:pt>
                <c:pt idx="54">
                  <c:v>139.19300000000001</c:v>
                </c:pt>
                <c:pt idx="55">
                  <c:v>139.19300000000001</c:v>
                </c:pt>
                <c:pt idx="56">
                  <c:v>139.19300000000001</c:v>
                </c:pt>
                <c:pt idx="57">
                  <c:v>139.19300000000001</c:v>
                </c:pt>
                <c:pt idx="58">
                  <c:v>139.19300000000001</c:v>
                </c:pt>
                <c:pt idx="59">
                  <c:v>139.19300000000001</c:v>
                </c:pt>
              </c:numCache>
            </c:numRef>
          </c:val>
          <c:smooth val="0"/>
          <c:extLst>
            <c:ext xmlns:c16="http://schemas.microsoft.com/office/drawing/2014/chart" uri="{C3380CC4-5D6E-409C-BE32-E72D297353CC}">
              <c16:uniqueId val="{00000002-892C-419E-9AF2-8A3C42FEE765}"/>
            </c:ext>
          </c:extLst>
        </c:ser>
        <c:ser>
          <c:idx val="3"/>
          <c:order val="3"/>
          <c:tx>
            <c:strRef>
              <c:f>'Control Chart'!$H$3</c:f>
              <c:strCache>
                <c:ptCount val="1"/>
                <c:pt idx="0">
                  <c:v>LCL</c:v>
                </c:pt>
              </c:strCache>
            </c:strRef>
          </c:tx>
          <c:spPr>
            <a:ln w="28575" cap="rnd">
              <a:solidFill>
                <a:schemeClr val="accent4"/>
              </a:solidFill>
              <a:round/>
            </a:ln>
            <a:effectLst/>
          </c:spPr>
          <c:marker>
            <c:symbol val="none"/>
          </c:marker>
          <c:val>
            <c:numRef>
              <c:f>'Control Chart'!$H$4:$H$63</c:f>
              <c:numCache>
                <c:formatCode>0.00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03-892C-419E-9AF2-8A3C42FEE765}"/>
            </c:ext>
          </c:extLst>
        </c:ser>
        <c:dLbls>
          <c:showLegendKey val="0"/>
          <c:showVal val="0"/>
          <c:showCatName val="0"/>
          <c:showSerName val="0"/>
          <c:showPercent val="0"/>
          <c:showBubbleSize val="0"/>
        </c:dLbls>
        <c:smooth val="0"/>
        <c:axId val="1149424991"/>
        <c:axId val="995039055"/>
      </c:lineChart>
      <c:catAx>
        <c:axId val="11494249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039055"/>
        <c:crosses val="autoZero"/>
        <c:auto val="1"/>
        <c:lblAlgn val="ctr"/>
        <c:lblOffset val="100"/>
        <c:noMultiLvlLbl val="0"/>
      </c:catAx>
      <c:valAx>
        <c:axId val="99503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42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Individuals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'Control Chart'!$I$3</c:f>
              <c:strCache>
                <c:ptCount val="1"/>
                <c:pt idx="0">
                  <c:v>X</c:v>
                </c:pt>
              </c:strCache>
            </c:strRef>
          </c:tx>
          <c:spPr>
            <a:ln w="28575" cap="rnd">
              <a:solidFill>
                <a:schemeClr val="accent1"/>
              </a:solidFill>
              <a:round/>
            </a:ln>
            <a:effectLst/>
          </c:spPr>
          <c:marker>
            <c:symbol val="none"/>
          </c:marker>
          <c:val>
            <c:numRef>
              <c:f>'Control Chart'!$I$4:$I$63</c:f>
              <c:numCache>
                <c:formatCode>General</c:formatCode>
                <c:ptCount val="60"/>
                <c:pt idx="0">
                  <c:v>0</c:v>
                </c:pt>
                <c:pt idx="1">
                  <c:v>0</c:v>
                </c:pt>
                <c:pt idx="2">
                  <c:v>0</c:v>
                </c:pt>
                <c:pt idx="3">
                  <c:v>0</c:v>
                </c:pt>
                <c:pt idx="4">
                  <c:v>0</c:v>
                </c:pt>
                <c:pt idx="5">
                  <c:v>60</c:v>
                </c:pt>
                <c:pt idx="6">
                  <c:v>93</c:v>
                </c:pt>
                <c:pt idx="7">
                  <c:v>184</c:v>
                </c:pt>
                <c:pt idx="8">
                  <c:v>0</c:v>
                </c:pt>
                <c:pt idx="9">
                  <c:v>0</c:v>
                </c:pt>
                <c:pt idx="10">
                  <c:v>20</c:v>
                </c:pt>
                <c:pt idx="11">
                  <c:v>30</c:v>
                </c:pt>
                <c:pt idx="12">
                  <c:v>0</c:v>
                </c:pt>
                <c:pt idx="13">
                  <c:v>62</c:v>
                </c:pt>
                <c:pt idx="14">
                  <c:v>197</c:v>
                </c:pt>
                <c:pt idx="15">
                  <c:v>0</c:v>
                </c:pt>
                <c:pt idx="16">
                  <c:v>0</c:v>
                </c:pt>
                <c:pt idx="17">
                  <c:v>0</c:v>
                </c:pt>
                <c:pt idx="18">
                  <c:v>0</c:v>
                </c:pt>
                <c:pt idx="19">
                  <c:v>63</c:v>
                </c:pt>
                <c:pt idx="20">
                  <c:v>57</c:v>
                </c:pt>
                <c:pt idx="21">
                  <c:v>204</c:v>
                </c:pt>
                <c:pt idx="22">
                  <c:v>0</c:v>
                </c:pt>
                <c:pt idx="23">
                  <c:v>127</c:v>
                </c:pt>
                <c:pt idx="24">
                  <c:v>60</c:v>
                </c:pt>
                <c:pt idx="25">
                  <c:v>60</c:v>
                </c:pt>
                <c:pt idx="26">
                  <c:v>87</c:v>
                </c:pt>
                <c:pt idx="27">
                  <c:v>0</c:v>
                </c:pt>
                <c:pt idx="28">
                  <c:v>0</c:v>
                </c:pt>
                <c:pt idx="29">
                  <c:v>0</c:v>
                </c:pt>
                <c:pt idx="30">
                  <c:v>0</c:v>
                </c:pt>
                <c:pt idx="31">
                  <c:v>0</c:v>
                </c:pt>
                <c:pt idx="32">
                  <c:v>0</c:v>
                </c:pt>
                <c:pt idx="33">
                  <c:v>0</c:v>
                </c:pt>
                <c:pt idx="34">
                  <c:v>0</c:v>
                </c:pt>
                <c:pt idx="35">
                  <c:v>0</c:v>
                </c:pt>
                <c:pt idx="36">
                  <c:v>0</c:v>
                </c:pt>
                <c:pt idx="37">
                  <c:v>25</c:v>
                </c:pt>
                <c:pt idx="38">
                  <c:v>20</c:v>
                </c:pt>
                <c:pt idx="39">
                  <c:v>32</c:v>
                </c:pt>
                <c:pt idx="40">
                  <c:v>0</c:v>
                </c:pt>
                <c:pt idx="41">
                  <c:v>0</c:v>
                </c:pt>
                <c:pt idx="42">
                  <c:v>65</c:v>
                </c:pt>
                <c:pt idx="43">
                  <c:v>60</c:v>
                </c:pt>
                <c:pt idx="44">
                  <c:v>59</c:v>
                </c:pt>
                <c:pt idx="45">
                  <c:v>0</c:v>
                </c:pt>
                <c:pt idx="46">
                  <c:v>30</c:v>
                </c:pt>
                <c:pt idx="47">
                  <c:v>0</c:v>
                </c:pt>
                <c:pt idx="48">
                  <c:v>64</c:v>
                </c:pt>
                <c:pt idx="49">
                  <c:v>95</c:v>
                </c:pt>
                <c:pt idx="50">
                  <c:v>0</c:v>
                </c:pt>
                <c:pt idx="51">
                  <c:v>91</c:v>
                </c:pt>
                <c:pt idx="52">
                  <c:v>30</c:v>
                </c:pt>
                <c:pt idx="53">
                  <c:v>0</c:v>
                </c:pt>
                <c:pt idx="54">
                  <c:v>0</c:v>
                </c:pt>
                <c:pt idx="55">
                  <c:v>96</c:v>
                </c:pt>
                <c:pt idx="56">
                  <c:v>0</c:v>
                </c:pt>
                <c:pt idx="57">
                  <c:v>60</c:v>
                </c:pt>
                <c:pt idx="58">
                  <c:v>88</c:v>
                </c:pt>
                <c:pt idx="59">
                  <c:v>0</c:v>
                </c:pt>
              </c:numCache>
            </c:numRef>
          </c:val>
          <c:smooth val="0"/>
          <c:extLst>
            <c:ext xmlns:c16="http://schemas.microsoft.com/office/drawing/2014/chart" uri="{C3380CC4-5D6E-409C-BE32-E72D297353CC}">
              <c16:uniqueId val="{00000000-28F4-4331-99AF-FFF82CA8E35B}"/>
            </c:ext>
          </c:extLst>
        </c:ser>
        <c:ser>
          <c:idx val="1"/>
          <c:order val="1"/>
          <c:tx>
            <c:strRef>
              <c:f>'Control Chart'!$J$3</c:f>
              <c:strCache>
                <c:ptCount val="1"/>
                <c:pt idx="0">
                  <c:v>Xbar</c:v>
                </c:pt>
              </c:strCache>
            </c:strRef>
          </c:tx>
          <c:spPr>
            <a:ln w="28575" cap="rnd">
              <a:solidFill>
                <a:schemeClr val="accent2"/>
              </a:solidFill>
              <a:round/>
            </a:ln>
            <a:effectLst/>
          </c:spPr>
          <c:marker>
            <c:symbol val="none"/>
          </c:marker>
          <c:val>
            <c:numRef>
              <c:f>'Control Chart'!$J$4:$J$63</c:f>
              <c:numCache>
                <c:formatCode>0.00</c:formatCode>
                <c:ptCount val="60"/>
                <c:pt idx="0">
                  <c:v>35.32</c:v>
                </c:pt>
                <c:pt idx="1">
                  <c:v>35.31666666666667</c:v>
                </c:pt>
                <c:pt idx="2">
                  <c:v>35.31666666666667</c:v>
                </c:pt>
                <c:pt idx="3">
                  <c:v>35.31666666666667</c:v>
                </c:pt>
                <c:pt idx="4">
                  <c:v>35.31666666666667</c:v>
                </c:pt>
                <c:pt idx="5">
                  <c:v>35.31666666666667</c:v>
                </c:pt>
                <c:pt idx="6">
                  <c:v>35.31666666666667</c:v>
                </c:pt>
                <c:pt idx="7">
                  <c:v>35.31666666666667</c:v>
                </c:pt>
                <c:pt idx="8">
                  <c:v>35.31666666666667</c:v>
                </c:pt>
                <c:pt idx="9">
                  <c:v>35.31666666666667</c:v>
                </c:pt>
                <c:pt idx="10">
                  <c:v>35.31666666666667</c:v>
                </c:pt>
                <c:pt idx="11">
                  <c:v>35.31666666666667</c:v>
                </c:pt>
                <c:pt idx="12">
                  <c:v>35.31666666666667</c:v>
                </c:pt>
                <c:pt idx="13">
                  <c:v>35.31666666666667</c:v>
                </c:pt>
                <c:pt idx="14">
                  <c:v>35.31666666666667</c:v>
                </c:pt>
                <c:pt idx="15">
                  <c:v>35.31666666666667</c:v>
                </c:pt>
                <c:pt idx="16">
                  <c:v>35.31666666666667</c:v>
                </c:pt>
                <c:pt idx="17">
                  <c:v>35.31666666666667</c:v>
                </c:pt>
                <c:pt idx="18">
                  <c:v>35.31666666666667</c:v>
                </c:pt>
                <c:pt idx="19">
                  <c:v>35.31666666666667</c:v>
                </c:pt>
                <c:pt idx="20">
                  <c:v>35.31666666666667</c:v>
                </c:pt>
                <c:pt idx="21">
                  <c:v>35.31666666666667</c:v>
                </c:pt>
                <c:pt idx="22">
                  <c:v>35.31666666666667</c:v>
                </c:pt>
                <c:pt idx="23">
                  <c:v>35.31666666666667</c:v>
                </c:pt>
                <c:pt idx="24">
                  <c:v>35.31666666666667</c:v>
                </c:pt>
                <c:pt idx="25">
                  <c:v>35.31666666666667</c:v>
                </c:pt>
                <c:pt idx="26">
                  <c:v>35.31666666666667</c:v>
                </c:pt>
                <c:pt idx="27">
                  <c:v>35.31666666666667</c:v>
                </c:pt>
                <c:pt idx="28">
                  <c:v>35.31666666666667</c:v>
                </c:pt>
                <c:pt idx="29">
                  <c:v>35.31666666666667</c:v>
                </c:pt>
                <c:pt idx="30">
                  <c:v>35.31666666666667</c:v>
                </c:pt>
                <c:pt idx="31">
                  <c:v>35.31666666666667</c:v>
                </c:pt>
                <c:pt idx="32">
                  <c:v>35.31666666666667</c:v>
                </c:pt>
                <c:pt idx="33">
                  <c:v>35.31666666666667</c:v>
                </c:pt>
                <c:pt idx="34">
                  <c:v>35.31666666666667</c:v>
                </c:pt>
                <c:pt idx="35">
                  <c:v>35.31666666666667</c:v>
                </c:pt>
                <c:pt idx="36">
                  <c:v>35.31666666666667</c:v>
                </c:pt>
                <c:pt idx="37">
                  <c:v>35.31666666666667</c:v>
                </c:pt>
                <c:pt idx="38">
                  <c:v>35.31666666666667</c:v>
                </c:pt>
                <c:pt idx="39">
                  <c:v>35.31666666666667</c:v>
                </c:pt>
                <c:pt idx="40">
                  <c:v>35.31666666666667</c:v>
                </c:pt>
                <c:pt idx="41">
                  <c:v>35.31666666666667</c:v>
                </c:pt>
                <c:pt idx="42">
                  <c:v>35.31666666666667</c:v>
                </c:pt>
                <c:pt idx="43">
                  <c:v>35.31666666666667</c:v>
                </c:pt>
                <c:pt idx="44">
                  <c:v>35.31666666666667</c:v>
                </c:pt>
                <c:pt idx="45">
                  <c:v>35.31666666666667</c:v>
                </c:pt>
                <c:pt idx="46">
                  <c:v>35.31666666666667</c:v>
                </c:pt>
                <c:pt idx="47">
                  <c:v>35.31666666666667</c:v>
                </c:pt>
                <c:pt idx="48">
                  <c:v>35.31666666666667</c:v>
                </c:pt>
                <c:pt idx="49">
                  <c:v>35.31666666666667</c:v>
                </c:pt>
                <c:pt idx="50">
                  <c:v>35.31666666666667</c:v>
                </c:pt>
                <c:pt idx="51">
                  <c:v>35.31666666666667</c:v>
                </c:pt>
                <c:pt idx="52">
                  <c:v>35.31666666666667</c:v>
                </c:pt>
                <c:pt idx="53">
                  <c:v>35.31666666666667</c:v>
                </c:pt>
                <c:pt idx="54">
                  <c:v>35.31666666666667</c:v>
                </c:pt>
                <c:pt idx="55">
                  <c:v>35.31666666666667</c:v>
                </c:pt>
                <c:pt idx="56">
                  <c:v>35.31666666666667</c:v>
                </c:pt>
                <c:pt idx="57">
                  <c:v>35.31666666666667</c:v>
                </c:pt>
                <c:pt idx="58">
                  <c:v>35.31666666666667</c:v>
                </c:pt>
                <c:pt idx="59">
                  <c:v>35.31666666666667</c:v>
                </c:pt>
              </c:numCache>
            </c:numRef>
          </c:val>
          <c:smooth val="0"/>
          <c:extLst>
            <c:ext xmlns:c16="http://schemas.microsoft.com/office/drawing/2014/chart" uri="{C3380CC4-5D6E-409C-BE32-E72D297353CC}">
              <c16:uniqueId val="{00000001-28F4-4331-99AF-FFF82CA8E35B}"/>
            </c:ext>
          </c:extLst>
        </c:ser>
        <c:ser>
          <c:idx val="2"/>
          <c:order val="2"/>
          <c:tx>
            <c:strRef>
              <c:f>'Control Chart'!$K$3</c:f>
              <c:strCache>
                <c:ptCount val="1"/>
                <c:pt idx="0">
                  <c:v>UCL</c:v>
                </c:pt>
              </c:strCache>
            </c:strRef>
          </c:tx>
          <c:spPr>
            <a:ln w="28575" cap="rnd">
              <a:solidFill>
                <a:schemeClr val="accent3"/>
              </a:solidFill>
              <a:round/>
            </a:ln>
            <a:effectLst/>
          </c:spPr>
          <c:marker>
            <c:symbol val="none"/>
          </c:marker>
          <c:val>
            <c:numRef>
              <c:f>'Control Chart'!$K$4:$K$63</c:f>
              <c:numCache>
                <c:formatCode>0.00</c:formatCode>
                <c:ptCount val="60"/>
                <c:pt idx="0">
                  <c:v>148.54733333333334</c:v>
                </c:pt>
                <c:pt idx="1">
                  <c:v>148.54733333333334</c:v>
                </c:pt>
                <c:pt idx="2">
                  <c:v>148.54733333333334</c:v>
                </c:pt>
                <c:pt idx="3">
                  <c:v>148.54733333333334</c:v>
                </c:pt>
                <c:pt idx="4">
                  <c:v>148.54733333333334</c:v>
                </c:pt>
                <c:pt idx="5">
                  <c:v>148.54733333333334</c:v>
                </c:pt>
                <c:pt idx="6">
                  <c:v>148.54733333333334</c:v>
                </c:pt>
                <c:pt idx="7">
                  <c:v>148.54733333333334</c:v>
                </c:pt>
                <c:pt idx="8">
                  <c:v>148.54733333333334</c:v>
                </c:pt>
                <c:pt idx="9">
                  <c:v>148.54733333333334</c:v>
                </c:pt>
                <c:pt idx="10">
                  <c:v>148.54733333333334</c:v>
                </c:pt>
                <c:pt idx="11">
                  <c:v>148.54733333333334</c:v>
                </c:pt>
                <c:pt idx="12">
                  <c:v>148.54733333333334</c:v>
                </c:pt>
                <c:pt idx="13">
                  <c:v>148.54733333333334</c:v>
                </c:pt>
                <c:pt idx="14">
                  <c:v>148.54733333333334</c:v>
                </c:pt>
                <c:pt idx="15">
                  <c:v>148.54733333333334</c:v>
                </c:pt>
                <c:pt idx="16">
                  <c:v>148.54733333333334</c:v>
                </c:pt>
                <c:pt idx="17">
                  <c:v>148.54733333333334</c:v>
                </c:pt>
                <c:pt idx="18">
                  <c:v>148.54733333333334</c:v>
                </c:pt>
                <c:pt idx="19">
                  <c:v>148.54733333333334</c:v>
                </c:pt>
                <c:pt idx="20">
                  <c:v>148.54733333333334</c:v>
                </c:pt>
                <c:pt idx="21">
                  <c:v>148.54733333333334</c:v>
                </c:pt>
                <c:pt idx="22">
                  <c:v>148.54733333333334</c:v>
                </c:pt>
                <c:pt idx="23">
                  <c:v>148.54733333333334</c:v>
                </c:pt>
                <c:pt idx="24">
                  <c:v>148.54733333333334</c:v>
                </c:pt>
                <c:pt idx="25">
                  <c:v>148.54733333333334</c:v>
                </c:pt>
                <c:pt idx="26">
                  <c:v>148.54733333333334</c:v>
                </c:pt>
                <c:pt idx="27">
                  <c:v>148.54733333333334</c:v>
                </c:pt>
                <c:pt idx="28">
                  <c:v>148.54733333333334</c:v>
                </c:pt>
                <c:pt idx="29">
                  <c:v>148.54733333333334</c:v>
                </c:pt>
                <c:pt idx="30">
                  <c:v>148.54733333333334</c:v>
                </c:pt>
                <c:pt idx="31">
                  <c:v>148.54733333333334</c:v>
                </c:pt>
                <c:pt idx="32">
                  <c:v>148.54733333333334</c:v>
                </c:pt>
                <c:pt idx="33">
                  <c:v>148.54733333333334</c:v>
                </c:pt>
                <c:pt idx="34">
                  <c:v>148.54733333333334</c:v>
                </c:pt>
                <c:pt idx="35">
                  <c:v>148.54733333333334</c:v>
                </c:pt>
                <c:pt idx="36">
                  <c:v>148.54733333333334</c:v>
                </c:pt>
                <c:pt idx="37">
                  <c:v>148.54733333333334</c:v>
                </c:pt>
                <c:pt idx="38">
                  <c:v>148.54733333333334</c:v>
                </c:pt>
                <c:pt idx="39">
                  <c:v>148.54733333333334</c:v>
                </c:pt>
                <c:pt idx="40">
                  <c:v>148.54733333333334</c:v>
                </c:pt>
                <c:pt idx="41">
                  <c:v>148.54733333333334</c:v>
                </c:pt>
                <c:pt idx="42">
                  <c:v>148.54733333333334</c:v>
                </c:pt>
                <c:pt idx="43">
                  <c:v>148.54733333333334</c:v>
                </c:pt>
                <c:pt idx="44">
                  <c:v>148.54733333333334</c:v>
                </c:pt>
                <c:pt idx="45">
                  <c:v>148.54733333333334</c:v>
                </c:pt>
                <c:pt idx="46">
                  <c:v>148.54733333333334</c:v>
                </c:pt>
                <c:pt idx="47">
                  <c:v>148.54733333333334</c:v>
                </c:pt>
                <c:pt idx="48">
                  <c:v>148.54733333333334</c:v>
                </c:pt>
                <c:pt idx="49">
                  <c:v>148.54733333333334</c:v>
                </c:pt>
                <c:pt idx="50">
                  <c:v>148.54733333333334</c:v>
                </c:pt>
                <c:pt idx="51">
                  <c:v>148.54733333333334</c:v>
                </c:pt>
                <c:pt idx="52">
                  <c:v>148.54733333333334</c:v>
                </c:pt>
                <c:pt idx="53">
                  <c:v>148.54733333333334</c:v>
                </c:pt>
                <c:pt idx="54">
                  <c:v>148.54733333333334</c:v>
                </c:pt>
                <c:pt idx="55">
                  <c:v>148.54733333333334</c:v>
                </c:pt>
                <c:pt idx="56">
                  <c:v>148.54733333333334</c:v>
                </c:pt>
                <c:pt idx="57">
                  <c:v>148.54733333333334</c:v>
                </c:pt>
                <c:pt idx="58">
                  <c:v>148.54733333333334</c:v>
                </c:pt>
                <c:pt idx="59">
                  <c:v>148.54733333333334</c:v>
                </c:pt>
              </c:numCache>
            </c:numRef>
          </c:val>
          <c:smooth val="0"/>
          <c:extLst>
            <c:ext xmlns:c16="http://schemas.microsoft.com/office/drawing/2014/chart" uri="{C3380CC4-5D6E-409C-BE32-E72D297353CC}">
              <c16:uniqueId val="{00000002-28F4-4331-99AF-FFF82CA8E35B}"/>
            </c:ext>
          </c:extLst>
        </c:ser>
        <c:ser>
          <c:idx val="3"/>
          <c:order val="3"/>
          <c:tx>
            <c:strRef>
              <c:f>'Control Chart'!$L$3</c:f>
              <c:strCache>
                <c:ptCount val="1"/>
                <c:pt idx="0">
                  <c:v>LCL</c:v>
                </c:pt>
              </c:strCache>
            </c:strRef>
          </c:tx>
          <c:spPr>
            <a:ln w="28575" cap="rnd">
              <a:solidFill>
                <a:schemeClr val="accent4"/>
              </a:solidFill>
              <a:round/>
            </a:ln>
            <a:effectLst/>
          </c:spPr>
          <c:marker>
            <c:symbol val="none"/>
          </c:marker>
          <c:val>
            <c:numRef>
              <c:f>'Control Chart'!$L$4:$L$63</c:f>
              <c:numCache>
                <c:formatCode>0.00</c:formatCode>
                <c:ptCount val="60"/>
                <c:pt idx="0">
                  <c:v>-77.907333333333355</c:v>
                </c:pt>
                <c:pt idx="1">
                  <c:v>-77.907333333333355</c:v>
                </c:pt>
                <c:pt idx="2">
                  <c:v>-77.907333333333355</c:v>
                </c:pt>
                <c:pt idx="3">
                  <c:v>-77.907333333333355</c:v>
                </c:pt>
                <c:pt idx="4">
                  <c:v>-77.907333333333355</c:v>
                </c:pt>
                <c:pt idx="5">
                  <c:v>-77.907333333333355</c:v>
                </c:pt>
                <c:pt idx="6">
                  <c:v>-77.907333333333355</c:v>
                </c:pt>
                <c:pt idx="7">
                  <c:v>-77.907333333333355</c:v>
                </c:pt>
                <c:pt idx="8">
                  <c:v>-77.907333333333355</c:v>
                </c:pt>
                <c:pt idx="9">
                  <c:v>-77.907333333333355</c:v>
                </c:pt>
                <c:pt idx="10">
                  <c:v>-77.907333333333355</c:v>
                </c:pt>
                <c:pt idx="11">
                  <c:v>-77.907333333333355</c:v>
                </c:pt>
                <c:pt idx="12">
                  <c:v>-77.907333333333355</c:v>
                </c:pt>
                <c:pt idx="13">
                  <c:v>-77.907333333333355</c:v>
                </c:pt>
                <c:pt idx="14">
                  <c:v>-77.907333333333355</c:v>
                </c:pt>
                <c:pt idx="15">
                  <c:v>-77.907333333333355</c:v>
                </c:pt>
                <c:pt idx="16">
                  <c:v>-77.907333333333355</c:v>
                </c:pt>
                <c:pt idx="17">
                  <c:v>-77.907333333333355</c:v>
                </c:pt>
                <c:pt idx="18">
                  <c:v>-77.907333333333355</c:v>
                </c:pt>
                <c:pt idx="19">
                  <c:v>-77.907333333333355</c:v>
                </c:pt>
                <c:pt idx="20">
                  <c:v>-77.907333333333355</c:v>
                </c:pt>
                <c:pt idx="21">
                  <c:v>-77.907333333333355</c:v>
                </c:pt>
                <c:pt idx="22">
                  <c:v>-77.907333333333355</c:v>
                </c:pt>
                <c:pt idx="23">
                  <c:v>-77.907333333333355</c:v>
                </c:pt>
                <c:pt idx="24">
                  <c:v>-77.907333333333355</c:v>
                </c:pt>
                <c:pt idx="25">
                  <c:v>-77.907333333333355</c:v>
                </c:pt>
                <c:pt idx="26">
                  <c:v>-77.907333333333355</c:v>
                </c:pt>
                <c:pt idx="27">
                  <c:v>-77.907333333333355</c:v>
                </c:pt>
                <c:pt idx="28">
                  <c:v>-77.907333333333355</c:v>
                </c:pt>
                <c:pt idx="29">
                  <c:v>-77.907333333333355</c:v>
                </c:pt>
                <c:pt idx="30">
                  <c:v>-77.907333333333355</c:v>
                </c:pt>
                <c:pt idx="31">
                  <c:v>-77.907333333333355</c:v>
                </c:pt>
                <c:pt idx="32">
                  <c:v>-77.907333333333355</c:v>
                </c:pt>
                <c:pt idx="33">
                  <c:v>-77.907333333333355</c:v>
                </c:pt>
                <c:pt idx="34">
                  <c:v>-77.907333333333355</c:v>
                </c:pt>
                <c:pt idx="35">
                  <c:v>-77.907333333333355</c:v>
                </c:pt>
                <c:pt idx="36">
                  <c:v>-77.907333333333355</c:v>
                </c:pt>
                <c:pt idx="37">
                  <c:v>-77.907333333333355</c:v>
                </c:pt>
                <c:pt idx="38">
                  <c:v>-77.907333333333355</c:v>
                </c:pt>
                <c:pt idx="39">
                  <c:v>-77.907333333333355</c:v>
                </c:pt>
                <c:pt idx="40">
                  <c:v>-77.907333333333355</c:v>
                </c:pt>
                <c:pt idx="41">
                  <c:v>-77.907333333333355</c:v>
                </c:pt>
                <c:pt idx="42">
                  <c:v>-77.907333333333355</c:v>
                </c:pt>
                <c:pt idx="43">
                  <c:v>-77.907333333333355</c:v>
                </c:pt>
                <c:pt idx="44">
                  <c:v>-77.907333333333355</c:v>
                </c:pt>
                <c:pt idx="45">
                  <c:v>-77.907333333333355</c:v>
                </c:pt>
                <c:pt idx="46">
                  <c:v>-77.907333333333355</c:v>
                </c:pt>
                <c:pt idx="47">
                  <c:v>-77.907333333333355</c:v>
                </c:pt>
                <c:pt idx="48">
                  <c:v>-77.907333333333355</c:v>
                </c:pt>
                <c:pt idx="49">
                  <c:v>-77.907333333333355</c:v>
                </c:pt>
                <c:pt idx="50">
                  <c:v>-77.907333333333355</c:v>
                </c:pt>
                <c:pt idx="51">
                  <c:v>-77.907333333333355</c:v>
                </c:pt>
                <c:pt idx="52">
                  <c:v>-77.907333333333355</c:v>
                </c:pt>
                <c:pt idx="53">
                  <c:v>-77.907333333333355</c:v>
                </c:pt>
                <c:pt idx="54">
                  <c:v>-77.907333333333355</c:v>
                </c:pt>
                <c:pt idx="55">
                  <c:v>-77.907333333333355</c:v>
                </c:pt>
                <c:pt idx="56">
                  <c:v>-77.907333333333355</c:v>
                </c:pt>
                <c:pt idx="57">
                  <c:v>-77.907333333333355</c:v>
                </c:pt>
                <c:pt idx="58">
                  <c:v>-77.907333333333355</c:v>
                </c:pt>
                <c:pt idx="59">
                  <c:v>-77.907333333333355</c:v>
                </c:pt>
              </c:numCache>
            </c:numRef>
          </c:val>
          <c:smooth val="0"/>
          <c:extLst>
            <c:ext xmlns:c16="http://schemas.microsoft.com/office/drawing/2014/chart" uri="{C3380CC4-5D6E-409C-BE32-E72D297353CC}">
              <c16:uniqueId val="{00000003-28F4-4331-99AF-FFF82CA8E35B}"/>
            </c:ext>
          </c:extLst>
        </c:ser>
        <c:dLbls>
          <c:showLegendKey val="0"/>
          <c:showVal val="0"/>
          <c:showCatName val="0"/>
          <c:showSerName val="0"/>
          <c:showPercent val="0"/>
          <c:showBubbleSize val="0"/>
        </c:dLbls>
        <c:smooth val="0"/>
        <c:axId val="1697468528"/>
        <c:axId val="1582426848"/>
      </c:lineChart>
      <c:catAx>
        <c:axId val="16974685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426848"/>
        <c:crosses val="autoZero"/>
        <c:auto val="1"/>
        <c:lblAlgn val="ctr"/>
        <c:lblOffset val="100"/>
        <c:noMultiLvlLbl val="0"/>
      </c:catAx>
      <c:valAx>
        <c:axId val="1582426848"/>
        <c:scaling>
          <c:orientation val="minMax"/>
          <c:max val="220"/>
          <c:min val="-8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468528"/>
        <c:crosses val="autoZero"/>
        <c:crossBetween val="between"/>
        <c:majorUnit val="15"/>
        <c:minorUnit val="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213360</xdr:colOff>
      <xdr:row>47</xdr:row>
      <xdr:rowOff>114300</xdr:rowOff>
    </xdr:from>
    <xdr:to>
      <xdr:col>1</xdr:col>
      <xdr:colOff>281940</xdr:colOff>
      <xdr:row>48</xdr:row>
      <xdr:rowOff>167640</xdr:rowOff>
    </xdr:to>
    <xdr:sp macro="" textlink="">
      <xdr:nvSpPr>
        <xdr:cNvPr id="12" name="Arrow: Up 11">
          <a:extLst>
            <a:ext uri="{FF2B5EF4-FFF2-40B4-BE49-F238E27FC236}">
              <a16:creationId xmlns:a16="http://schemas.microsoft.com/office/drawing/2014/main" id="{14ACEB61-902D-49DF-AEE5-65621C312F2F}"/>
            </a:ext>
          </a:extLst>
        </xdr:cNvPr>
        <xdr:cNvSpPr/>
      </xdr:nvSpPr>
      <xdr:spPr>
        <a:xfrm>
          <a:off x="11407140" y="1394460"/>
          <a:ext cx="68580" cy="23622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213360</xdr:colOff>
      <xdr:row>47</xdr:row>
      <xdr:rowOff>114300</xdr:rowOff>
    </xdr:from>
    <xdr:to>
      <xdr:col>1</xdr:col>
      <xdr:colOff>281940</xdr:colOff>
      <xdr:row>48</xdr:row>
      <xdr:rowOff>167640</xdr:rowOff>
    </xdr:to>
    <xdr:sp macro="" textlink="">
      <xdr:nvSpPr>
        <xdr:cNvPr id="13" name="Arrow: Up 12">
          <a:extLst>
            <a:ext uri="{FF2B5EF4-FFF2-40B4-BE49-F238E27FC236}">
              <a16:creationId xmlns:a16="http://schemas.microsoft.com/office/drawing/2014/main" id="{A2ED591A-C7A5-444D-8527-7AA8781B2D89}"/>
            </a:ext>
          </a:extLst>
        </xdr:cNvPr>
        <xdr:cNvSpPr/>
      </xdr:nvSpPr>
      <xdr:spPr>
        <a:xfrm>
          <a:off x="11407140" y="1394460"/>
          <a:ext cx="68580" cy="23622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157167</xdr:colOff>
      <xdr:row>10</xdr:row>
      <xdr:rowOff>22860</xdr:rowOff>
    </xdr:from>
    <xdr:to>
      <xdr:col>2</xdr:col>
      <xdr:colOff>2827020</xdr:colOff>
      <xdr:row>11</xdr:row>
      <xdr:rowOff>7620</xdr:rowOff>
    </xdr:to>
    <xdr:sp macro="" textlink="">
      <xdr:nvSpPr>
        <xdr:cNvPr id="2" name="Oval 1">
          <a:extLst>
            <a:ext uri="{FF2B5EF4-FFF2-40B4-BE49-F238E27FC236}">
              <a16:creationId xmlns:a16="http://schemas.microsoft.com/office/drawing/2014/main" id="{17785A94-5F6D-47B9-90B7-87D2AB9C6580}"/>
            </a:ext>
          </a:extLst>
        </xdr:cNvPr>
        <xdr:cNvSpPr/>
      </xdr:nvSpPr>
      <xdr:spPr>
        <a:xfrm>
          <a:off x="19641507" y="1851660"/>
          <a:ext cx="1412553" cy="16764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990600</xdr:colOff>
      <xdr:row>4</xdr:row>
      <xdr:rowOff>106680</xdr:rowOff>
    </xdr:from>
    <xdr:to>
      <xdr:col>2</xdr:col>
      <xdr:colOff>436092</xdr:colOff>
      <xdr:row>10</xdr:row>
      <xdr:rowOff>155448</xdr:rowOff>
    </xdr:to>
    <xdr:sp macro="" textlink="">
      <xdr:nvSpPr>
        <xdr:cNvPr id="3" name="Thought Bubble: Cloud 2">
          <a:extLst>
            <a:ext uri="{FF2B5EF4-FFF2-40B4-BE49-F238E27FC236}">
              <a16:creationId xmlns:a16="http://schemas.microsoft.com/office/drawing/2014/main" id="{7ABF2CA5-46CA-437A-B7D5-5D6FF84CA171}"/>
            </a:ext>
          </a:extLst>
        </xdr:cNvPr>
        <xdr:cNvSpPr/>
      </xdr:nvSpPr>
      <xdr:spPr>
        <a:xfrm>
          <a:off x="990600" y="655320"/>
          <a:ext cx="1251432" cy="1146048"/>
        </a:xfrm>
        <a:prstGeom prst="cloudCallou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1082040</xdr:colOff>
      <xdr:row>6</xdr:row>
      <xdr:rowOff>15240</xdr:rowOff>
    </xdr:from>
    <xdr:ext cx="1050288" cy="609013"/>
    <xdr:sp macro="" textlink="">
      <xdr:nvSpPr>
        <xdr:cNvPr id="4" name="TextBox 3">
          <a:extLst>
            <a:ext uri="{FF2B5EF4-FFF2-40B4-BE49-F238E27FC236}">
              <a16:creationId xmlns:a16="http://schemas.microsoft.com/office/drawing/2014/main" id="{CF3C70A3-07B8-4F0C-A288-1F8EC7C4BD73}"/>
            </a:ext>
          </a:extLst>
        </xdr:cNvPr>
        <xdr:cNvSpPr txBox="1"/>
      </xdr:nvSpPr>
      <xdr:spPr>
        <a:xfrm>
          <a:off x="1082040" y="929640"/>
          <a:ext cx="105028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&lt;=</a:t>
          </a:r>
          <a:r>
            <a:rPr lang="en-US" sz="1100" baseline="0"/>
            <a:t> 60 minutes</a:t>
          </a:r>
        </a:p>
        <a:p>
          <a:r>
            <a:rPr lang="en-US" sz="1100" baseline="0"/>
            <a:t>Fail to Reject</a:t>
          </a:r>
        </a:p>
        <a:p>
          <a:r>
            <a:rPr lang="en-US" sz="1100" baseline="0"/>
            <a:t>null hypothesis</a:t>
          </a:r>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3</xdr:col>
      <xdr:colOff>304800</xdr:colOff>
      <xdr:row>65</xdr:row>
      <xdr:rowOff>160972</xdr:rowOff>
    </xdr:from>
    <xdr:to>
      <xdr:col>12</xdr:col>
      <xdr:colOff>829285</xdr:colOff>
      <xdr:row>89</xdr:row>
      <xdr:rowOff>30480</xdr:rowOff>
    </xdr:to>
    <xdr:graphicFrame macro="">
      <xdr:nvGraphicFramePr>
        <xdr:cNvPr id="2" name="Chart 1">
          <a:extLst>
            <a:ext uri="{FF2B5EF4-FFF2-40B4-BE49-F238E27FC236}">
              <a16:creationId xmlns:a16="http://schemas.microsoft.com/office/drawing/2014/main" id="{AE2CA61A-B6F8-4734-95AA-604906F228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43180</xdr:colOff>
      <xdr:row>66</xdr:row>
      <xdr:rowOff>99060</xdr:rowOff>
    </xdr:from>
    <xdr:to>
      <xdr:col>33</xdr:col>
      <xdr:colOff>121920</xdr:colOff>
      <xdr:row>94</xdr:row>
      <xdr:rowOff>114300</xdr:rowOff>
    </xdr:to>
    <xdr:graphicFrame macro="">
      <xdr:nvGraphicFramePr>
        <xdr:cNvPr id="3" name="Chart 2">
          <a:extLst>
            <a:ext uri="{FF2B5EF4-FFF2-40B4-BE49-F238E27FC236}">
              <a16:creationId xmlns:a16="http://schemas.microsoft.com/office/drawing/2014/main" id="{061068BA-B953-46C7-9578-3D21E2379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96ABA-5B3A-4979-B7BE-168F498E7F46}">
  <dimension ref="C3:E14"/>
  <sheetViews>
    <sheetView showGridLines="0" workbookViewId="0">
      <selection activeCell="C4" sqref="C4"/>
    </sheetView>
  </sheetViews>
  <sheetFormatPr defaultRowHeight="14.4" x14ac:dyDescent="0.3"/>
  <cols>
    <col min="3" max="3" width="40.21875" customWidth="1"/>
  </cols>
  <sheetData>
    <row r="3" spans="3:5" x14ac:dyDescent="0.3">
      <c r="C3" s="48" t="s">
        <v>174</v>
      </c>
    </row>
    <row r="4" spans="3:5" ht="129.6" x14ac:dyDescent="0.3">
      <c r="C4" s="32" t="s">
        <v>175</v>
      </c>
      <c r="E4" s="32" t="s">
        <v>6</v>
      </c>
    </row>
    <row r="11" spans="3:5" x14ac:dyDescent="0.3">
      <c r="C11" s="49" t="s">
        <v>176</v>
      </c>
    </row>
    <row r="12" spans="3:5" ht="28.8" x14ac:dyDescent="0.3">
      <c r="C12" s="50" t="s">
        <v>177</v>
      </c>
    </row>
    <row r="13" spans="3:5" x14ac:dyDescent="0.3">
      <c r="C13" s="49" t="s">
        <v>178</v>
      </c>
    </row>
    <row r="14" spans="3:5" ht="28.8" x14ac:dyDescent="0.3">
      <c r="C14" s="50" t="s">
        <v>179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2BF7D-350E-4D78-A7AE-1839BB7A8D9B}">
  <sheetPr>
    <tabColor rgb="FFFFFF00"/>
  </sheetPr>
  <dimension ref="A1:T126"/>
  <sheetViews>
    <sheetView topLeftCell="H40" workbookViewId="0">
      <selection activeCell="P71" sqref="P71"/>
    </sheetView>
  </sheetViews>
  <sheetFormatPr defaultRowHeight="14.4" x14ac:dyDescent="0.3"/>
  <cols>
    <col min="1" max="1" width="9.5546875" style="10" bestFit="1" customWidth="1"/>
    <col min="2" max="2" width="26.88671875" style="10" bestFit="1" customWidth="1"/>
    <col min="3" max="3" width="16.5546875" bestFit="1" customWidth="1"/>
    <col min="4" max="4" width="17.33203125" bestFit="1" customWidth="1"/>
    <col min="5" max="5" width="14.44140625" bestFit="1" customWidth="1"/>
    <col min="6" max="6" width="36" bestFit="1" customWidth="1"/>
    <col min="7" max="8" width="36" style="12" customWidth="1"/>
    <col min="9" max="9" width="16.6640625" style="12" bestFit="1" customWidth="1"/>
    <col min="10" max="10" width="9.109375" style="12"/>
    <col min="11" max="11" width="27.6640625" bestFit="1" customWidth="1"/>
    <col min="12" max="12" width="12.6640625" bestFit="1" customWidth="1"/>
    <col min="13" max="13" width="13.44140625" bestFit="1" customWidth="1"/>
    <col min="14" max="14" width="17.44140625" bestFit="1" customWidth="1"/>
    <col min="15" max="15" width="12" bestFit="1" customWidth="1"/>
    <col min="16" max="19" width="12.6640625" bestFit="1" customWidth="1"/>
  </cols>
  <sheetData>
    <row r="1" spans="1:17" x14ac:dyDescent="0.3">
      <c r="B1" s="10" t="s">
        <v>33</v>
      </c>
      <c r="C1" t="s">
        <v>34</v>
      </c>
    </row>
    <row r="2" spans="1:17" x14ac:dyDescent="0.3">
      <c r="A2" s="17" t="s">
        <v>0</v>
      </c>
      <c r="B2" s="17" t="s">
        <v>42</v>
      </c>
      <c r="C2" s="17" t="s">
        <v>43</v>
      </c>
      <c r="D2" s="17" t="s">
        <v>65</v>
      </c>
      <c r="E2" s="17" t="s">
        <v>66</v>
      </c>
      <c r="F2" s="17" t="s">
        <v>48</v>
      </c>
      <c r="G2" s="26" t="s">
        <v>92</v>
      </c>
      <c r="H2" s="26" t="s">
        <v>93</v>
      </c>
      <c r="I2" s="26" t="s">
        <v>131</v>
      </c>
      <c r="J2" s="31"/>
      <c r="K2" s="10" t="s">
        <v>6</v>
      </c>
      <c r="L2" s="10"/>
      <c r="N2" t="s">
        <v>67</v>
      </c>
    </row>
    <row r="3" spans="1:17" ht="15" thickBot="1" x14ac:dyDescent="0.35">
      <c r="A3" s="1">
        <v>43831</v>
      </c>
      <c r="B3">
        <v>0</v>
      </c>
      <c r="C3">
        <v>372</v>
      </c>
      <c r="D3">
        <v>0</v>
      </c>
      <c r="E3">
        <v>0</v>
      </c>
      <c r="F3">
        <v>720</v>
      </c>
      <c r="G3" s="12">
        <f>8.5*250</f>
        <v>2125</v>
      </c>
      <c r="H3" s="12">
        <v>0</v>
      </c>
      <c r="I3" s="12">
        <v>0</v>
      </c>
      <c r="K3" s="10"/>
      <c r="L3" s="10"/>
    </row>
    <row r="4" spans="1:17" x14ac:dyDescent="0.3">
      <c r="A4" s="1">
        <v>43832</v>
      </c>
      <c r="B4">
        <v>0</v>
      </c>
      <c r="C4">
        <v>405</v>
      </c>
      <c r="D4">
        <v>0</v>
      </c>
      <c r="E4">
        <f>2*60</f>
        <v>120</v>
      </c>
      <c r="F4">
        <v>413</v>
      </c>
      <c r="G4" s="12">
        <f>250*6.25</f>
        <v>1562.5</v>
      </c>
      <c r="H4" s="12">
        <v>0</v>
      </c>
      <c r="I4" s="12">
        <v>0</v>
      </c>
      <c r="K4" s="63" t="s">
        <v>6</v>
      </c>
      <c r="L4" s="63"/>
      <c r="N4" s="24" t="s">
        <v>68</v>
      </c>
      <c r="O4" s="24"/>
    </row>
    <row r="5" spans="1:17" x14ac:dyDescent="0.3">
      <c r="A5" s="1">
        <v>43833</v>
      </c>
      <c r="B5">
        <v>0</v>
      </c>
      <c r="C5">
        <v>582</v>
      </c>
      <c r="D5">
        <v>2</v>
      </c>
      <c r="E5">
        <f>60 *8</f>
        <v>480</v>
      </c>
      <c r="F5">
        <v>1021</v>
      </c>
      <c r="G5" s="12">
        <f>250*10</f>
        <v>2500</v>
      </c>
      <c r="H5" s="12">
        <v>0</v>
      </c>
      <c r="I5" s="12">
        <v>0</v>
      </c>
      <c r="K5" s="21" t="s">
        <v>6</v>
      </c>
      <c r="L5" s="21" t="s">
        <v>6</v>
      </c>
      <c r="N5" s="21" t="s">
        <v>69</v>
      </c>
      <c r="O5" s="21">
        <v>0.62493578629093649</v>
      </c>
    </row>
    <row r="6" spans="1:17" x14ac:dyDescent="0.3">
      <c r="A6" s="2">
        <v>43834</v>
      </c>
      <c r="B6" s="3">
        <v>0</v>
      </c>
      <c r="C6" s="3">
        <v>621</v>
      </c>
      <c r="D6" s="3">
        <v>0</v>
      </c>
      <c r="E6" s="3">
        <v>0</v>
      </c>
      <c r="F6" s="3">
        <v>1433</v>
      </c>
      <c r="G6" s="3">
        <f>250*7.5</f>
        <v>1875</v>
      </c>
      <c r="H6" s="3">
        <v>0</v>
      </c>
      <c r="I6" s="3">
        <v>0</v>
      </c>
      <c r="K6" s="21" t="s">
        <v>6</v>
      </c>
      <c r="L6" s="21" t="s">
        <v>6</v>
      </c>
      <c r="N6" s="21" t="s">
        <v>70</v>
      </c>
      <c r="O6" s="21">
        <v>0.39054473698707104</v>
      </c>
    </row>
    <row r="7" spans="1:17" x14ac:dyDescent="0.3">
      <c r="A7" s="2">
        <v>43835</v>
      </c>
      <c r="B7" s="3">
        <v>0</v>
      </c>
      <c r="C7" s="3">
        <v>322</v>
      </c>
      <c r="D7" s="3">
        <v>0</v>
      </c>
      <c r="E7" s="3">
        <v>0</v>
      </c>
      <c r="F7" s="3">
        <v>1504</v>
      </c>
      <c r="G7" s="3">
        <f>250*10</f>
        <v>2500</v>
      </c>
      <c r="H7" s="3">
        <v>0</v>
      </c>
      <c r="I7" s="3">
        <v>0</v>
      </c>
      <c r="K7" s="21" t="s">
        <v>6</v>
      </c>
      <c r="L7" s="21" t="s">
        <v>6</v>
      </c>
      <c r="N7" s="21" t="s">
        <v>71</v>
      </c>
      <c r="O7" s="21">
        <v>0.30850268235071526</v>
      </c>
    </row>
    <row r="8" spans="1:17" x14ac:dyDescent="0.3">
      <c r="A8" s="1">
        <v>43836</v>
      </c>
      <c r="B8">
        <v>60</v>
      </c>
      <c r="C8">
        <v>418</v>
      </c>
      <c r="D8">
        <v>156</v>
      </c>
      <c r="E8">
        <f>60 *8</f>
        <v>480</v>
      </c>
      <c r="F8">
        <v>0</v>
      </c>
      <c r="G8" s="12">
        <f>250*11.5</f>
        <v>2875</v>
      </c>
      <c r="H8" s="12">
        <v>0</v>
      </c>
      <c r="I8" s="12">
        <v>1</v>
      </c>
      <c r="K8" s="21" t="s">
        <v>6</v>
      </c>
      <c r="L8" s="21" t="s">
        <v>6</v>
      </c>
      <c r="N8" s="21" t="s">
        <v>72</v>
      </c>
      <c r="O8" s="21">
        <v>42.217491167317462</v>
      </c>
    </row>
    <row r="9" spans="1:17" ht="15" thickBot="1" x14ac:dyDescent="0.35">
      <c r="A9" s="1">
        <v>43837</v>
      </c>
      <c r="B9">
        <v>93</v>
      </c>
      <c r="C9">
        <v>456</v>
      </c>
      <c r="D9">
        <v>194</v>
      </c>
      <c r="E9">
        <f>60 *8</f>
        <v>480</v>
      </c>
      <c r="F9">
        <v>0</v>
      </c>
      <c r="G9" s="12">
        <f>250*12</f>
        <v>3000</v>
      </c>
      <c r="H9" s="12">
        <v>0</v>
      </c>
      <c r="I9" s="12">
        <v>1</v>
      </c>
      <c r="K9" s="21" t="s">
        <v>6</v>
      </c>
      <c r="L9" s="21" t="s">
        <v>6</v>
      </c>
      <c r="N9" s="22" t="s">
        <v>73</v>
      </c>
      <c r="O9" s="22">
        <v>60</v>
      </c>
    </row>
    <row r="10" spans="1:17" x14ac:dyDescent="0.3">
      <c r="A10" s="1">
        <v>43838</v>
      </c>
      <c r="B10">
        <v>184</v>
      </c>
      <c r="C10">
        <v>438</v>
      </c>
      <c r="D10">
        <v>118</v>
      </c>
      <c r="E10">
        <f>60 *8</f>
        <v>480</v>
      </c>
      <c r="F10">
        <v>0</v>
      </c>
      <c r="G10" s="12">
        <f>250*13.5</f>
        <v>3375</v>
      </c>
      <c r="H10" s="12">
        <v>0</v>
      </c>
      <c r="I10" s="12">
        <v>0</v>
      </c>
    </row>
    <row r="11" spans="1:17" ht="15" thickBot="1" x14ac:dyDescent="0.35">
      <c r="A11" s="1">
        <v>43839</v>
      </c>
      <c r="B11">
        <v>0</v>
      </c>
      <c r="C11">
        <v>792</v>
      </c>
      <c r="D11">
        <v>0</v>
      </c>
      <c r="E11">
        <v>240</v>
      </c>
      <c r="F11">
        <v>0</v>
      </c>
      <c r="G11" s="12">
        <f>250*3</f>
        <v>750</v>
      </c>
      <c r="H11" s="12">
        <v>1</v>
      </c>
      <c r="I11" s="12">
        <v>0</v>
      </c>
      <c r="K11" s="10" t="s">
        <v>6</v>
      </c>
      <c r="L11" t="s">
        <v>74</v>
      </c>
    </row>
    <row r="12" spans="1:17" x14ac:dyDescent="0.3">
      <c r="A12" s="1">
        <v>43840</v>
      </c>
      <c r="B12">
        <v>0</v>
      </c>
      <c r="C12">
        <v>781</v>
      </c>
      <c r="D12">
        <v>0</v>
      </c>
      <c r="E12">
        <v>180</v>
      </c>
      <c r="F12">
        <v>630</v>
      </c>
      <c r="G12" s="12">
        <f>250*4.75</f>
        <v>1187.5</v>
      </c>
      <c r="H12" s="12">
        <v>1</v>
      </c>
      <c r="I12" s="12">
        <v>0</v>
      </c>
      <c r="K12" s="62"/>
      <c r="L12" s="23"/>
      <c r="M12" s="23" t="s">
        <v>79</v>
      </c>
      <c r="N12" s="23" t="s">
        <v>80</v>
      </c>
      <c r="O12" s="23" t="s">
        <v>81</v>
      </c>
      <c r="P12" s="23" t="s">
        <v>82</v>
      </c>
      <c r="Q12" s="23" t="s">
        <v>83</v>
      </c>
    </row>
    <row r="13" spans="1:17" x14ac:dyDescent="0.3">
      <c r="A13" s="2">
        <v>43841</v>
      </c>
      <c r="B13" s="3">
        <v>20</v>
      </c>
      <c r="C13" s="3">
        <v>617</v>
      </c>
      <c r="D13" s="3">
        <v>0</v>
      </c>
      <c r="E13" s="3">
        <v>0</v>
      </c>
      <c r="F13" s="3">
        <v>1011</v>
      </c>
      <c r="G13" s="3">
        <f>250*10.5</f>
        <v>2625</v>
      </c>
      <c r="H13" s="3">
        <v>1</v>
      </c>
      <c r="I13" s="3">
        <v>1</v>
      </c>
      <c r="K13" s="21" t="s">
        <v>6</v>
      </c>
      <c r="L13" s="21" t="s">
        <v>75</v>
      </c>
      <c r="M13" s="21">
        <v>7</v>
      </c>
      <c r="N13" s="21">
        <v>59390.522189281968</v>
      </c>
      <c r="O13" s="21">
        <v>8484.3603127545666</v>
      </c>
      <c r="P13" s="21">
        <v>4.7602993210997235</v>
      </c>
      <c r="Q13" s="21">
        <v>3.4453181671722849E-4</v>
      </c>
    </row>
    <row r="14" spans="1:17" x14ac:dyDescent="0.3">
      <c r="A14" s="2">
        <v>43842</v>
      </c>
      <c r="B14" s="3">
        <v>30</v>
      </c>
      <c r="C14" s="3">
        <v>692</v>
      </c>
      <c r="D14" s="3">
        <v>245</v>
      </c>
      <c r="E14" s="3">
        <v>0</v>
      </c>
      <c r="F14" s="3">
        <v>1030</v>
      </c>
      <c r="G14" s="3">
        <f>250*4.75</f>
        <v>1187.5</v>
      </c>
      <c r="H14" s="3">
        <v>1</v>
      </c>
      <c r="I14" s="3">
        <v>1</v>
      </c>
      <c r="K14" s="21" t="s">
        <v>6</v>
      </c>
      <c r="L14" s="21" t="s">
        <v>76</v>
      </c>
      <c r="M14" s="21">
        <v>52</v>
      </c>
      <c r="N14" s="21">
        <v>92680.461144051456</v>
      </c>
      <c r="O14" s="21">
        <v>1782.3165604625281</v>
      </c>
      <c r="P14" s="21"/>
      <c r="Q14" s="21"/>
    </row>
    <row r="15" spans="1:17" ht="15" thickBot="1" x14ac:dyDescent="0.35">
      <c r="A15" s="1">
        <v>43843</v>
      </c>
      <c r="B15">
        <v>0</v>
      </c>
      <c r="C15">
        <v>479</v>
      </c>
      <c r="D15">
        <v>120</v>
      </c>
      <c r="E15">
        <f>60 *8</f>
        <v>480</v>
      </c>
      <c r="F15">
        <v>0</v>
      </c>
      <c r="G15" s="12">
        <f>250*7.25</f>
        <v>1812.5</v>
      </c>
      <c r="H15" s="12">
        <v>0</v>
      </c>
      <c r="I15" s="12">
        <v>0</v>
      </c>
      <c r="K15" s="21" t="s">
        <v>6</v>
      </c>
      <c r="L15" s="22" t="s">
        <v>77</v>
      </c>
      <c r="M15" s="22">
        <v>59</v>
      </c>
      <c r="N15" s="22">
        <v>152070.98333333342</v>
      </c>
      <c r="O15" s="22"/>
      <c r="P15" s="22"/>
      <c r="Q15" s="22"/>
    </row>
    <row r="16" spans="1:17" ht="15" thickBot="1" x14ac:dyDescent="0.35">
      <c r="A16" s="1">
        <v>43844</v>
      </c>
      <c r="B16">
        <v>62</v>
      </c>
      <c r="C16">
        <v>463</v>
      </c>
      <c r="D16">
        <v>156</v>
      </c>
      <c r="E16">
        <f>60 *8</f>
        <v>480</v>
      </c>
      <c r="F16">
        <v>0</v>
      </c>
      <c r="G16" s="12">
        <f>250*9.75</f>
        <v>2437.5</v>
      </c>
      <c r="H16" s="12">
        <v>0</v>
      </c>
      <c r="I16" s="12">
        <v>1</v>
      </c>
    </row>
    <row r="17" spans="1:19" x14ac:dyDescent="0.3">
      <c r="A17" s="1">
        <v>43845</v>
      </c>
      <c r="B17">
        <v>197</v>
      </c>
      <c r="C17">
        <v>355</v>
      </c>
      <c r="D17">
        <v>162</v>
      </c>
      <c r="E17">
        <f>60 *8</f>
        <v>480</v>
      </c>
      <c r="F17">
        <v>0</v>
      </c>
      <c r="G17" s="12">
        <f>250*8</f>
        <v>2000</v>
      </c>
      <c r="H17" s="12">
        <v>0</v>
      </c>
      <c r="I17" s="12">
        <v>0</v>
      </c>
      <c r="K17" s="23"/>
      <c r="L17" s="23" t="s">
        <v>84</v>
      </c>
      <c r="M17" s="23" t="s">
        <v>72</v>
      </c>
      <c r="N17" s="23" t="s">
        <v>85</v>
      </c>
      <c r="O17" s="23" t="s">
        <v>86</v>
      </c>
      <c r="P17" s="23" t="s">
        <v>87</v>
      </c>
      <c r="Q17" s="23" t="s">
        <v>88</v>
      </c>
      <c r="R17" s="23" t="s">
        <v>89</v>
      </c>
      <c r="S17" s="23" t="s">
        <v>90</v>
      </c>
    </row>
    <row r="18" spans="1:19" x14ac:dyDescent="0.3">
      <c r="A18" s="1">
        <v>43846</v>
      </c>
      <c r="B18">
        <v>0</v>
      </c>
      <c r="C18">
        <v>273</v>
      </c>
      <c r="D18">
        <v>191</v>
      </c>
      <c r="E18">
        <f>60 *8</f>
        <v>480</v>
      </c>
      <c r="F18">
        <v>0</v>
      </c>
      <c r="G18" s="12">
        <f>250*9</f>
        <v>2250</v>
      </c>
      <c r="H18" s="12">
        <v>0</v>
      </c>
      <c r="I18" s="12">
        <v>0</v>
      </c>
      <c r="K18" s="21" t="s">
        <v>78</v>
      </c>
      <c r="L18" s="27">
        <v>-3.1119983966492901</v>
      </c>
      <c r="M18" s="27">
        <v>41.825343460582253</v>
      </c>
      <c r="N18" s="27">
        <v>-7.4404610677785643E-2</v>
      </c>
      <c r="O18" s="27">
        <v>0.9409739348678261</v>
      </c>
      <c r="P18" s="27">
        <v>-87.04069022243435</v>
      </c>
      <c r="Q18" s="27">
        <v>80.816693429135782</v>
      </c>
      <c r="R18" s="27">
        <v>-87.04069022243435</v>
      </c>
      <c r="S18" s="27">
        <v>80.816693429135782</v>
      </c>
    </row>
    <row r="19" spans="1:19" x14ac:dyDescent="0.3">
      <c r="A19" s="1">
        <v>43847</v>
      </c>
      <c r="B19">
        <v>0</v>
      </c>
      <c r="C19">
        <v>324</v>
      </c>
      <c r="D19">
        <v>0</v>
      </c>
      <c r="E19">
        <f>60 *8</f>
        <v>480</v>
      </c>
      <c r="F19">
        <v>487</v>
      </c>
      <c r="G19" s="12">
        <f>250*6.3</f>
        <v>1575</v>
      </c>
      <c r="H19" s="12">
        <v>0</v>
      </c>
      <c r="I19" s="12">
        <v>0</v>
      </c>
      <c r="K19" s="21" t="s">
        <v>43</v>
      </c>
      <c r="L19" s="27">
        <v>4.3821478578056537E-2</v>
      </c>
      <c r="M19" s="27">
        <v>5.0733234010139287E-2</v>
      </c>
      <c r="N19" s="27">
        <v>0.86376276681471953</v>
      </c>
      <c r="O19" s="27">
        <v>0.39168503998602133</v>
      </c>
      <c r="P19" s="27">
        <v>-5.7982203358836339E-2</v>
      </c>
      <c r="Q19" s="27">
        <v>0.14562516051494942</v>
      </c>
      <c r="R19" s="27">
        <v>-5.7982203358836339E-2</v>
      </c>
      <c r="S19" s="27">
        <v>0.14562516051494942</v>
      </c>
    </row>
    <row r="20" spans="1:19" x14ac:dyDescent="0.3">
      <c r="A20" s="2">
        <v>43848</v>
      </c>
      <c r="B20" s="3">
        <v>0</v>
      </c>
      <c r="C20" s="3">
        <v>512</v>
      </c>
      <c r="D20" s="3">
        <v>0</v>
      </c>
      <c r="E20" s="3">
        <v>0</v>
      </c>
      <c r="F20" s="3">
        <v>1832</v>
      </c>
      <c r="G20" s="3">
        <f>250*3.8</f>
        <v>950</v>
      </c>
      <c r="H20" s="3">
        <v>0</v>
      </c>
      <c r="I20" s="3">
        <v>0</v>
      </c>
      <c r="K20" s="21" t="s">
        <v>65</v>
      </c>
      <c r="L20" s="27">
        <v>8.661489260791165E-2</v>
      </c>
      <c r="M20" s="27">
        <v>7.3107821135402776E-2</v>
      </c>
      <c r="N20" s="27">
        <v>1.1847554921311698</v>
      </c>
      <c r="O20" s="27">
        <v>0.24150082764336309</v>
      </c>
      <c r="P20" s="27">
        <v>-6.0086683098465529E-2</v>
      </c>
      <c r="Q20" s="27">
        <v>0.23331646831428882</v>
      </c>
      <c r="R20" s="27">
        <v>-6.0086683098465529E-2</v>
      </c>
      <c r="S20" s="27">
        <v>0.23331646831428882</v>
      </c>
    </row>
    <row r="21" spans="1:19" x14ac:dyDescent="0.3">
      <c r="A21" s="2">
        <v>43849</v>
      </c>
      <c r="B21" s="3">
        <v>0</v>
      </c>
      <c r="C21" s="3">
        <v>618</v>
      </c>
      <c r="D21" s="3">
        <v>238</v>
      </c>
      <c r="E21" s="3">
        <v>0</v>
      </c>
      <c r="F21" s="3">
        <v>1567</v>
      </c>
      <c r="G21" s="3">
        <f>250*12.3</f>
        <v>3075</v>
      </c>
      <c r="H21" s="3">
        <v>0</v>
      </c>
      <c r="I21" s="3">
        <v>0</v>
      </c>
      <c r="K21" s="21" t="s">
        <v>66</v>
      </c>
      <c r="L21" s="27">
        <v>2.6523894147590269E-2</v>
      </c>
      <c r="M21" s="27">
        <v>3.1502070581873799E-2</v>
      </c>
      <c r="N21" s="27">
        <v>0.84197304042776289</v>
      </c>
      <c r="O21" s="27">
        <v>0.40365880274821653</v>
      </c>
      <c r="P21" s="27">
        <v>-3.6689635138354521E-2</v>
      </c>
      <c r="Q21" s="27">
        <v>8.9737423433535052E-2</v>
      </c>
      <c r="R21" s="27">
        <v>-3.6689635138354521E-2</v>
      </c>
      <c r="S21" s="27">
        <v>8.9737423433535052E-2</v>
      </c>
    </row>
    <row r="22" spans="1:19" x14ac:dyDescent="0.3">
      <c r="A22" s="1">
        <v>43850</v>
      </c>
      <c r="B22">
        <v>63</v>
      </c>
      <c r="C22">
        <v>363</v>
      </c>
      <c r="D22">
        <v>187</v>
      </c>
      <c r="E22">
        <f>60 *8</f>
        <v>480</v>
      </c>
      <c r="F22">
        <v>0</v>
      </c>
      <c r="G22" s="12">
        <f>250*11.6</f>
        <v>2900</v>
      </c>
      <c r="H22" s="12">
        <v>0</v>
      </c>
      <c r="I22" s="12">
        <v>1</v>
      </c>
      <c r="K22" s="21" t="s">
        <v>48</v>
      </c>
      <c r="L22" s="27">
        <v>-2.6486628795035456E-2</v>
      </c>
      <c r="M22" s="27">
        <v>1.1827848498464374E-2</v>
      </c>
      <c r="N22" s="27">
        <v>-2.2393446110232347</v>
      </c>
      <c r="O22" s="29">
        <v>2.9436324207857491E-2</v>
      </c>
      <c r="P22" s="27">
        <v>-5.0220943195232653E-2</v>
      </c>
      <c r="Q22" s="27">
        <v>-2.7523143948382581E-3</v>
      </c>
      <c r="R22" s="27">
        <v>-5.0220943195232653E-2</v>
      </c>
      <c r="S22" s="27">
        <v>-2.7523143948382581E-3</v>
      </c>
    </row>
    <row r="23" spans="1:19" x14ac:dyDescent="0.3">
      <c r="A23" s="1">
        <v>43851</v>
      </c>
      <c r="B23">
        <v>57</v>
      </c>
      <c r="C23">
        <v>351</v>
      </c>
      <c r="D23">
        <v>208</v>
      </c>
      <c r="E23">
        <f>60 *8</f>
        <v>480</v>
      </c>
      <c r="F23">
        <v>0</v>
      </c>
      <c r="G23" s="12">
        <f>250*10.5</f>
        <v>2625</v>
      </c>
      <c r="H23" s="12">
        <v>0</v>
      </c>
      <c r="I23" s="12">
        <v>1</v>
      </c>
      <c r="K23" s="21" t="s">
        <v>92</v>
      </c>
      <c r="L23" s="27">
        <v>9.6777896164862987E-3</v>
      </c>
      <c r="M23" s="27">
        <v>1.0592582297188196E-2</v>
      </c>
      <c r="N23" s="27">
        <v>0.9136383692818012</v>
      </c>
      <c r="O23" s="27">
        <v>0.36512382041466029</v>
      </c>
      <c r="P23" s="27">
        <v>-1.157778180751937E-2</v>
      </c>
      <c r="Q23" s="27">
        <v>3.0933361040491967E-2</v>
      </c>
      <c r="R23" s="27">
        <v>-1.157778180751937E-2</v>
      </c>
      <c r="S23" s="27">
        <v>3.0933361040491967E-2</v>
      </c>
    </row>
    <row r="24" spans="1:19" x14ac:dyDescent="0.3">
      <c r="A24" s="1">
        <v>43852</v>
      </c>
      <c r="B24">
        <v>204</v>
      </c>
      <c r="C24">
        <v>338</v>
      </c>
      <c r="D24">
        <v>156</v>
      </c>
      <c r="E24">
        <f>60 *8</f>
        <v>480</v>
      </c>
      <c r="F24">
        <v>0</v>
      </c>
      <c r="G24" s="12">
        <f>250*11.5</f>
        <v>2875</v>
      </c>
      <c r="H24" s="12">
        <v>0</v>
      </c>
      <c r="I24" s="12">
        <v>0</v>
      </c>
      <c r="K24" s="21" t="s">
        <v>93</v>
      </c>
      <c r="L24" s="27">
        <v>-22.569633146453974</v>
      </c>
      <c r="M24" s="27">
        <v>13.00458199792436</v>
      </c>
      <c r="N24" s="27">
        <v>-1.7355139250193721</v>
      </c>
      <c r="O24" s="29">
        <v>8.8572990458786124E-2</v>
      </c>
      <c r="P24" s="27">
        <v>-48.665236063751607</v>
      </c>
      <c r="Q24" s="27">
        <v>3.5259697708436626</v>
      </c>
      <c r="R24" s="27">
        <v>-48.665236063751607</v>
      </c>
      <c r="S24" s="27">
        <v>3.5259697708436626</v>
      </c>
    </row>
    <row r="25" spans="1:19" ht="15" thickBot="1" x14ac:dyDescent="0.35">
      <c r="A25" s="1">
        <v>43853</v>
      </c>
      <c r="B25">
        <v>0</v>
      </c>
      <c r="C25">
        <v>286</v>
      </c>
      <c r="D25">
        <v>88</v>
      </c>
      <c r="E25">
        <f>60 *8</f>
        <v>480</v>
      </c>
      <c r="F25">
        <v>0</v>
      </c>
      <c r="G25" s="12">
        <f>250*10</f>
        <v>2500</v>
      </c>
      <c r="H25" s="12">
        <v>0</v>
      </c>
      <c r="I25" s="12">
        <v>0</v>
      </c>
      <c r="K25" s="22" t="s">
        <v>131</v>
      </c>
      <c r="L25" s="28">
        <v>16.629773364135048</v>
      </c>
      <c r="M25" s="28">
        <v>13.598810072955358</v>
      </c>
      <c r="N25" s="28">
        <v>1.2228844490745201</v>
      </c>
      <c r="O25" s="28">
        <v>0.22688678747737559</v>
      </c>
      <c r="P25" s="28">
        <v>-10.658235421401496</v>
      </c>
      <c r="Q25" s="28">
        <v>43.917782149671595</v>
      </c>
      <c r="R25" s="28">
        <v>-10.658235421401496</v>
      </c>
      <c r="S25" s="28">
        <v>43.917782149671595</v>
      </c>
    </row>
    <row r="26" spans="1:19" x14ac:dyDescent="0.3">
      <c r="A26" s="1">
        <v>43854</v>
      </c>
      <c r="B26">
        <v>127</v>
      </c>
      <c r="C26">
        <v>371</v>
      </c>
      <c r="D26">
        <v>0</v>
      </c>
      <c r="E26">
        <f>60 *8</f>
        <v>480</v>
      </c>
      <c r="F26">
        <v>0</v>
      </c>
      <c r="G26" s="12">
        <f>250*6.6</f>
        <v>1650</v>
      </c>
      <c r="H26" s="12">
        <v>0</v>
      </c>
      <c r="I26" s="12">
        <v>1</v>
      </c>
      <c r="O26" t="s">
        <v>6</v>
      </c>
    </row>
    <row r="27" spans="1:19" x14ac:dyDescent="0.3">
      <c r="A27" s="2">
        <v>43855</v>
      </c>
      <c r="B27" s="3">
        <v>60</v>
      </c>
      <c r="C27" s="3">
        <v>541</v>
      </c>
      <c r="D27" s="3">
        <v>0</v>
      </c>
      <c r="E27" s="3">
        <v>0</v>
      </c>
      <c r="F27" s="3">
        <v>0</v>
      </c>
      <c r="G27" s="3">
        <f>250*9.7</f>
        <v>2425</v>
      </c>
      <c r="H27" s="3">
        <v>0</v>
      </c>
      <c r="I27" s="3">
        <v>0</v>
      </c>
      <c r="K27" t="s">
        <v>138</v>
      </c>
    </row>
    <row r="28" spans="1:19" x14ac:dyDescent="0.3">
      <c r="A28" s="2">
        <v>43856</v>
      </c>
      <c r="B28" s="3">
        <v>60</v>
      </c>
      <c r="C28" s="3">
        <v>665</v>
      </c>
      <c r="D28" s="3">
        <v>258</v>
      </c>
      <c r="E28" s="3">
        <v>0</v>
      </c>
      <c r="F28" s="3">
        <v>0</v>
      </c>
      <c r="G28" s="3">
        <f>250*5.5</f>
        <v>1375</v>
      </c>
      <c r="H28" s="3">
        <v>0</v>
      </c>
      <c r="I28" s="3">
        <v>1</v>
      </c>
      <c r="K28" t="s">
        <v>6</v>
      </c>
    </row>
    <row r="29" spans="1:19" x14ac:dyDescent="0.3">
      <c r="A29" s="1">
        <v>43857</v>
      </c>
      <c r="B29">
        <v>87</v>
      </c>
      <c r="C29">
        <v>481</v>
      </c>
      <c r="D29">
        <v>114</v>
      </c>
      <c r="E29">
        <f>60 *8</f>
        <v>480</v>
      </c>
      <c r="F29">
        <v>372</v>
      </c>
      <c r="G29" s="12">
        <f>250*6</f>
        <v>1500</v>
      </c>
      <c r="H29" s="12">
        <v>0</v>
      </c>
      <c r="I29" s="12">
        <v>1</v>
      </c>
      <c r="K29" t="s">
        <v>6</v>
      </c>
    </row>
    <row r="30" spans="1:19" x14ac:dyDescent="0.3">
      <c r="A30" s="1">
        <v>43858</v>
      </c>
      <c r="B30">
        <v>0</v>
      </c>
      <c r="C30">
        <v>429</v>
      </c>
      <c r="D30">
        <v>0</v>
      </c>
      <c r="E30">
        <v>360</v>
      </c>
      <c r="F30">
        <v>849</v>
      </c>
      <c r="G30" s="12">
        <f>250*8.3</f>
        <v>2075</v>
      </c>
      <c r="H30" s="12">
        <v>1</v>
      </c>
      <c r="I30" s="12">
        <v>0</v>
      </c>
      <c r="K30" t="s">
        <v>6</v>
      </c>
    </row>
    <row r="31" spans="1:19" x14ac:dyDescent="0.3">
      <c r="A31" s="1">
        <v>43859</v>
      </c>
      <c r="B31">
        <v>0</v>
      </c>
      <c r="C31">
        <v>604</v>
      </c>
      <c r="D31">
        <v>0</v>
      </c>
      <c r="E31">
        <v>180</v>
      </c>
      <c r="F31">
        <v>536</v>
      </c>
      <c r="G31" s="12">
        <f>250*4.5</f>
        <v>1125</v>
      </c>
      <c r="H31" s="12">
        <v>1</v>
      </c>
      <c r="I31" s="12">
        <v>0</v>
      </c>
      <c r="K31" t="s">
        <v>6</v>
      </c>
    </row>
    <row r="32" spans="1:19" x14ac:dyDescent="0.3">
      <c r="A32" s="1">
        <v>43860</v>
      </c>
      <c r="B32">
        <v>0</v>
      </c>
      <c r="C32">
        <v>563</v>
      </c>
      <c r="D32">
        <v>0</v>
      </c>
      <c r="E32">
        <v>240</v>
      </c>
      <c r="F32">
        <v>1045</v>
      </c>
      <c r="G32" s="12">
        <f>250*6.4</f>
        <v>1600</v>
      </c>
      <c r="H32" s="12">
        <v>1</v>
      </c>
      <c r="I32" s="12">
        <v>0</v>
      </c>
      <c r="O32" t="s">
        <v>6</v>
      </c>
    </row>
    <row r="33" spans="1:15" x14ac:dyDescent="0.3">
      <c r="A33" s="1">
        <v>43861</v>
      </c>
      <c r="B33">
        <v>0</v>
      </c>
      <c r="C33">
        <v>662</v>
      </c>
      <c r="D33">
        <v>0</v>
      </c>
      <c r="E33">
        <f>60 *8</f>
        <v>480</v>
      </c>
      <c r="F33">
        <v>717</v>
      </c>
      <c r="G33" s="12">
        <f>250*4.25</f>
        <v>1062.5</v>
      </c>
      <c r="H33" s="12">
        <v>1</v>
      </c>
      <c r="I33" s="12">
        <v>0</v>
      </c>
    </row>
    <row r="34" spans="1:15" x14ac:dyDescent="0.3">
      <c r="A34" s="2">
        <v>43862</v>
      </c>
      <c r="B34" s="3">
        <v>0</v>
      </c>
      <c r="C34" s="3">
        <v>729</v>
      </c>
      <c r="D34" s="3">
        <v>0</v>
      </c>
      <c r="E34" s="3">
        <v>0</v>
      </c>
      <c r="F34" s="3">
        <v>1432</v>
      </c>
      <c r="G34" s="3">
        <f>250*5.5</f>
        <v>1375</v>
      </c>
      <c r="H34" s="3">
        <v>1</v>
      </c>
      <c r="I34" s="3">
        <v>0</v>
      </c>
      <c r="K34" t="s">
        <v>6</v>
      </c>
    </row>
    <row r="35" spans="1:15" x14ac:dyDescent="0.3">
      <c r="A35" s="2">
        <v>43863</v>
      </c>
      <c r="B35" s="3">
        <v>0</v>
      </c>
      <c r="C35" s="3">
        <v>797</v>
      </c>
      <c r="D35" s="3">
        <v>0</v>
      </c>
      <c r="E35" s="3">
        <v>0</v>
      </c>
      <c r="F35" s="3">
        <v>1567</v>
      </c>
      <c r="G35" s="3">
        <f>250*5.8</f>
        <v>1450</v>
      </c>
      <c r="H35" s="3">
        <v>1</v>
      </c>
      <c r="I35" s="3">
        <v>0</v>
      </c>
      <c r="K35" t="s">
        <v>6</v>
      </c>
    </row>
    <row r="36" spans="1:15" x14ac:dyDescent="0.3">
      <c r="A36" s="1">
        <v>43864</v>
      </c>
      <c r="B36">
        <v>0</v>
      </c>
      <c r="C36">
        <v>648</v>
      </c>
      <c r="D36">
        <v>0</v>
      </c>
      <c r="E36">
        <f>60 *8</f>
        <v>480</v>
      </c>
      <c r="F36">
        <v>1045</v>
      </c>
      <c r="G36" s="12">
        <f>250*6.3</f>
        <v>1575</v>
      </c>
      <c r="H36" s="12">
        <v>1</v>
      </c>
      <c r="I36" s="12">
        <v>0</v>
      </c>
      <c r="K36" t="s">
        <v>6</v>
      </c>
    </row>
    <row r="37" spans="1:15" x14ac:dyDescent="0.3">
      <c r="A37" s="1">
        <v>43865</v>
      </c>
      <c r="B37">
        <v>0</v>
      </c>
      <c r="C37">
        <v>658</v>
      </c>
      <c r="D37">
        <v>0</v>
      </c>
      <c r="E37">
        <f>60 *8</f>
        <v>480</v>
      </c>
      <c r="F37">
        <v>489</v>
      </c>
      <c r="G37" s="12">
        <f>250*3.75</f>
        <v>937.5</v>
      </c>
      <c r="H37" s="12">
        <v>1</v>
      </c>
      <c r="I37" s="12">
        <v>0</v>
      </c>
      <c r="K37" t="s">
        <v>6</v>
      </c>
    </row>
    <row r="38" spans="1:15" x14ac:dyDescent="0.3">
      <c r="A38" s="1">
        <v>43866</v>
      </c>
      <c r="B38">
        <v>0</v>
      </c>
      <c r="C38">
        <v>727</v>
      </c>
      <c r="D38">
        <v>0</v>
      </c>
      <c r="E38">
        <f>60 *8</f>
        <v>480</v>
      </c>
      <c r="F38">
        <v>1005</v>
      </c>
      <c r="G38" s="12">
        <f>250*5</f>
        <v>1250</v>
      </c>
      <c r="H38" s="12">
        <v>1</v>
      </c>
      <c r="I38" s="12">
        <v>0</v>
      </c>
    </row>
    <row r="39" spans="1:15" x14ac:dyDescent="0.3">
      <c r="A39" s="1">
        <v>43867</v>
      </c>
      <c r="B39">
        <v>0</v>
      </c>
      <c r="C39">
        <v>654</v>
      </c>
      <c r="D39">
        <v>0</v>
      </c>
      <c r="E39">
        <f>60 *8</f>
        <v>480</v>
      </c>
      <c r="F39">
        <v>738</v>
      </c>
      <c r="G39" s="12">
        <f>250*7.9</f>
        <v>1975</v>
      </c>
      <c r="H39" s="12">
        <v>1</v>
      </c>
      <c r="I39" s="12">
        <v>0</v>
      </c>
    </row>
    <row r="40" spans="1:15" x14ac:dyDescent="0.3">
      <c r="A40" s="1">
        <v>43868</v>
      </c>
      <c r="B40">
        <v>25</v>
      </c>
      <c r="C40">
        <v>475</v>
      </c>
      <c r="D40">
        <v>0</v>
      </c>
      <c r="E40">
        <f>60 *8</f>
        <v>480</v>
      </c>
      <c r="F40">
        <v>406</v>
      </c>
      <c r="G40" s="12">
        <f>250*6.5</f>
        <v>1625</v>
      </c>
      <c r="H40" s="12">
        <v>1</v>
      </c>
      <c r="I40" s="12">
        <v>1</v>
      </c>
    </row>
    <row r="41" spans="1:15" x14ac:dyDescent="0.3">
      <c r="A41" s="2">
        <v>43869</v>
      </c>
      <c r="B41" s="3">
        <v>20</v>
      </c>
      <c r="C41" s="3">
        <v>849</v>
      </c>
      <c r="D41" s="3">
        <v>0</v>
      </c>
      <c r="E41" s="3">
        <v>0</v>
      </c>
      <c r="F41" s="3">
        <v>538</v>
      </c>
      <c r="G41" s="3">
        <f>250*6.3</f>
        <v>1575</v>
      </c>
      <c r="H41" s="3">
        <v>1</v>
      </c>
      <c r="I41" s="3">
        <v>0</v>
      </c>
      <c r="K41" t="s">
        <v>136</v>
      </c>
    </row>
    <row r="42" spans="1:15" x14ac:dyDescent="0.3">
      <c r="A42" s="2">
        <v>43870</v>
      </c>
      <c r="B42" s="3">
        <v>32</v>
      </c>
      <c r="C42" s="3">
        <v>611</v>
      </c>
      <c r="D42" s="3">
        <v>238</v>
      </c>
      <c r="E42" s="3">
        <v>0</v>
      </c>
      <c r="F42" s="3">
        <v>538</v>
      </c>
      <c r="G42" s="3">
        <f>250*5.9</f>
        <v>1475</v>
      </c>
      <c r="H42" s="3">
        <v>1</v>
      </c>
      <c r="I42" s="3">
        <v>1</v>
      </c>
      <c r="K42" s="10" t="s">
        <v>137</v>
      </c>
    </row>
    <row r="43" spans="1:15" x14ac:dyDescent="0.3">
      <c r="A43" s="1">
        <v>43871</v>
      </c>
      <c r="B43">
        <v>0</v>
      </c>
      <c r="C43">
        <v>199</v>
      </c>
      <c r="D43">
        <v>119</v>
      </c>
      <c r="E43">
        <f>60 *8</f>
        <v>480</v>
      </c>
      <c r="F43">
        <v>0</v>
      </c>
      <c r="G43" s="12">
        <f>250*12.3</f>
        <v>3075</v>
      </c>
      <c r="H43" s="12">
        <v>1</v>
      </c>
      <c r="I43" s="12">
        <v>0</v>
      </c>
    </row>
    <row r="44" spans="1:15" x14ac:dyDescent="0.3">
      <c r="A44" s="1">
        <v>43872</v>
      </c>
      <c r="B44">
        <v>0</v>
      </c>
      <c r="C44">
        <v>274</v>
      </c>
      <c r="D44">
        <v>166</v>
      </c>
      <c r="E44">
        <f>60 *8</f>
        <v>480</v>
      </c>
      <c r="F44">
        <v>0</v>
      </c>
      <c r="G44" s="12">
        <f>250*9</f>
        <v>2250</v>
      </c>
      <c r="H44" s="12">
        <v>1</v>
      </c>
      <c r="I44" s="12">
        <v>0</v>
      </c>
    </row>
    <row r="45" spans="1:15" x14ac:dyDescent="0.3">
      <c r="A45" s="1">
        <v>43873</v>
      </c>
      <c r="B45">
        <v>65</v>
      </c>
      <c r="C45">
        <v>356</v>
      </c>
      <c r="D45">
        <v>142</v>
      </c>
      <c r="E45">
        <f>60 *8</f>
        <v>480</v>
      </c>
      <c r="F45">
        <v>0</v>
      </c>
      <c r="G45" s="12">
        <f>250*11.5</f>
        <v>2875</v>
      </c>
      <c r="H45" s="12">
        <v>1</v>
      </c>
      <c r="I45" s="12">
        <v>1</v>
      </c>
    </row>
    <row r="46" spans="1:15" x14ac:dyDescent="0.3">
      <c r="A46" s="1">
        <v>43874</v>
      </c>
      <c r="B46">
        <v>60</v>
      </c>
      <c r="C46">
        <v>388</v>
      </c>
      <c r="D46">
        <v>177</v>
      </c>
      <c r="E46">
        <f>60 *8</f>
        <v>480</v>
      </c>
      <c r="F46">
        <v>0</v>
      </c>
      <c r="G46" s="12">
        <f>250*6</f>
        <v>1500</v>
      </c>
      <c r="H46" s="12">
        <v>1</v>
      </c>
      <c r="I46" s="12">
        <v>1</v>
      </c>
      <c r="K46" t="s">
        <v>6</v>
      </c>
      <c r="N46" t="s">
        <v>67</v>
      </c>
    </row>
    <row r="47" spans="1:15" ht="15" thickBot="1" x14ac:dyDescent="0.35">
      <c r="A47" s="1">
        <v>43875</v>
      </c>
      <c r="B47">
        <v>59</v>
      </c>
      <c r="C47">
        <v>453</v>
      </c>
      <c r="D47">
        <v>0</v>
      </c>
      <c r="E47">
        <v>120</v>
      </c>
      <c r="F47">
        <v>392</v>
      </c>
      <c r="G47" s="12">
        <f>250*3.75</f>
        <v>937.5</v>
      </c>
      <c r="H47" s="12">
        <v>1</v>
      </c>
      <c r="I47" s="12">
        <v>0</v>
      </c>
      <c r="K47" s="10"/>
      <c r="L47" s="10"/>
    </row>
    <row r="48" spans="1:15" x14ac:dyDescent="0.3">
      <c r="A48" s="2">
        <v>43876</v>
      </c>
      <c r="B48" s="3">
        <v>0</v>
      </c>
      <c r="C48" s="3">
        <v>568</v>
      </c>
      <c r="D48" s="3">
        <v>0</v>
      </c>
      <c r="E48" s="3">
        <v>0</v>
      </c>
      <c r="F48" s="3">
        <v>0</v>
      </c>
      <c r="G48" s="3">
        <f>250*7.75</f>
        <v>1937.5</v>
      </c>
      <c r="H48" s="3">
        <v>1</v>
      </c>
      <c r="I48" s="3">
        <v>0</v>
      </c>
      <c r="K48" s="63" t="s">
        <v>6</v>
      </c>
      <c r="L48" s="63"/>
      <c r="N48" s="24" t="s">
        <v>68</v>
      </c>
      <c r="O48" s="24"/>
    </row>
    <row r="49" spans="1:19" x14ac:dyDescent="0.3">
      <c r="A49" s="2">
        <v>43877</v>
      </c>
      <c r="B49" s="3">
        <v>30</v>
      </c>
      <c r="C49" s="3">
        <v>422</v>
      </c>
      <c r="D49" s="3">
        <v>233</v>
      </c>
      <c r="E49" s="3">
        <v>0</v>
      </c>
      <c r="F49" s="3">
        <v>1974</v>
      </c>
      <c r="G49" s="3">
        <f>250*12.3</f>
        <v>3075</v>
      </c>
      <c r="H49" s="3">
        <v>1</v>
      </c>
      <c r="I49" s="3">
        <v>0</v>
      </c>
      <c r="K49" s="21" t="s">
        <v>6</v>
      </c>
      <c r="L49" s="21" t="s">
        <v>6</v>
      </c>
      <c r="N49" s="21" t="s">
        <v>69</v>
      </c>
      <c r="O49" s="21">
        <v>0.55562018993512974</v>
      </c>
    </row>
    <row r="50" spans="1:19" x14ac:dyDescent="0.3">
      <c r="A50" s="1">
        <v>43878</v>
      </c>
      <c r="B50">
        <v>0</v>
      </c>
      <c r="C50">
        <v>363</v>
      </c>
      <c r="D50">
        <v>196</v>
      </c>
      <c r="E50">
        <v>0</v>
      </c>
      <c r="F50">
        <v>2340</v>
      </c>
      <c r="G50" s="12">
        <f>250*10.5</f>
        <v>2625</v>
      </c>
      <c r="H50" s="12">
        <v>0</v>
      </c>
      <c r="I50" s="12">
        <v>0</v>
      </c>
      <c r="K50" s="21" t="s">
        <v>6</v>
      </c>
      <c r="L50" s="21" t="s">
        <v>6</v>
      </c>
      <c r="N50" s="21" t="s">
        <v>70</v>
      </c>
      <c r="O50" s="21">
        <v>0.30871379546354966</v>
      </c>
    </row>
    <row r="51" spans="1:19" x14ac:dyDescent="0.3">
      <c r="A51" s="1">
        <v>43879</v>
      </c>
      <c r="B51">
        <v>64</v>
      </c>
      <c r="C51">
        <v>427</v>
      </c>
      <c r="D51">
        <v>115</v>
      </c>
      <c r="E51">
        <f>60 *8</f>
        <v>480</v>
      </c>
      <c r="F51">
        <v>0</v>
      </c>
      <c r="G51" s="12">
        <f>250*9.3</f>
        <v>2325</v>
      </c>
      <c r="H51" s="12">
        <v>0</v>
      </c>
      <c r="I51" s="12">
        <v>1</v>
      </c>
      <c r="K51" s="21" t="s">
        <v>6</v>
      </c>
      <c r="L51" s="21" t="s">
        <v>6</v>
      </c>
      <c r="N51" s="21" t="s">
        <v>71</v>
      </c>
      <c r="O51" s="21">
        <v>0.28445813916402513</v>
      </c>
    </row>
    <row r="52" spans="1:19" x14ac:dyDescent="0.3">
      <c r="A52" s="1">
        <v>43880</v>
      </c>
      <c r="B52">
        <v>95</v>
      </c>
      <c r="C52">
        <v>360</v>
      </c>
      <c r="D52">
        <v>163</v>
      </c>
      <c r="E52">
        <f>60 *8</f>
        <v>480</v>
      </c>
      <c r="F52">
        <v>0</v>
      </c>
      <c r="G52" s="12">
        <f>250*14</f>
        <v>3500</v>
      </c>
      <c r="H52" s="12">
        <v>0</v>
      </c>
      <c r="I52" s="12">
        <v>0</v>
      </c>
      <c r="K52" s="21" t="s">
        <v>6</v>
      </c>
      <c r="L52" s="21" t="s">
        <v>6</v>
      </c>
      <c r="N52" s="21" t="s">
        <v>72</v>
      </c>
      <c r="O52" s="21">
        <v>42.945206396430706</v>
      </c>
    </row>
    <row r="53" spans="1:19" ht="15" thickBot="1" x14ac:dyDescent="0.35">
      <c r="A53" s="1">
        <v>43881</v>
      </c>
      <c r="B53">
        <v>0</v>
      </c>
      <c r="C53">
        <v>268</v>
      </c>
      <c r="D53">
        <v>60</v>
      </c>
      <c r="E53">
        <f>60 *8</f>
        <v>480</v>
      </c>
      <c r="F53">
        <v>582</v>
      </c>
      <c r="G53" s="12">
        <f>250*12</f>
        <v>3000</v>
      </c>
      <c r="H53" s="12">
        <v>0</v>
      </c>
      <c r="I53" s="12">
        <v>0</v>
      </c>
      <c r="K53" s="21" t="s">
        <v>6</v>
      </c>
      <c r="L53" s="21" t="s">
        <v>6</v>
      </c>
      <c r="N53" s="22" t="s">
        <v>73</v>
      </c>
      <c r="O53" s="22">
        <v>60</v>
      </c>
    </row>
    <row r="54" spans="1:19" x14ac:dyDescent="0.3">
      <c r="A54" s="1">
        <v>43882</v>
      </c>
      <c r="B54">
        <v>91</v>
      </c>
      <c r="C54">
        <v>507</v>
      </c>
      <c r="D54">
        <v>0</v>
      </c>
      <c r="E54">
        <f>60 *8</f>
        <v>480</v>
      </c>
      <c r="F54">
        <v>0</v>
      </c>
      <c r="G54" s="12">
        <f>250*8</f>
        <v>2000</v>
      </c>
      <c r="H54" s="12">
        <v>0</v>
      </c>
      <c r="I54" s="12">
        <v>1</v>
      </c>
    </row>
    <row r="55" spans="1:19" ht="15" thickBot="1" x14ac:dyDescent="0.35">
      <c r="A55" s="2">
        <v>43883</v>
      </c>
      <c r="B55" s="3">
        <v>30</v>
      </c>
      <c r="C55" s="3">
        <v>431</v>
      </c>
      <c r="D55" s="3">
        <v>0</v>
      </c>
      <c r="E55" s="3">
        <v>0</v>
      </c>
      <c r="F55" s="3">
        <v>0</v>
      </c>
      <c r="G55" s="3">
        <f>250*9.6</f>
        <v>2400</v>
      </c>
      <c r="H55" s="3">
        <v>0</v>
      </c>
      <c r="I55" s="3">
        <v>1</v>
      </c>
      <c r="K55" s="10" t="s">
        <v>6</v>
      </c>
      <c r="L55" t="s">
        <v>74</v>
      </c>
    </row>
    <row r="56" spans="1:19" x14ac:dyDescent="0.3">
      <c r="A56" s="2">
        <v>43884</v>
      </c>
      <c r="B56" s="3">
        <v>0</v>
      </c>
      <c r="C56" s="3">
        <v>388</v>
      </c>
      <c r="D56" s="3">
        <v>218</v>
      </c>
      <c r="E56" s="3">
        <v>0</v>
      </c>
      <c r="F56" s="3">
        <v>765</v>
      </c>
      <c r="G56" s="3">
        <f>250*7.25</f>
        <v>1812.5</v>
      </c>
      <c r="H56" s="3">
        <v>0</v>
      </c>
      <c r="I56" s="3">
        <v>0</v>
      </c>
      <c r="K56" s="62"/>
      <c r="L56" s="23"/>
      <c r="M56" s="23" t="s">
        <v>79</v>
      </c>
      <c r="N56" s="23" t="s">
        <v>80</v>
      </c>
      <c r="O56" s="23" t="s">
        <v>81</v>
      </c>
      <c r="P56" s="23" t="s">
        <v>82</v>
      </c>
      <c r="Q56" s="23" t="s">
        <v>83</v>
      </c>
    </row>
    <row r="57" spans="1:19" x14ac:dyDescent="0.3">
      <c r="A57" s="1">
        <v>43885</v>
      </c>
      <c r="B57">
        <v>0</v>
      </c>
      <c r="C57">
        <v>501</v>
      </c>
      <c r="D57">
        <v>0</v>
      </c>
      <c r="E57">
        <f>60 *8</f>
        <v>480</v>
      </c>
      <c r="F57">
        <v>468</v>
      </c>
      <c r="G57" s="12">
        <f>250*8.6</f>
        <v>2150</v>
      </c>
      <c r="H57" s="12">
        <v>0</v>
      </c>
      <c r="I57" s="12">
        <v>0</v>
      </c>
      <c r="K57" s="21" t="s">
        <v>6</v>
      </c>
      <c r="L57" s="21" t="s">
        <v>75</v>
      </c>
      <c r="M57" s="21">
        <v>2</v>
      </c>
      <c r="N57" s="21">
        <v>46946.410444707566</v>
      </c>
      <c r="O57" s="21">
        <v>23473.205222353783</v>
      </c>
      <c r="P57" s="21">
        <v>12.727497110420412</v>
      </c>
      <c r="Q57" s="25">
        <v>2.6930838007339629E-5</v>
      </c>
    </row>
    <row r="58" spans="1:19" x14ac:dyDescent="0.3">
      <c r="A58" s="1">
        <v>43886</v>
      </c>
      <c r="B58">
        <v>96</v>
      </c>
      <c r="C58">
        <v>395</v>
      </c>
      <c r="D58">
        <v>163</v>
      </c>
      <c r="E58">
        <f>60 *8</f>
        <v>480</v>
      </c>
      <c r="F58">
        <v>0</v>
      </c>
      <c r="G58" s="12">
        <f>250*8.5</f>
        <v>2125</v>
      </c>
      <c r="H58" s="12">
        <v>0</v>
      </c>
      <c r="I58" s="12">
        <v>1</v>
      </c>
      <c r="K58" s="21" t="s">
        <v>6</v>
      </c>
      <c r="L58" s="21" t="s">
        <v>76</v>
      </c>
      <c r="M58" s="21">
        <v>57</v>
      </c>
      <c r="N58" s="21">
        <v>105124.57288862586</v>
      </c>
      <c r="O58" s="21">
        <v>1844.2907524320326</v>
      </c>
      <c r="P58" s="21"/>
      <c r="Q58" s="21"/>
    </row>
    <row r="59" spans="1:19" ht="15" thickBot="1" x14ac:dyDescent="0.35">
      <c r="A59" s="1">
        <v>43887</v>
      </c>
      <c r="B59">
        <v>0</v>
      </c>
      <c r="C59">
        <v>333</v>
      </c>
      <c r="D59">
        <v>48</v>
      </c>
      <c r="E59">
        <f>60 *8</f>
        <v>480</v>
      </c>
      <c r="F59">
        <v>984</v>
      </c>
      <c r="G59" s="12">
        <f>250*10.7</f>
        <v>2675</v>
      </c>
      <c r="H59" s="12">
        <v>0</v>
      </c>
      <c r="I59" s="12">
        <v>0</v>
      </c>
      <c r="K59" s="21" t="s">
        <v>6</v>
      </c>
      <c r="L59" s="22" t="s">
        <v>77</v>
      </c>
      <c r="M59" s="22">
        <v>59</v>
      </c>
      <c r="N59" s="22">
        <v>152070.98333333342</v>
      </c>
      <c r="O59" s="22"/>
      <c r="P59" s="22"/>
      <c r="Q59" s="22"/>
    </row>
    <row r="60" spans="1:19" ht="15" thickBot="1" x14ac:dyDescent="0.35">
      <c r="A60" s="1">
        <v>43888</v>
      </c>
      <c r="B60">
        <v>60</v>
      </c>
      <c r="C60">
        <v>491</v>
      </c>
      <c r="D60">
        <v>137</v>
      </c>
      <c r="E60">
        <f>60 *8</f>
        <v>480</v>
      </c>
      <c r="F60">
        <v>0</v>
      </c>
      <c r="G60" s="12">
        <f>250*11</f>
        <v>2750</v>
      </c>
      <c r="H60" s="12">
        <v>0</v>
      </c>
      <c r="I60" s="12">
        <v>1</v>
      </c>
    </row>
    <row r="61" spans="1:19" x14ac:dyDescent="0.3">
      <c r="A61" s="1">
        <v>43889</v>
      </c>
      <c r="B61">
        <v>88</v>
      </c>
      <c r="C61">
        <v>571</v>
      </c>
      <c r="D61">
        <v>0</v>
      </c>
      <c r="E61">
        <f>60 *8</f>
        <v>480</v>
      </c>
      <c r="F61">
        <v>509</v>
      </c>
      <c r="G61" s="12">
        <f>250*5.8</f>
        <v>1450</v>
      </c>
      <c r="H61" s="12">
        <v>0</v>
      </c>
      <c r="I61" s="12">
        <v>1</v>
      </c>
      <c r="K61" s="23"/>
      <c r="L61" s="23" t="s">
        <v>84</v>
      </c>
      <c r="M61" s="23" t="s">
        <v>72</v>
      </c>
      <c r="N61" s="23" t="s">
        <v>85</v>
      </c>
      <c r="O61" s="23" t="s">
        <v>86</v>
      </c>
      <c r="P61" s="23" t="s">
        <v>87</v>
      </c>
      <c r="Q61" s="23" t="s">
        <v>88</v>
      </c>
      <c r="R61" s="23" t="s">
        <v>89</v>
      </c>
      <c r="S61" s="23" t="s">
        <v>90</v>
      </c>
    </row>
    <row r="62" spans="1:19" x14ac:dyDescent="0.3">
      <c r="A62" s="2">
        <v>43890</v>
      </c>
      <c r="B62" s="3">
        <v>0</v>
      </c>
      <c r="C62" s="3">
        <v>613</v>
      </c>
      <c r="D62" s="3">
        <v>0</v>
      </c>
      <c r="E62" s="3">
        <v>0</v>
      </c>
      <c r="F62" s="3">
        <v>1356</v>
      </c>
      <c r="G62" s="3">
        <f>250*6.6</f>
        <v>1650</v>
      </c>
      <c r="H62" s="3">
        <v>0</v>
      </c>
      <c r="I62" s="3">
        <v>0</v>
      </c>
      <c r="K62" s="21" t="s">
        <v>78</v>
      </c>
      <c r="L62" s="27">
        <v>66.232898191439105</v>
      </c>
      <c r="M62" s="27">
        <v>8.3184780007738617</v>
      </c>
      <c r="N62" s="27">
        <v>7.9621414140035602</v>
      </c>
      <c r="O62" s="27">
        <v>7.9433367686408705E-11</v>
      </c>
      <c r="P62" s="27">
        <v>49.575433321017343</v>
      </c>
      <c r="Q62" s="27">
        <v>82.890363061860867</v>
      </c>
      <c r="R62" s="27">
        <v>49.575433321017343</v>
      </c>
      <c r="S62" s="27">
        <v>82.890363061860867</v>
      </c>
    </row>
    <row r="63" spans="1:19" x14ac:dyDescent="0.3">
      <c r="K63" s="21" t="s">
        <v>48</v>
      </c>
      <c r="L63" s="27">
        <v>-3.7080923065603101E-2</v>
      </c>
      <c r="M63" s="27">
        <v>9.3312571887721844E-3</v>
      </c>
      <c r="N63" s="27">
        <v>-3.9738399998470348</v>
      </c>
      <c r="O63" s="29">
        <v>2.0119246111335702E-4</v>
      </c>
      <c r="P63" s="27">
        <v>-5.5766443277880301E-2</v>
      </c>
      <c r="Q63" s="27">
        <v>-1.8395402853325901E-2</v>
      </c>
      <c r="R63" s="27">
        <v>-5.5766443277880301E-2</v>
      </c>
      <c r="S63" s="27">
        <v>-1.8395402853325901E-2</v>
      </c>
    </row>
    <row r="64" spans="1:19" ht="15" thickBot="1" x14ac:dyDescent="0.35">
      <c r="K64" s="22" t="s">
        <v>93</v>
      </c>
      <c r="L64" s="28">
        <v>-27.393561711778915</v>
      </c>
      <c r="M64" s="28">
        <v>11.485453312976109</v>
      </c>
      <c r="N64" s="28">
        <v>-2.385065784110588</v>
      </c>
      <c r="O64" s="67">
        <v>2.0424019291088349E-2</v>
      </c>
      <c r="P64" s="28">
        <v>-50.392785255313029</v>
      </c>
      <c r="Q64" s="28">
        <v>-4.3943381682448006</v>
      </c>
      <c r="R64" s="28">
        <v>-50.392785255313029</v>
      </c>
      <c r="S64" s="28">
        <v>-4.3943381682448006</v>
      </c>
    </row>
    <row r="65" spans="1:15" x14ac:dyDescent="0.3">
      <c r="O65" t="s">
        <v>6</v>
      </c>
    </row>
    <row r="66" spans="1:15" x14ac:dyDescent="0.3">
      <c r="A66" s="17" t="s">
        <v>0</v>
      </c>
      <c r="B66" s="17" t="s">
        <v>42</v>
      </c>
      <c r="C66" s="17" t="s">
        <v>48</v>
      </c>
      <c r="D66" s="26" t="s">
        <v>93</v>
      </c>
      <c r="K66" t="s">
        <v>141</v>
      </c>
    </row>
    <row r="67" spans="1:15" x14ac:dyDescent="0.3">
      <c r="A67" s="1">
        <v>43831</v>
      </c>
      <c r="B67">
        <v>0</v>
      </c>
      <c r="C67">
        <v>720</v>
      </c>
      <c r="D67" s="12">
        <v>0</v>
      </c>
      <c r="O67" t="s">
        <v>9</v>
      </c>
    </row>
    <row r="68" spans="1:15" x14ac:dyDescent="0.3">
      <c r="A68" s="1">
        <v>43832</v>
      </c>
      <c r="B68">
        <v>0</v>
      </c>
      <c r="C68">
        <v>413</v>
      </c>
      <c r="D68" s="12">
        <v>0</v>
      </c>
    </row>
    <row r="69" spans="1:15" x14ac:dyDescent="0.3">
      <c r="A69" s="1">
        <v>43833</v>
      </c>
      <c r="B69">
        <v>0</v>
      </c>
      <c r="C69">
        <v>1021</v>
      </c>
      <c r="D69" s="12">
        <v>0</v>
      </c>
    </row>
    <row r="70" spans="1:15" x14ac:dyDescent="0.3">
      <c r="A70" s="2">
        <v>43834</v>
      </c>
      <c r="B70" s="3">
        <v>0</v>
      </c>
      <c r="C70" s="3">
        <v>1433</v>
      </c>
      <c r="D70" s="3">
        <v>0</v>
      </c>
    </row>
    <row r="71" spans="1:15" x14ac:dyDescent="0.3">
      <c r="A71" s="2">
        <v>43835</v>
      </c>
      <c r="B71" s="3">
        <v>0</v>
      </c>
      <c r="C71" s="3">
        <v>1504</v>
      </c>
      <c r="D71" s="3">
        <v>0</v>
      </c>
    </row>
    <row r="72" spans="1:15" x14ac:dyDescent="0.3">
      <c r="A72" s="1">
        <v>43836</v>
      </c>
      <c r="B72">
        <v>60</v>
      </c>
      <c r="C72">
        <v>0</v>
      </c>
      <c r="D72" s="12">
        <v>0</v>
      </c>
    </row>
    <row r="73" spans="1:15" x14ac:dyDescent="0.3">
      <c r="A73" s="1">
        <v>43837</v>
      </c>
      <c r="B73">
        <v>93</v>
      </c>
      <c r="C73">
        <v>0</v>
      </c>
      <c r="D73" s="12">
        <v>0</v>
      </c>
    </row>
    <row r="74" spans="1:15" x14ac:dyDescent="0.3">
      <c r="A74" s="1">
        <v>43838</v>
      </c>
      <c r="B74">
        <v>184</v>
      </c>
      <c r="C74">
        <v>0</v>
      </c>
      <c r="D74" s="12">
        <v>0</v>
      </c>
    </row>
    <row r="75" spans="1:15" x14ac:dyDescent="0.3">
      <c r="A75" s="1">
        <v>43839</v>
      </c>
      <c r="B75">
        <v>0</v>
      </c>
      <c r="C75">
        <v>0</v>
      </c>
      <c r="D75" s="12">
        <v>1</v>
      </c>
    </row>
    <row r="76" spans="1:15" x14ac:dyDescent="0.3">
      <c r="A76" s="1">
        <v>43840</v>
      </c>
      <c r="B76">
        <v>0</v>
      </c>
      <c r="C76">
        <v>630</v>
      </c>
      <c r="D76" s="12">
        <v>1</v>
      </c>
    </row>
    <row r="77" spans="1:15" x14ac:dyDescent="0.3">
      <c r="A77" s="2">
        <v>43841</v>
      </c>
      <c r="B77" s="3">
        <v>20</v>
      </c>
      <c r="C77" s="3">
        <v>1011</v>
      </c>
      <c r="D77" s="3">
        <v>1</v>
      </c>
    </row>
    <row r="78" spans="1:15" x14ac:dyDescent="0.3">
      <c r="A78" s="2">
        <v>43842</v>
      </c>
      <c r="B78" s="3">
        <v>30</v>
      </c>
      <c r="C78" s="3">
        <v>1030</v>
      </c>
      <c r="D78" s="3">
        <v>1</v>
      </c>
    </row>
    <row r="79" spans="1:15" x14ac:dyDescent="0.3">
      <c r="A79" s="1">
        <v>43843</v>
      </c>
      <c r="B79">
        <v>0</v>
      </c>
      <c r="C79">
        <v>0</v>
      </c>
      <c r="D79" s="12">
        <v>0</v>
      </c>
    </row>
    <row r="80" spans="1:15" x14ac:dyDescent="0.3">
      <c r="A80" s="1">
        <v>43844</v>
      </c>
      <c r="B80">
        <v>62</v>
      </c>
      <c r="C80">
        <v>0</v>
      </c>
      <c r="D80" s="12">
        <v>0</v>
      </c>
    </row>
    <row r="81" spans="1:20" x14ac:dyDescent="0.3">
      <c r="A81" s="1">
        <v>43845</v>
      </c>
      <c r="B81">
        <v>197</v>
      </c>
      <c r="C81">
        <v>0</v>
      </c>
      <c r="D81" s="12">
        <v>0</v>
      </c>
      <c r="T81" s="10"/>
    </row>
    <row r="82" spans="1:20" x14ac:dyDescent="0.3">
      <c r="A82" s="1">
        <v>43846</v>
      </c>
      <c r="B82">
        <v>0</v>
      </c>
      <c r="C82">
        <v>0</v>
      </c>
      <c r="D82" s="12">
        <v>0</v>
      </c>
    </row>
    <row r="83" spans="1:20" x14ac:dyDescent="0.3">
      <c r="A83" s="1">
        <v>43847</v>
      </c>
      <c r="B83">
        <v>0</v>
      </c>
      <c r="C83">
        <v>487</v>
      </c>
      <c r="D83" s="12">
        <v>0</v>
      </c>
    </row>
    <row r="84" spans="1:20" x14ac:dyDescent="0.3">
      <c r="A84" s="2">
        <v>43848</v>
      </c>
      <c r="B84" s="3">
        <v>0</v>
      </c>
      <c r="C84" s="3">
        <v>1832</v>
      </c>
      <c r="D84" s="3">
        <v>0</v>
      </c>
    </row>
    <row r="85" spans="1:20" x14ac:dyDescent="0.3">
      <c r="A85" s="2">
        <v>43849</v>
      </c>
      <c r="B85" s="3">
        <v>0</v>
      </c>
      <c r="C85" s="3">
        <v>1567</v>
      </c>
      <c r="D85" s="3">
        <v>0</v>
      </c>
    </row>
    <row r="86" spans="1:20" x14ac:dyDescent="0.3">
      <c r="A86" s="1">
        <v>43850</v>
      </c>
      <c r="B86">
        <v>63</v>
      </c>
      <c r="C86">
        <v>0</v>
      </c>
      <c r="D86" s="12">
        <v>0</v>
      </c>
    </row>
    <row r="87" spans="1:20" x14ac:dyDescent="0.3">
      <c r="A87" s="1">
        <v>43851</v>
      </c>
      <c r="B87">
        <v>57</v>
      </c>
      <c r="C87">
        <v>0</v>
      </c>
      <c r="D87" s="12">
        <v>0</v>
      </c>
    </row>
    <row r="88" spans="1:20" x14ac:dyDescent="0.3">
      <c r="A88" s="1">
        <v>43852</v>
      </c>
      <c r="B88">
        <v>204</v>
      </c>
      <c r="C88">
        <v>0</v>
      </c>
      <c r="D88" s="12">
        <v>0</v>
      </c>
    </row>
    <row r="89" spans="1:20" x14ac:dyDescent="0.3">
      <c r="A89" s="1">
        <v>43853</v>
      </c>
      <c r="B89">
        <v>0</v>
      </c>
      <c r="C89">
        <v>0</v>
      </c>
      <c r="D89" s="12">
        <v>0</v>
      </c>
    </row>
    <row r="90" spans="1:20" x14ac:dyDescent="0.3">
      <c r="A90" s="1">
        <v>43854</v>
      </c>
      <c r="B90">
        <v>127</v>
      </c>
      <c r="C90">
        <v>0</v>
      </c>
      <c r="D90" s="12">
        <v>0</v>
      </c>
    </row>
    <row r="91" spans="1:20" x14ac:dyDescent="0.3">
      <c r="A91" s="2">
        <v>43855</v>
      </c>
      <c r="B91" s="3">
        <v>60</v>
      </c>
      <c r="C91" s="3">
        <v>0</v>
      </c>
      <c r="D91" s="3">
        <v>0</v>
      </c>
    </row>
    <row r="92" spans="1:20" x14ac:dyDescent="0.3">
      <c r="A92" s="2">
        <v>43856</v>
      </c>
      <c r="B92" s="3">
        <v>60</v>
      </c>
      <c r="C92" s="3">
        <v>0</v>
      </c>
      <c r="D92" s="3">
        <v>0</v>
      </c>
    </row>
    <row r="93" spans="1:20" x14ac:dyDescent="0.3">
      <c r="A93" s="1">
        <v>43857</v>
      </c>
      <c r="B93">
        <v>87</v>
      </c>
      <c r="C93">
        <v>372</v>
      </c>
      <c r="D93" s="12">
        <v>0</v>
      </c>
    </row>
    <row r="94" spans="1:20" x14ac:dyDescent="0.3">
      <c r="A94" s="1">
        <v>43858</v>
      </c>
      <c r="B94">
        <v>0</v>
      </c>
      <c r="C94">
        <v>849</v>
      </c>
      <c r="D94" s="12">
        <v>1</v>
      </c>
    </row>
    <row r="95" spans="1:20" x14ac:dyDescent="0.3">
      <c r="A95" s="1">
        <v>43859</v>
      </c>
      <c r="B95">
        <v>0</v>
      </c>
      <c r="C95">
        <v>536</v>
      </c>
      <c r="D95" s="12">
        <v>1</v>
      </c>
    </row>
    <row r="96" spans="1:20" x14ac:dyDescent="0.3">
      <c r="A96" s="1">
        <v>43860</v>
      </c>
      <c r="B96">
        <v>0</v>
      </c>
      <c r="C96">
        <v>1045</v>
      </c>
      <c r="D96" s="12">
        <v>1</v>
      </c>
    </row>
    <row r="97" spans="1:4" x14ac:dyDescent="0.3">
      <c r="A97" s="1">
        <v>43861</v>
      </c>
      <c r="B97">
        <v>0</v>
      </c>
      <c r="C97">
        <v>717</v>
      </c>
      <c r="D97" s="12">
        <v>1</v>
      </c>
    </row>
    <row r="98" spans="1:4" x14ac:dyDescent="0.3">
      <c r="A98" s="2">
        <v>43862</v>
      </c>
      <c r="B98" s="3">
        <v>0</v>
      </c>
      <c r="C98" s="3">
        <v>1432</v>
      </c>
      <c r="D98" s="3">
        <v>1</v>
      </c>
    </row>
    <row r="99" spans="1:4" x14ac:dyDescent="0.3">
      <c r="A99" s="2">
        <v>43863</v>
      </c>
      <c r="B99" s="3">
        <v>0</v>
      </c>
      <c r="C99" s="3">
        <v>1567</v>
      </c>
      <c r="D99" s="3">
        <v>1</v>
      </c>
    </row>
    <row r="100" spans="1:4" x14ac:dyDescent="0.3">
      <c r="A100" s="1">
        <v>43864</v>
      </c>
      <c r="B100">
        <v>0</v>
      </c>
      <c r="C100">
        <v>1045</v>
      </c>
      <c r="D100" s="12">
        <v>1</v>
      </c>
    </row>
    <row r="101" spans="1:4" x14ac:dyDescent="0.3">
      <c r="A101" s="1">
        <v>43865</v>
      </c>
      <c r="B101">
        <v>0</v>
      </c>
      <c r="C101">
        <v>489</v>
      </c>
      <c r="D101" s="12">
        <v>1</v>
      </c>
    </row>
    <row r="102" spans="1:4" x14ac:dyDescent="0.3">
      <c r="A102" s="1">
        <v>43866</v>
      </c>
      <c r="B102">
        <v>0</v>
      </c>
      <c r="C102">
        <v>1005</v>
      </c>
      <c r="D102" s="12">
        <v>1</v>
      </c>
    </row>
    <row r="103" spans="1:4" x14ac:dyDescent="0.3">
      <c r="A103" s="1">
        <v>43867</v>
      </c>
      <c r="B103">
        <v>0</v>
      </c>
      <c r="C103">
        <v>738</v>
      </c>
      <c r="D103" s="12">
        <v>1</v>
      </c>
    </row>
    <row r="104" spans="1:4" x14ac:dyDescent="0.3">
      <c r="A104" s="1">
        <v>43868</v>
      </c>
      <c r="B104">
        <v>25</v>
      </c>
      <c r="C104">
        <v>406</v>
      </c>
      <c r="D104" s="12">
        <v>1</v>
      </c>
    </row>
    <row r="105" spans="1:4" x14ac:dyDescent="0.3">
      <c r="A105" s="2">
        <v>43869</v>
      </c>
      <c r="B105" s="3">
        <v>20</v>
      </c>
      <c r="C105" s="3">
        <v>538</v>
      </c>
      <c r="D105" s="3">
        <v>1</v>
      </c>
    </row>
    <row r="106" spans="1:4" x14ac:dyDescent="0.3">
      <c r="A106" s="2">
        <v>43870</v>
      </c>
      <c r="B106" s="3">
        <v>32</v>
      </c>
      <c r="C106" s="3">
        <v>538</v>
      </c>
      <c r="D106" s="3">
        <v>1</v>
      </c>
    </row>
    <row r="107" spans="1:4" x14ac:dyDescent="0.3">
      <c r="A107" s="1">
        <v>43871</v>
      </c>
      <c r="B107">
        <v>0</v>
      </c>
      <c r="C107">
        <v>0</v>
      </c>
      <c r="D107" s="12">
        <v>1</v>
      </c>
    </row>
    <row r="108" spans="1:4" x14ac:dyDescent="0.3">
      <c r="A108" s="1">
        <v>43872</v>
      </c>
      <c r="B108">
        <v>0</v>
      </c>
      <c r="C108">
        <v>0</v>
      </c>
      <c r="D108" s="12">
        <v>1</v>
      </c>
    </row>
    <row r="109" spans="1:4" x14ac:dyDescent="0.3">
      <c r="A109" s="1">
        <v>43873</v>
      </c>
      <c r="B109">
        <v>65</v>
      </c>
      <c r="C109">
        <v>0</v>
      </c>
      <c r="D109" s="12">
        <v>1</v>
      </c>
    </row>
    <row r="110" spans="1:4" x14ac:dyDescent="0.3">
      <c r="A110" s="1">
        <v>43874</v>
      </c>
      <c r="B110">
        <v>60</v>
      </c>
      <c r="C110">
        <v>0</v>
      </c>
      <c r="D110" s="12">
        <v>1</v>
      </c>
    </row>
    <row r="111" spans="1:4" x14ac:dyDescent="0.3">
      <c r="A111" s="1">
        <v>43875</v>
      </c>
      <c r="B111">
        <v>59</v>
      </c>
      <c r="C111">
        <v>392</v>
      </c>
      <c r="D111" s="12">
        <v>1</v>
      </c>
    </row>
    <row r="112" spans="1:4" x14ac:dyDescent="0.3">
      <c r="A112" s="2">
        <v>43876</v>
      </c>
      <c r="B112" s="3">
        <v>0</v>
      </c>
      <c r="C112" s="3">
        <v>0</v>
      </c>
      <c r="D112" s="3">
        <v>1</v>
      </c>
    </row>
    <row r="113" spans="1:4" x14ac:dyDescent="0.3">
      <c r="A113" s="2">
        <v>43877</v>
      </c>
      <c r="B113" s="3">
        <v>30</v>
      </c>
      <c r="C113" s="3">
        <v>1974</v>
      </c>
      <c r="D113" s="3">
        <v>1</v>
      </c>
    </row>
    <row r="114" spans="1:4" x14ac:dyDescent="0.3">
      <c r="A114" s="1">
        <v>43878</v>
      </c>
      <c r="B114">
        <v>0</v>
      </c>
      <c r="C114">
        <v>2340</v>
      </c>
      <c r="D114" s="12">
        <v>0</v>
      </c>
    </row>
    <row r="115" spans="1:4" x14ac:dyDescent="0.3">
      <c r="A115" s="1">
        <v>43879</v>
      </c>
      <c r="B115">
        <v>64</v>
      </c>
      <c r="C115">
        <v>0</v>
      </c>
      <c r="D115" s="12">
        <v>0</v>
      </c>
    </row>
    <row r="116" spans="1:4" x14ac:dyDescent="0.3">
      <c r="A116" s="1">
        <v>43880</v>
      </c>
      <c r="B116">
        <v>95</v>
      </c>
      <c r="C116">
        <v>0</v>
      </c>
      <c r="D116" s="12">
        <v>0</v>
      </c>
    </row>
    <row r="117" spans="1:4" x14ac:dyDescent="0.3">
      <c r="A117" s="1">
        <v>43881</v>
      </c>
      <c r="B117">
        <v>0</v>
      </c>
      <c r="C117">
        <v>582</v>
      </c>
      <c r="D117" s="12">
        <v>0</v>
      </c>
    </row>
    <row r="118" spans="1:4" x14ac:dyDescent="0.3">
      <c r="A118" s="1">
        <v>43882</v>
      </c>
      <c r="B118">
        <v>91</v>
      </c>
      <c r="C118">
        <v>0</v>
      </c>
      <c r="D118" s="12">
        <v>0</v>
      </c>
    </row>
    <row r="119" spans="1:4" x14ac:dyDescent="0.3">
      <c r="A119" s="2">
        <v>43883</v>
      </c>
      <c r="B119" s="3">
        <v>30</v>
      </c>
      <c r="C119" s="3">
        <v>0</v>
      </c>
      <c r="D119" s="3">
        <v>0</v>
      </c>
    </row>
    <row r="120" spans="1:4" x14ac:dyDescent="0.3">
      <c r="A120" s="2">
        <v>43884</v>
      </c>
      <c r="B120" s="3">
        <v>0</v>
      </c>
      <c r="C120" s="3">
        <v>765</v>
      </c>
      <c r="D120" s="3">
        <v>0</v>
      </c>
    </row>
    <row r="121" spans="1:4" x14ac:dyDescent="0.3">
      <c r="A121" s="1">
        <v>43885</v>
      </c>
      <c r="B121">
        <v>0</v>
      </c>
      <c r="C121">
        <v>468</v>
      </c>
      <c r="D121" s="12">
        <v>0</v>
      </c>
    </row>
    <row r="122" spans="1:4" x14ac:dyDescent="0.3">
      <c r="A122" s="1">
        <v>43886</v>
      </c>
      <c r="B122">
        <v>96</v>
      </c>
      <c r="C122">
        <v>0</v>
      </c>
      <c r="D122" s="12">
        <v>0</v>
      </c>
    </row>
    <row r="123" spans="1:4" x14ac:dyDescent="0.3">
      <c r="A123" s="1">
        <v>43887</v>
      </c>
      <c r="B123">
        <v>0</v>
      </c>
      <c r="C123">
        <v>984</v>
      </c>
      <c r="D123" s="12">
        <v>0</v>
      </c>
    </row>
    <row r="124" spans="1:4" x14ac:dyDescent="0.3">
      <c r="A124" s="1">
        <v>43888</v>
      </c>
      <c r="B124">
        <v>60</v>
      </c>
      <c r="C124">
        <v>0</v>
      </c>
      <c r="D124" s="12">
        <v>0</v>
      </c>
    </row>
    <row r="125" spans="1:4" x14ac:dyDescent="0.3">
      <c r="A125" s="1">
        <v>43889</v>
      </c>
      <c r="B125">
        <v>88</v>
      </c>
      <c r="C125">
        <v>509</v>
      </c>
      <c r="D125" s="12">
        <v>0</v>
      </c>
    </row>
    <row r="126" spans="1:4" x14ac:dyDescent="0.3">
      <c r="A126" s="2">
        <v>43890</v>
      </c>
      <c r="B126" s="3">
        <v>0</v>
      </c>
      <c r="C126" s="3">
        <v>1356</v>
      </c>
      <c r="D126" s="3">
        <v>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93326-81F1-4DD8-88A7-11DF59E119AB}">
  <dimension ref="A1:S62"/>
  <sheetViews>
    <sheetView topLeftCell="J1" workbookViewId="0">
      <selection activeCell="N14" sqref="N14"/>
    </sheetView>
  </sheetViews>
  <sheetFormatPr defaultRowHeight="14.4" x14ac:dyDescent="0.3"/>
  <cols>
    <col min="1" max="1" width="9.5546875" bestFit="1" customWidth="1"/>
    <col min="2" max="2" width="26.88671875" bestFit="1" customWidth="1"/>
    <col min="3" max="3" width="14.6640625" bestFit="1" customWidth="1"/>
    <col min="4" max="4" width="17.33203125" bestFit="1" customWidth="1"/>
    <col min="5" max="5" width="14.5546875" customWidth="1"/>
    <col min="6" max="6" width="27.6640625" bestFit="1" customWidth="1"/>
    <col min="7" max="7" width="18.88671875" bestFit="1" customWidth="1"/>
    <col min="8" max="8" width="27.6640625" bestFit="1" customWidth="1"/>
    <col min="9" max="9" width="16.6640625" bestFit="1" customWidth="1"/>
    <col min="10" max="10" width="7" style="12" customWidth="1"/>
    <col min="11" max="11" width="32.88671875" customWidth="1"/>
    <col min="12" max="12" width="29.33203125" bestFit="1" customWidth="1"/>
    <col min="13" max="13" width="15.33203125" bestFit="1" customWidth="1"/>
    <col min="14" max="14" width="18.5546875" bestFit="1" customWidth="1"/>
    <col min="15" max="15" width="16.33203125" bestFit="1" customWidth="1"/>
    <col min="16" max="16" width="30.44140625" bestFit="1" customWidth="1"/>
    <col min="17" max="17" width="19.33203125" bestFit="1" customWidth="1"/>
    <col min="18" max="18" width="12.6640625" bestFit="1" customWidth="1"/>
    <col min="19" max="19" width="16" bestFit="1" customWidth="1"/>
  </cols>
  <sheetData>
    <row r="1" spans="1:19" ht="15" thickBot="1" x14ac:dyDescent="0.35">
      <c r="A1" s="10"/>
      <c r="B1" s="10" t="s">
        <v>33</v>
      </c>
      <c r="C1" t="s">
        <v>34</v>
      </c>
    </row>
    <row r="2" spans="1:19" x14ac:dyDescent="0.3">
      <c r="A2" s="17" t="s">
        <v>0</v>
      </c>
      <c r="B2" s="17" t="s">
        <v>42</v>
      </c>
      <c r="C2" s="17" t="s">
        <v>43</v>
      </c>
      <c r="D2" s="17" t="s">
        <v>65</v>
      </c>
      <c r="E2" s="17" t="s">
        <v>66</v>
      </c>
      <c r="F2" s="17" t="s">
        <v>48</v>
      </c>
      <c r="G2" s="26" t="s">
        <v>92</v>
      </c>
      <c r="H2" s="26" t="s">
        <v>93</v>
      </c>
      <c r="I2" s="26" t="s">
        <v>131</v>
      </c>
      <c r="J2" s="31"/>
      <c r="K2" s="23"/>
      <c r="L2" s="23" t="s">
        <v>42</v>
      </c>
      <c r="M2" s="23" t="s">
        <v>43</v>
      </c>
      <c r="N2" s="23" t="s">
        <v>65</v>
      </c>
      <c r="O2" s="23" t="s">
        <v>66</v>
      </c>
      <c r="P2" s="23" t="s">
        <v>48</v>
      </c>
      <c r="Q2" s="23" t="s">
        <v>92</v>
      </c>
      <c r="R2" s="23" t="s">
        <v>93</v>
      </c>
      <c r="S2" s="23" t="s">
        <v>131</v>
      </c>
    </row>
    <row r="3" spans="1:19" x14ac:dyDescent="0.3">
      <c r="A3" s="1">
        <v>43831</v>
      </c>
      <c r="B3">
        <v>0</v>
      </c>
      <c r="C3">
        <v>372</v>
      </c>
      <c r="D3">
        <v>0</v>
      </c>
      <c r="E3">
        <v>0</v>
      </c>
      <c r="F3">
        <v>720</v>
      </c>
      <c r="G3" s="12">
        <f>8.5*250</f>
        <v>2125</v>
      </c>
      <c r="H3" s="12">
        <v>0</v>
      </c>
      <c r="I3" s="12">
        <v>0</v>
      </c>
      <c r="K3" s="21" t="s">
        <v>42</v>
      </c>
      <c r="L3" s="21" t="s">
        <v>6</v>
      </c>
      <c r="M3" s="21"/>
      <c r="N3" s="21"/>
      <c r="O3" s="21"/>
      <c r="P3" s="21"/>
      <c r="Q3" s="21"/>
      <c r="R3" s="21"/>
      <c r="S3" s="21"/>
    </row>
    <row r="4" spans="1:19" x14ac:dyDescent="0.3">
      <c r="A4" s="1">
        <v>43832</v>
      </c>
      <c r="B4">
        <v>0</v>
      </c>
      <c r="C4">
        <v>405</v>
      </c>
      <c r="D4">
        <v>0</v>
      </c>
      <c r="E4">
        <f>2*60</f>
        <v>120</v>
      </c>
      <c r="F4">
        <v>413</v>
      </c>
      <c r="G4" s="12">
        <f>250*6.25</f>
        <v>1562.5</v>
      </c>
      <c r="H4" s="12">
        <v>0</v>
      </c>
      <c r="I4" s="12">
        <v>0</v>
      </c>
      <c r="K4" s="21" t="s">
        <v>43</v>
      </c>
      <c r="L4" s="21">
        <v>-0.26371312387688867</v>
      </c>
      <c r="M4" s="21" t="s">
        <v>6</v>
      </c>
      <c r="N4" s="21"/>
      <c r="O4" s="21"/>
      <c r="P4" s="21"/>
      <c r="Q4" s="21"/>
      <c r="R4" s="21"/>
      <c r="S4" s="21"/>
    </row>
    <row r="5" spans="1:19" x14ac:dyDescent="0.3">
      <c r="A5" s="1">
        <v>43833</v>
      </c>
      <c r="B5">
        <v>0</v>
      </c>
      <c r="C5">
        <v>582</v>
      </c>
      <c r="D5">
        <v>2</v>
      </c>
      <c r="E5">
        <f>60 *8</f>
        <v>480</v>
      </c>
      <c r="F5">
        <v>1021</v>
      </c>
      <c r="G5" s="12">
        <f>250*10</f>
        <v>2500</v>
      </c>
      <c r="H5" s="12">
        <v>0</v>
      </c>
      <c r="I5" s="12">
        <v>0</v>
      </c>
      <c r="K5" s="21" t="s">
        <v>65</v>
      </c>
      <c r="L5" s="21">
        <v>0.33722208221795091</v>
      </c>
      <c r="M5" s="21">
        <v>-0.35043046504528647</v>
      </c>
      <c r="N5" s="21" t="s">
        <v>6</v>
      </c>
      <c r="O5" s="21"/>
      <c r="P5" s="21"/>
      <c r="Q5" s="21"/>
      <c r="R5" s="21"/>
      <c r="S5" s="21"/>
    </row>
    <row r="6" spans="1:19" x14ac:dyDescent="0.3">
      <c r="A6" s="2">
        <v>43834</v>
      </c>
      <c r="B6" s="3">
        <v>0</v>
      </c>
      <c r="C6" s="3">
        <v>621</v>
      </c>
      <c r="D6" s="3">
        <v>0</v>
      </c>
      <c r="E6" s="3">
        <v>0</v>
      </c>
      <c r="F6" s="3">
        <v>1433</v>
      </c>
      <c r="G6" s="3">
        <f>250*7.5</f>
        <v>1875</v>
      </c>
      <c r="H6" s="3">
        <v>0</v>
      </c>
      <c r="I6" s="3">
        <v>0</v>
      </c>
      <c r="K6" s="21" t="s">
        <v>66</v>
      </c>
      <c r="L6" s="21">
        <v>0.3503981917161455</v>
      </c>
      <c r="M6" s="21">
        <v>-0.3981678491744845</v>
      </c>
      <c r="N6" s="21">
        <v>8.1343469923865847E-2</v>
      </c>
      <c r="O6" s="21" t="s">
        <v>6</v>
      </c>
      <c r="P6" s="21"/>
      <c r="Q6" s="21"/>
      <c r="R6" s="21"/>
      <c r="S6" s="21"/>
    </row>
    <row r="7" spans="1:19" x14ac:dyDescent="0.3">
      <c r="A7" s="2">
        <v>43835</v>
      </c>
      <c r="B7" s="3">
        <v>0</v>
      </c>
      <c r="C7" s="3">
        <v>322</v>
      </c>
      <c r="D7" s="3">
        <v>0</v>
      </c>
      <c r="E7" s="3">
        <v>0</v>
      </c>
      <c r="F7" s="3">
        <v>1504</v>
      </c>
      <c r="G7" s="3">
        <f>250*10</f>
        <v>2500</v>
      </c>
      <c r="H7" s="3">
        <v>0</v>
      </c>
      <c r="I7" s="3">
        <v>0</v>
      </c>
      <c r="K7" s="21" t="s">
        <v>48</v>
      </c>
      <c r="L7" s="21">
        <v>-0.48961635444516333</v>
      </c>
      <c r="M7" s="21">
        <v>0.31982756310899785</v>
      </c>
      <c r="N7" s="21">
        <v>-0.18457400983543001</v>
      </c>
      <c r="O7" s="21">
        <v>-0.55944292084442326</v>
      </c>
      <c r="P7" s="21" t="s">
        <v>6</v>
      </c>
      <c r="Q7" s="21"/>
      <c r="R7" s="21"/>
      <c r="S7" s="21"/>
    </row>
    <row r="8" spans="1:19" x14ac:dyDescent="0.3">
      <c r="A8" s="1">
        <v>43836</v>
      </c>
      <c r="B8">
        <v>60</v>
      </c>
      <c r="C8">
        <v>418</v>
      </c>
      <c r="D8">
        <v>156</v>
      </c>
      <c r="E8">
        <f>60 *8</f>
        <v>480</v>
      </c>
      <c r="F8">
        <v>0</v>
      </c>
      <c r="G8" s="12">
        <f>250*11.5</f>
        <v>2875</v>
      </c>
      <c r="H8" s="12">
        <v>0</v>
      </c>
      <c r="I8" s="12">
        <v>1</v>
      </c>
      <c r="K8" s="21" t="s">
        <v>92</v>
      </c>
      <c r="L8" s="21">
        <v>0.30545391822325191</v>
      </c>
      <c r="M8" s="21">
        <v>-0.59278498740831664</v>
      </c>
      <c r="N8" s="21">
        <v>0.43051158001650908</v>
      </c>
      <c r="O8" s="21">
        <v>0.23862330877152182</v>
      </c>
      <c r="P8" s="21">
        <v>-0.15638480510874697</v>
      </c>
      <c r="Q8" s="21" t="s">
        <v>6</v>
      </c>
      <c r="R8" s="21"/>
      <c r="S8" s="21"/>
    </row>
    <row r="9" spans="1:19" x14ac:dyDescent="0.3">
      <c r="A9" s="1">
        <v>43837</v>
      </c>
      <c r="B9">
        <v>93</v>
      </c>
      <c r="C9">
        <v>456</v>
      </c>
      <c r="D9">
        <v>194</v>
      </c>
      <c r="E9">
        <f>60 *8</f>
        <v>480</v>
      </c>
      <c r="F9">
        <v>0</v>
      </c>
      <c r="G9" s="12">
        <f>250*12</f>
        <v>3000</v>
      </c>
      <c r="H9" s="12">
        <v>0</v>
      </c>
      <c r="I9" s="12">
        <v>1</v>
      </c>
      <c r="K9" s="21" t="s">
        <v>93</v>
      </c>
      <c r="L9" s="21">
        <v>-0.34234245622102794</v>
      </c>
      <c r="M9" s="21">
        <v>0.46935087998701075</v>
      </c>
      <c r="N9" s="21">
        <v>-0.2219375832551212</v>
      </c>
      <c r="O9" s="21">
        <v>-0.15187685421504968</v>
      </c>
      <c r="P9" s="21">
        <v>0.1706126833869302</v>
      </c>
      <c r="Q9" s="21">
        <v>-0.42526297578215128</v>
      </c>
      <c r="R9" s="21" t="s">
        <v>6</v>
      </c>
      <c r="S9" s="21"/>
    </row>
    <row r="10" spans="1:19" ht="15" thickBot="1" x14ac:dyDescent="0.35">
      <c r="A10" s="1">
        <v>43838</v>
      </c>
      <c r="B10">
        <v>184</v>
      </c>
      <c r="C10">
        <v>438</v>
      </c>
      <c r="D10">
        <v>118</v>
      </c>
      <c r="E10">
        <f>60 *8</f>
        <v>480</v>
      </c>
      <c r="F10">
        <v>0</v>
      </c>
      <c r="G10" s="12">
        <f>250*13.5</f>
        <v>3375</v>
      </c>
      <c r="H10" s="12">
        <v>0</v>
      </c>
      <c r="I10" s="12">
        <v>0</v>
      </c>
      <c r="K10" s="22" t="s">
        <v>131</v>
      </c>
      <c r="L10" s="22">
        <v>0.39584923270698841</v>
      </c>
      <c r="M10" s="22">
        <v>-8.0906104222843112E-2</v>
      </c>
      <c r="N10" s="22">
        <v>0.35376981409035857</v>
      </c>
      <c r="O10" s="22">
        <v>0.20531389501986119</v>
      </c>
      <c r="P10" s="22">
        <v>-0.40450840453423681</v>
      </c>
      <c r="Q10" s="22">
        <v>9.2179320335281117E-2</v>
      </c>
      <c r="R10" s="22">
        <v>-0.14433756729740649</v>
      </c>
      <c r="S10" s="22" t="s">
        <v>6</v>
      </c>
    </row>
    <row r="11" spans="1:19" x14ac:dyDescent="0.3">
      <c r="A11" s="1">
        <v>43839</v>
      </c>
      <c r="B11">
        <v>0</v>
      </c>
      <c r="C11">
        <v>792</v>
      </c>
      <c r="D11">
        <v>0</v>
      </c>
      <c r="E11">
        <v>240</v>
      </c>
      <c r="F11">
        <v>0</v>
      </c>
      <c r="G11" s="12">
        <f>250*3</f>
        <v>750</v>
      </c>
      <c r="H11" s="12">
        <v>1</v>
      </c>
      <c r="I11" s="12">
        <v>0</v>
      </c>
      <c r="K11" t="s">
        <v>6</v>
      </c>
    </row>
    <row r="12" spans="1:19" ht="15" thickBot="1" x14ac:dyDescent="0.35">
      <c r="A12" s="1">
        <v>43840</v>
      </c>
      <c r="B12">
        <v>0</v>
      </c>
      <c r="C12">
        <v>781</v>
      </c>
      <c r="D12">
        <v>0</v>
      </c>
      <c r="E12">
        <v>180</v>
      </c>
      <c r="F12">
        <v>630</v>
      </c>
      <c r="G12" s="12">
        <f>250*4.75</f>
        <v>1187.5</v>
      </c>
      <c r="H12" s="12">
        <v>1</v>
      </c>
      <c r="I12" s="12">
        <v>0</v>
      </c>
      <c r="K12" t="s">
        <v>6</v>
      </c>
    </row>
    <row r="13" spans="1:19" x14ac:dyDescent="0.3">
      <c r="A13" s="2">
        <v>43841</v>
      </c>
      <c r="B13" s="3">
        <v>20</v>
      </c>
      <c r="C13" s="3">
        <v>617</v>
      </c>
      <c r="D13" s="3">
        <v>0</v>
      </c>
      <c r="E13" s="3">
        <v>0</v>
      </c>
      <c r="F13" s="3">
        <v>1011</v>
      </c>
      <c r="G13" s="3">
        <f>250*10.5</f>
        <v>2625</v>
      </c>
      <c r="H13" s="3">
        <v>1</v>
      </c>
      <c r="I13" s="3">
        <v>1</v>
      </c>
      <c r="K13" s="24" t="s">
        <v>68</v>
      </c>
      <c r="L13" s="24"/>
      <c r="N13" t="s">
        <v>139</v>
      </c>
    </row>
    <row r="14" spans="1:19" x14ac:dyDescent="0.3">
      <c r="A14" s="2">
        <v>43842</v>
      </c>
      <c r="B14" s="3">
        <v>30</v>
      </c>
      <c r="C14" s="3">
        <v>692</v>
      </c>
      <c r="D14" s="3">
        <v>245</v>
      </c>
      <c r="E14" s="3">
        <v>0</v>
      </c>
      <c r="F14" s="3">
        <v>1030</v>
      </c>
      <c r="G14" s="3">
        <f>250*4.75</f>
        <v>1187.5</v>
      </c>
      <c r="H14" s="3">
        <v>1</v>
      </c>
      <c r="I14" s="3">
        <v>1</v>
      </c>
      <c r="K14" s="21" t="s">
        <v>69</v>
      </c>
      <c r="L14" s="21">
        <v>0.62493578629093649</v>
      </c>
      <c r="N14" t="s">
        <v>140</v>
      </c>
    </row>
    <row r="15" spans="1:19" x14ac:dyDescent="0.3">
      <c r="A15" s="1">
        <v>43843</v>
      </c>
      <c r="B15">
        <v>0</v>
      </c>
      <c r="C15">
        <v>479</v>
      </c>
      <c r="D15">
        <v>120</v>
      </c>
      <c r="E15">
        <f>60 *8</f>
        <v>480</v>
      </c>
      <c r="F15">
        <v>0</v>
      </c>
      <c r="G15" s="12">
        <f>250*7.25</f>
        <v>1812.5</v>
      </c>
      <c r="H15" s="12">
        <v>0</v>
      </c>
      <c r="I15" s="12">
        <v>0</v>
      </c>
      <c r="K15" s="21" t="s">
        <v>70</v>
      </c>
      <c r="L15" s="21">
        <v>0.39054473698707104</v>
      </c>
    </row>
    <row r="16" spans="1:19" x14ac:dyDescent="0.3">
      <c r="A16" s="1">
        <v>43844</v>
      </c>
      <c r="B16">
        <v>62</v>
      </c>
      <c r="C16">
        <v>463</v>
      </c>
      <c r="D16">
        <v>156</v>
      </c>
      <c r="E16">
        <f>60 *8</f>
        <v>480</v>
      </c>
      <c r="F16">
        <v>0</v>
      </c>
      <c r="G16" s="12">
        <f>250*9.75</f>
        <v>2437.5</v>
      </c>
      <c r="H16" s="12">
        <v>0</v>
      </c>
      <c r="I16" s="12">
        <v>1</v>
      </c>
      <c r="K16" s="21" t="s">
        <v>71</v>
      </c>
      <c r="L16" s="25">
        <v>0.30850268235071526</v>
      </c>
    </row>
    <row r="17" spans="1:19" x14ac:dyDescent="0.3">
      <c r="A17" s="1">
        <v>43845</v>
      </c>
      <c r="B17">
        <v>197</v>
      </c>
      <c r="C17">
        <v>355</v>
      </c>
      <c r="D17">
        <v>162</v>
      </c>
      <c r="E17">
        <f>60 *8</f>
        <v>480</v>
      </c>
      <c r="F17">
        <v>0</v>
      </c>
      <c r="G17" s="12">
        <f>250*8</f>
        <v>2000</v>
      </c>
      <c r="H17" s="12">
        <v>0</v>
      </c>
      <c r="I17" s="12">
        <v>0</v>
      </c>
      <c r="K17" s="21" t="s">
        <v>72</v>
      </c>
      <c r="L17" s="21">
        <v>42.217491167317462</v>
      </c>
      <c r="N17" t="s">
        <v>94</v>
      </c>
    </row>
    <row r="18" spans="1:19" ht="15" thickBot="1" x14ac:dyDescent="0.35">
      <c r="A18" s="1">
        <v>43846</v>
      </c>
      <c r="B18">
        <v>0</v>
      </c>
      <c r="C18">
        <v>273</v>
      </c>
      <c r="D18">
        <v>191</v>
      </c>
      <c r="E18">
        <f>60 *8</f>
        <v>480</v>
      </c>
      <c r="F18">
        <v>0</v>
      </c>
      <c r="G18" s="12">
        <f>250*9</f>
        <v>2250</v>
      </c>
      <c r="H18" s="12">
        <v>0</v>
      </c>
      <c r="I18" s="12">
        <v>0</v>
      </c>
      <c r="K18" s="22" t="s">
        <v>73</v>
      </c>
      <c r="L18" s="22">
        <v>60</v>
      </c>
    </row>
    <row r="19" spans="1:19" x14ac:dyDescent="0.3">
      <c r="A19" s="1">
        <v>43847</v>
      </c>
      <c r="B19">
        <v>0</v>
      </c>
      <c r="C19">
        <v>324</v>
      </c>
      <c r="D19">
        <v>0</v>
      </c>
      <c r="E19">
        <f>60 *8</f>
        <v>480</v>
      </c>
      <c r="F19">
        <v>487</v>
      </c>
      <c r="G19" s="12">
        <f>250*6.3</f>
        <v>1575</v>
      </c>
      <c r="H19" s="12">
        <v>0</v>
      </c>
      <c r="I19" s="12">
        <v>0</v>
      </c>
    </row>
    <row r="20" spans="1:19" ht="15" thickBot="1" x14ac:dyDescent="0.35">
      <c r="A20" s="2">
        <v>43848</v>
      </c>
      <c r="B20" s="3">
        <v>0</v>
      </c>
      <c r="C20" s="3">
        <v>512</v>
      </c>
      <c r="D20" s="3">
        <v>0</v>
      </c>
      <c r="E20" s="3">
        <v>0</v>
      </c>
      <c r="F20" s="3">
        <v>1832</v>
      </c>
      <c r="G20" s="3">
        <f>250*3.8</f>
        <v>950</v>
      </c>
      <c r="H20" s="3">
        <v>0</v>
      </c>
      <c r="I20" s="3">
        <v>0</v>
      </c>
      <c r="K20" t="s">
        <v>74</v>
      </c>
    </row>
    <row r="21" spans="1:19" x14ac:dyDescent="0.3">
      <c r="A21" s="2">
        <v>43849</v>
      </c>
      <c r="B21" s="3">
        <v>0</v>
      </c>
      <c r="C21" s="3">
        <v>618</v>
      </c>
      <c r="D21" s="3">
        <v>238</v>
      </c>
      <c r="E21" s="3">
        <v>0</v>
      </c>
      <c r="F21" s="3">
        <v>1567</v>
      </c>
      <c r="G21" s="3">
        <f>250*12.3</f>
        <v>3075</v>
      </c>
      <c r="H21" s="3">
        <v>0</v>
      </c>
      <c r="I21" s="3">
        <v>0</v>
      </c>
      <c r="K21" s="23"/>
      <c r="L21" s="23" t="s">
        <v>79</v>
      </c>
      <c r="M21" s="23" t="s">
        <v>80</v>
      </c>
      <c r="N21" s="23" t="s">
        <v>81</v>
      </c>
      <c r="O21" s="23" t="s">
        <v>82</v>
      </c>
      <c r="P21" s="23" t="s">
        <v>83</v>
      </c>
    </row>
    <row r="22" spans="1:19" x14ac:dyDescent="0.3">
      <c r="A22" s="1">
        <v>43850</v>
      </c>
      <c r="B22">
        <v>63</v>
      </c>
      <c r="C22">
        <v>363</v>
      </c>
      <c r="D22">
        <v>187</v>
      </c>
      <c r="E22">
        <f>60 *8</f>
        <v>480</v>
      </c>
      <c r="F22">
        <v>0</v>
      </c>
      <c r="G22" s="12">
        <f>250*11.6</f>
        <v>2900</v>
      </c>
      <c r="H22" s="12">
        <v>0</v>
      </c>
      <c r="I22" s="12">
        <v>1</v>
      </c>
      <c r="K22" s="21" t="s">
        <v>75</v>
      </c>
      <c r="L22" s="21">
        <v>7</v>
      </c>
      <c r="M22" s="21">
        <v>59390.522189281968</v>
      </c>
      <c r="N22" s="21">
        <v>8484.3603127545666</v>
      </c>
      <c r="O22" s="21">
        <v>4.7602993210997235</v>
      </c>
      <c r="P22" s="25">
        <v>3.4453181671722849E-4</v>
      </c>
    </row>
    <row r="23" spans="1:19" x14ac:dyDescent="0.3">
      <c r="A23" s="1">
        <v>43851</v>
      </c>
      <c r="B23">
        <v>57</v>
      </c>
      <c r="C23">
        <v>351</v>
      </c>
      <c r="D23">
        <v>208</v>
      </c>
      <c r="E23">
        <f>60 *8</f>
        <v>480</v>
      </c>
      <c r="F23">
        <v>0</v>
      </c>
      <c r="G23" s="12">
        <f>250*10.5</f>
        <v>2625</v>
      </c>
      <c r="H23" s="12">
        <v>0</v>
      </c>
      <c r="I23" s="12">
        <v>1</v>
      </c>
      <c r="K23" s="21" t="s">
        <v>76</v>
      </c>
      <c r="L23" s="21">
        <v>52</v>
      </c>
      <c r="M23" s="21">
        <v>92680.461144051456</v>
      </c>
      <c r="N23" s="21">
        <v>1782.3165604625281</v>
      </c>
      <c r="O23" s="21"/>
      <c r="P23" s="21"/>
    </row>
    <row r="24" spans="1:19" ht="15" thickBot="1" x14ac:dyDescent="0.35">
      <c r="A24" s="1">
        <v>43852</v>
      </c>
      <c r="B24">
        <v>204</v>
      </c>
      <c r="C24">
        <v>338</v>
      </c>
      <c r="D24">
        <v>156</v>
      </c>
      <c r="E24">
        <f>60 *8</f>
        <v>480</v>
      </c>
      <c r="F24">
        <v>0</v>
      </c>
      <c r="G24" s="12">
        <f>250*11.5</f>
        <v>2875</v>
      </c>
      <c r="H24" s="12">
        <v>0</v>
      </c>
      <c r="I24" s="12">
        <v>0</v>
      </c>
      <c r="K24" s="22" t="s">
        <v>77</v>
      </c>
      <c r="L24" s="22">
        <v>59</v>
      </c>
      <c r="M24" s="22">
        <v>152070.98333333342</v>
      </c>
      <c r="N24" s="22"/>
      <c r="O24" s="22"/>
      <c r="P24" s="22"/>
      <c r="S24" t="s">
        <v>6</v>
      </c>
    </row>
    <row r="25" spans="1:19" x14ac:dyDescent="0.3">
      <c r="A25" s="1">
        <v>43853</v>
      </c>
      <c r="B25">
        <v>0</v>
      </c>
      <c r="C25">
        <v>286</v>
      </c>
      <c r="D25">
        <v>88</v>
      </c>
      <c r="E25">
        <f>60 *8</f>
        <v>480</v>
      </c>
      <c r="F25">
        <v>0</v>
      </c>
      <c r="G25" s="12">
        <f>250*10</f>
        <v>2500</v>
      </c>
      <c r="H25" s="12">
        <v>0</v>
      </c>
      <c r="I25" s="12">
        <v>0</v>
      </c>
      <c r="K25" t="s">
        <v>6</v>
      </c>
      <c r="S25" t="s">
        <v>6</v>
      </c>
    </row>
    <row r="26" spans="1:19" x14ac:dyDescent="0.3">
      <c r="A26" s="1">
        <v>43854</v>
      </c>
      <c r="B26">
        <v>127</v>
      </c>
      <c r="C26">
        <v>371</v>
      </c>
      <c r="D26">
        <v>0</v>
      </c>
      <c r="E26">
        <f>60 *8</f>
        <v>480</v>
      </c>
      <c r="F26">
        <v>0</v>
      </c>
      <c r="G26" s="12">
        <f>250*6.6</f>
        <v>1650</v>
      </c>
      <c r="H26" s="12">
        <v>0</v>
      </c>
      <c r="I26" s="12">
        <v>1</v>
      </c>
      <c r="K26" t="s">
        <v>132</v>
      </c>
    </row>
    <row r="27" spans="1:19" x14ac:dyDescent="0.3">
      <c r="A27" s="2">
        <v>43855</v>
      </c>
      <c r="B27" s="3">
        <v>60</v>
      </c>
      <c r="C27" s="3">
        <v>541</v>
      </c>
      <c r="D27" s="3">
        <v>0</v>
      </c>
      <c r="E27" s="3">
        <v>0</v>
      </c>
      <c r="F27" s="3">
        <v>0</v>
      </c>
      <c r="G27" s="3">
        <f>250*9.7</f>
        <v>2425</v>
      </c>
      <c r="H27" s="3">
        <v>0</v>
      </c>
      <c r="I27" s="3">
        <v>0</v>
      </c>
      <c r="K27" t="s">
        <v>133</v>
      </c>
    </row>
    <row r="28" spans="1:19" x14ac:dyDescent="0.3">
      <c r="A28" s="2">
        <v>43856</v>
      </c>
      <c r="B28" s="3">
        <v>60</v>
      </c>
      <c r="C28" s="3">
        <v>665</v>
      </c>
      <c r="D28" s="3">
        <v>258</v>
      </c>
      <c r="E28" s="3">
        <v>0</v>
      </c>
      <c r="F28" s="3">
        <v>0</v>
      </c>
      <c r="G28" s="3">
        <f>250*5.5</f>
        <v>1375</v>
      </c>
      <c r="H28" s="3">
        <v>0</v>
      </c>
      <c r="I28" s="3">
        <v>1</v>
      </c>
      <c r="S28" t="s">
        <v>6</v>
      </c>
    </row>
    <row r="29" spans="1:19" x14ac:dyDescent="0.3">
      <c r="A29" s="1">
        <v>43857</v>
      </c>
      <c r="B29">
        <v>87</v>
      </c>
      <c r="C29">
        <v>481</v>
      </c>
      <c r="D29">
        <v>114</v>
      </c>
      <c r="E29">
        <f>60 *8</f>
        <v>480</v>
      </c>
      <c r="F29">
        <v>372</v>
      </c>
      <c r="G29" s="12">
        <f>250*6</f>
        <v>1500</v>
      </c>
      <c r="H29" s="12">
        <v>0</v>
      </c>
      <c r="I29" s="12">
        <v>1</v>
      </c>
      <c r="S29" t="s">
        <v>6</v>
      </c>
    </row>
    <row r="30" spans="1:19" x14ac:dyDescent="0.3">
      <c r="A30" s="1">
        <v>43858</v>
      </c>
      <c r="B30">
        <v>0</v>
      </c>
      <c r="C30">
        <v>429</v>
      </c>
      <c r="D30">
        <v>0</v>
      </c>
      <c r="E30">
        <v>360</v>
      </c>
      <c r="F30">
        <v>849</v>
      </c>
      <c r="G30" s="12">
        <f>250*8.3</f>
        <v>2075</v>
      </c>
      <c r="H30" s="12">
        <v>1</v>
      </c>
      <c r="I30" s="12">
        <v>0</v>
      </c>
      <c r="K30" t="s">
        <v>134</v>
      </c>
      <c r="S30" t="s">
        <v>6</v>
      </c>
    </row>
    <row r="31" spans="1:19" x14ac:dyDescent="0.3">
      <c r="A31" s="1">
        <v>43859</v>
      </c>
      <c r="B31">
        <v>0</v>
      </c>
      <c r="C31">
        <v>604</v>
      </c>
      <c r="D31">
        <v>0</v>
      </c>
      <c r="E31">
        <v>180</v>
      </c>
      <c r="F31">
        <v>536</v>
      </c>
      <c r="G31" s="12">
        <f>250*4.5</f>
        <v>1125</v>
      </c>
      <c r="H31" s="12">
        <v>1</v>
      </c>
      <c r="I31" s="12">
        <v>0</v>
      </c>
      <c r="K31" t="s">
        <v>135</v>
      </c>
    </row>
    <row r="32" spans="1:19" x14ac:dyDescent="0.3">
      <c r="A32" s="1">
        <v>43860</v>
      </c>
      <c r="B32">
        <v>0</v>
      </c>
      <c r="C32">
        <v>563</v>
      </c>
      <c r="D32">
        <v>0</v>
      </c>
      <c r="E32">
        <v>240</v>
      </c>
      <c r="F32">
        <v>1045</v>
      </c>
      <c r="G32" s="12">
        <f>250*6.4</f>
        <v>1600</v>
      </c>
      <c r="H32" s="12">
        <v>1</v>
      </c>
      <c r="I32" s="12">
        <v>0</v>
      </c>
      <c r="P32" t="s">
        <v>142</v>
      </c>
    </row>
    <row r="33" spans="1:9" x14ac:dyDescent="0.3">
      <c r="A33" s="1">
        <v>43861</v>
      </c>
      <c r="B33">
        <v>0</v>
      </c>
      <c r="C33">
        <v>662</v>
      </c>
      <c r="D33">
        <v>0</v>
      </c>
      <c r="E33">
        <f>60 *8</f>
        <v>480</v>
      </c>
      <c r="F33">
        <v>717</v>
      </c>
      <c r="G33" s="12">
        <f>250*4.25</f>
        <v>1062.5</v>
      </c>
      <c r="H33" s="12">
        <v>1</v>
      </c>
      <c r="I33" s="12">
        <v>0</v>
      </c>
    </row>
    <row r="34" spans="1:9" x14ac:dyDescent="0.3">
      <c r="A34" s="2">
        <v>43862</v>
      </c>
      <c r="B34" s="3">
        <v>0</v>
      </c>
      <c r="C34" s="3">
        <v>729</v>
      </c>
      <c r="D34" s="3">
        <v>0</v>
      </c>
      <c r="E34" s="3">
        <v>0</v>
      </c>
      <c r="F34" s="3">
        <v>1432</v>
      </c>
      <c r="G34" s="3">
        <f>250*5.5</f>
        <v>1375</v>
      </c>
      <c r="H34" s="3">
        <v>1</v>
      </c>
      <c r="I34" s="3">
        <v>0</v>
      </c>
    </row>
    <row r="35" spans="1:9" x14ac:dyDescent="0.3">
      <c r="A35" s="2">
        <v>43863</v>
      </c>
      <c r="B35" s="3">
        <v>0</v>
      </c>
      <c r="C35" s="3">
        <v>797</v>
      </c>
      <c r="D35" s="3">
        <v>0</v>
      </c>
      <c r="E35" s="3">
        <v>0</v>
      </c>
      <c r="F35" s="3">
        <v>1567</v>
      </c>
      <c r="G35" s="3">
        <f>250*5.8</f>
        <v>1450</v>
      </c>
      <c r="H35" s="3">
        <v>1</v>
      </c>
      <c r="I35" s="3">
        <v>0</v>
      </c>
    </row>
    <row r="36" spans="1:9" x14ac:dyDescent="0.3">
      <c r="A36" s="1">
        <v>43864</v>
      </c>
      <c r="B36">
        <v>0</v>
      </c>
      <c r="C36">
        <v>648</v>
      </c>
      <c r="D36">
        <v>0</v>
      </c>
      <c r="E36">
        <f>60 *8</f>
        <v>480</v>
      </c>
      <c r="F36">
        <v>1045</v>
      </c>
      <c r="G36" s="12">
        <f>250*6.3</f>
        <v>1575</v>
      </c>
      <c r="H36" s="12">
        <v>1</v>
      </c>
      <c r="I36" s="12">
        <v>0</v>
      </c>
    </row>
    <row r="37" spans="1:9" x14ac:dyDescent="0.3">
      <c r="A37" s="1">
        <v>43865</v>
      </c>
      <c r="B37">
        <v>0</v>
      </c>
      <c r="C37">
        <v>658</v>
      </c>
      <c r="D37">
        <v>0</v>
      </c>
      <c r="E37">
        <f>60 *8</f>
        <v>480</v>
      </c>
      <c r="F37">
        <v>489</v>
      </c>
      <c r="G37" s="12">
        <f>250*3.75</f>
        <v>937.5</v>
      </c>
      <c r="H37" s="12">
        <v>1</v>
      </c>
      <c r="I37" s="12">
        <v>0</v>
      </c>
    </row>
    <row r="38" spans="1:9" x14ac:dyDescent="0.3">
      <c r="A38" s="1">
        <v>43866</v>
      </c>
      <c r="B38">
        <v>0</v>
      </c>
      <c r="C38">
        <v>727</v>
      </c>
      <c r="D38">
        <v>0</v>
      </c>
      <c r="E38">
        <f>60 *8</f>
        <v>480</v>
      </c>
      <c r="F38">
        <v>1005</v>
      </c>
      <c r="G38" s="12">
        <f>250*5</f>
        <v>1250</v>
      </c>
      <c r="H38" s="12">
        <v>1</v>
      </c>
      <c r="I38" s="12">
        <v>0</v>
      </c>
    </row>
    <row r="39" spans="1:9" x14ac:dyDescent="0.3">
      <c r="A39" s="1">
        <v>43867</v>
      </c>
      <c r="B39">
        <v>0</v>
      </c>
      <c r="C39">
        <v>654</v>
      </c>
      <c r="D39">
        <v>0</v>
      </c>
      <c r="E39">
        <f>60 *8</f>
        <v>480</v>
      </c>
      <c r="F39">
        <v>738</v>
      </c>
      <c r="G39" s="12">
        <f>250*7.9</f>
        <v>1975</v>
      </c>
      <c r="H39" s="12">
        <v>1</v>
      </c>
      <c r="I39" s="12">
        <v>0</v>
      </c>
    </row>
    <row r="40" spans="1:9" x14ac:dyDescent="0.3">
      <c r="A40" s="1">
        <v>43868</v>
      </c>
      <c r="B40">
        <v>25</v>
      </c>
      <c r="C40">
        <v>475</v>
      </c>
      <c r="D40">
        <v>0</v>
      </c>
      <c r="E40">
        <f>60 *8</f>
        <v>480</v>
      </c>
      <c r="F40">
        <v>406</v>
      </c>
      <c r="G40" s="12">
        <f>250*6.5</f>
        <v>1625</v>
      </c>
      <c r="H40" s="12">
        <v>1</v>
      </c>
      <c r="I40" s="12">
        <v>1</v>
      </c>
    </row>
    <row r="41" spans="1:9" x14ac:dyDescent="0.3">
      <c r="A41" s="2">
        <v>43869</v>
      </c>
      <c r="B41" s="3">
        <v>20</v>
      </c>
      <c r="C41" s="3">
        <v>849</v>
      </c>
      <c r="D41" s="3">
        <v>0</v>
      </c>
      <c r="E41" s="3">
        <v>0</v>
      </c>
      <c r="F41" s="3">
        <v>538</v>
      </c>
      <c r="G41" s="3">
        <f>250*6.3</f>
        <v>1575</v>
      </c>
      <c r="H41" s="3">
        <v>1</v>
      </c>
      <c r="I41" s="3">
        <v>0</v>
      </c>
    </row>
    <row r="42" spans="1:9" x14ac:dyDescent="0.3">
      <c r="A42" s="2">
        <v>43870</v>
      </c>
      <c r="B42" s="3">
        <v>32</v>
      </c>
      <c r="C42" s="3">
        <v>611</v>
      </c>
      <c r="D42" s="3">
        <v>238</v>
      </c>
      <c r="E42" s="3">
        <v>0</v>
      </c>
      <c r="F42" s="3">
        <v>538</v>
      </c>
      <c r="G42" s="3">
        <f>250*5.9</f>
        <v>1475</v>
      </c>
      <c r="H42" s="3">
        <v>1</v>
      </c>
      <c r="I42" s="3">
        <v>1</v>
      </c>
    </row>
    <row r="43" spans="1:9" x14ac:dyDescent="0.3">
      <c r="A43" s="1">
        <v>43871</v>
      </c>
      <c r="B43">
        <v>0</v>
      </c>
      <c r="C43">
        <v>199</v>
      </c>
      <c r="D43">
        <v>119</v>
      </c>
      <c r="E43">
        <f>60 *8</f>
        <v>480</v>
      </c>
      <c r="F43">
        <v>0</v>
      </c>
      <c r="G43" s="12">
        <f>250*12.3</f>
        <v>3075</v>
      </c>
      <c r="H43" s="12">
        <v>1</v>
      </c>
      <c r="I43" s="12">
        <v>0</v>
      </c>
    </row>
    <row r="44" spans="1:9" x14ac:dyDescent="0.3">
      <c r="A44" s="1">
        <v>43872</v>
      </c>
      <c r="B44">
        <v>0</v>
      </c>
      <c r="C44">
        <v>274</v>
      </c>
      <c r="D44">
        <v>166</v>
      </c>
      <c r="E44">
        <f>60 *8</f>
        <v>480</v>
      </c>
      <c r="F44">
        <v>0</v>
      </c>
      <c r="G44" s="12">
        <f>250*9</f>
        <v>2250</v>
      </c>
      <c r="H44" s="12">
        <v>1</v>
      </c>
      <c r="I44" s="12">
        <v>0</v>
      </c>
    </row>
    <row r="45" spans="1:9" x14ac:dyDescent="0.3">
      <c r="A45" s="1">
        <v>43873</v>
      </c>
      <c r="B45">
        <v>65</v>
      </c>
      <c r="C45">
        <v>356</v>
      </c>
      <c r="D45">
        <v>142</v>
      </c>
      <c r="E45">
        <f>60 *8</f>
        <v>480</v>
      </c>
      <c r="F45">
        <v>0</v>
      </c>
      <c r="G45" s="12">
        <f>250*11.5</f>
        <v>2875</v>
      </c>
      <c r="H45" s="12">
        <v>1</v>
      </c>
      <c r="I45" s="12">
        <v>1</v>
      </c>
    </row>
    <row r="46" spans="1:9" x14ac:dyDescent="0.3">
      <c r="A46" s="1">
        <v>43874</v>
      </c>
      <c r="B46">
        <v>60</v>
      </c>
      <c r="C46">
        <v>388</v>
      </c>
      <c r="D46">
        <v>177</v>
      </c>
      <c r="E46">
        <f>60 *8</f>
        <v>480</v>
      </c>
      <c r="F46">
        <v>0</v>
      </c>
      <c r="G46" s="12">
        <f>250*6</f>
        <v>1500</v>
      </c>
      <c r="H46" s="12">
        <v>1</v>
      </c>
      <c r="I46" s="12">
        <v>1</v>
      </c>
    </row>
    <row r="47" spans="1:9" x14ac:dyDescent="0.3">
      <c r="A47" s="1">
        <v>43875</v>
      </c>
      <c r="B47">
        <v>59</v>
      </c>
      <c r="C47">
        <v>453</v>
      </c>
      <c r="D47">
        <v>0</v>
      </c>
      <c r="E47">
        <v>120</v>
      </c>
      <c r="F47">
        <v>392</v>
      </c>
      <c r="G47" s="12">
        <f>250*3.75</f>
        <v>937.5</v>
      </c>
      <c r="H47" s="12">
        <v>1</v>
      </c>
      <c r="I47" s="12">
        <v>0</v>
      </c>
    </row>
    <row r="48" spans="1:9" x14ac:dyDescent="0.3">
      <c r="A48" s="2">
        <v>43876</v>
      </c>
      <c r="B48" s="3">
        <v>0</v>
      </c>
      <c r="C48" s="3">
        <v>568</v>
      </c>
      <c r="D48" s="3">
        <v>0</v>
      </c>
      <c r="E48" s="3">
        <v>0</v>
      </c>
      <c r="F48" s="3">
        <v>0</v>
      </c>
      <c r="G48" s="3">
        <f>250*7.75</f>
        <v>1937.5</v>
      </c>
      <c r="H48" s="3">
        <v>1</v>
      </c>
      <c r="I48" s="3">
        <v>0</v>
      </c>
    </row>
    <row r="49" spans="1:9" x14ac:dyDescent="0.3">
      <c r="A49" s="2">
        <v>43877</v>
      </c>
      <c r="B49" s="3">
        <v>30</v>
      </c>
      <c r="C49" s="3">
        <v>422</v>
      </c>
      <c r="D49" s="3">
        <v>233</v>
      </c>
      <c r="E49" s="3">
        <v>0</v>
      </c>
      <c r="F49" s="3">
        <v>1974</v>
      </c>
      <c r="G49" s="3">
        <f>250*12.3</f>
        <v>3075</v>
      </c>
      <c r="H49" s="3">
        <v>1</v>
      </c>
      <c r="I49" s="3">
        <v>0</v>
      </c>
    </row>
    <row r="50" spans="1:9" x14ac:dyDescent="0.3">
      <c r="A50" s="1">
        <v>43878</v>
      </c>
      <c r="B50">
        <v>0</v>
      </c>
      <c r="C50">
        <v>363</v>
      </c>
      <c r="D50">
        <v>196</v>
      </c>
      <c r="E50">
        <v>0</v>
      </c>
      <c r="F50">
        <v>2340</v>
      </c>
      <c r="G50" s="12">
        <f>250*10.5</f>
        <v>2625</v>
      </c>
      <c r="H50" s="12">
        <v>0</v>
      </c>
      <c r="I50" s="12">
        <v>0</v>
      </c>
    </row>
    <row r="51" spans="1:9" x14ac:dyDescent="0.3">
      <c r="A51" s="1">
        <v>43879</v>
      </c>
      <c r="B51">
        <v>64</v>
      </c>
      <c r="C51">
        <v>427</v>
      </c>
      <c r="D51">
        <v>115</v>
      </c>
      <c r="E51">
        <f>60 *8</f>
        <v>480</v>
      </c>
      <c r="F51">
        <v>0</v>
      </c>
      <c r="G51" s="12">
        <f>250*9.3</f>
        <v>2325</v>
      </c>
      <c r="H51" s="12">
        <v>0</v>
      </c>
      <c r="I51" s="12">
        <v>1</v>
      </c>
    </row>
    <row r="52" spans="1:9" x14ac:dyDescent="0.3">
      <c r="A52" s="1">
        <v>43880</v>
      </c>
      <c r="B52">
        <v>95</v>
      </c>
      <c r="C52">
        <v>360</v>
      </c>
      <c r="D52">
        <v>163</v>
      </c>
      <c r="E52">
        <f>60 *8</f>
        <v>480</v>
      </c>
      <c r="F52">
        <v>0</v>
      </c>
      <c r="G52" s="12">
        <f>250*14</f>
        <v>3500</v>
      </c>
      <c r="H52" s="12">
        <v>0</v>
      </c>
      <c r="I52" s="12">
        <v>0</v>
      </c>
    </row>
    <row r="53" spans="1:9" x14ac:dyDescent="0.3">
      <c r="A53" s="1">
        <v>43881</v>
      </c>
      <c r="B53">
        <v>0</v>
      </c>
      <c r="C53">
        <v>268</v>
      </c>
      <c r="D53">
        <v>60</v>
      </c>
      <c r="E53">
        <f>60 *8</f>
        <v>480</v>
      </c>
      <c r="F53">
        <v>582</v>
      </c>
      <c r="G53" s="12">
        <f>250*12</f>
        <v>3000</v>
      </c>
      <c r="H53" s="12">
        <v>0</v>
      </c>
      <c r="I53" s="12">
        <v>0</v>
      </c>
    </row>
    <row r="54" spans="1:9" x14ac:dyDescent="0.3">
      <c r="A54" s="1">
        <v>43882</v>
      </c>
      <c r="B54">
        <v>91</v>
      </c>
      <c r="C54">
        <v>507</v>
      </c>
      <c r="D54">
        <v>0</v>
      </c>
      <c r="E54">
        <f>60 *8</f>
        <v>480</v>
      </c>
      <c r="F54">
        <v>0</v>
      </c>
      <c r="G54" s="12">
        <f>250*8</f>
        <v>2000</v>
      </c>
      <c r="H54" s="12">
        <v>0</v>
      </c>
      <c r="I54" s="12">
        <v>1</v>
      </c>
    </row>
    <row r="55" spans="1:9" x14ac:dyDescent="0.3">
      <c r="A55" s="2">
        <v>43883</v>
      </c>
      <c r="B55" s="3">
        <v>30</v>
      </c>
      <c r="C55" s="3">
        <v>431</v>
      </c>
      <c r="D55" s="3">
        <v>0</v>
      </c>
      <c r="E55" s="3">
        <v>0</v>
      </c>
      <c r="F55" s="3">
        <v>0</v>
      </c>
      <c r="G55" s="3">
        <f>250*9.6</f>
        <v>2400</v>
      </c>
      <c r="H55" s="3">
        <v>0</v>
      </c>
      <c r="I55" s="3">
        <v>1</v>
      </c>
    </row>
    <row r="56" spans="1:9" x14ac:dyDescent="0.3">
      <c r="A56" s="2">
        <v>43884</v>
      </c>
      <c r="B56" s="3">
        <v>0</v>
      </c>
      <c r="C56" s="3">
        <v>388</v>
      </c>
      <c r="D56" s="3">
        <v>218</v>
      </c>
      <c r="E56" s="3">
        <v>0</v>
      </c>
      <c r="F56" s="3">
        <v>765</v>
      </c>
      <c r="G56" s="3">
        <f>250*7.25</f>
        <v>1812.5</v>
      </c>
      <c r="H56" s="3">
        <v>0</v>
      </c>
      <c r="I56" s="3">
        <v>0</v>
      </c>
    </row>
    <row r="57" spans="1:9" x14ac:dyDescent="0.3">
      <c r="A57" s="1">
        <v>43885</v>
      </c>
      <c r="B57">
        <v>0</v>
      </c>
      <c r="C57">
        <v>501</v>
      </c>
      <c r="D57">
        <v>0</v>
      </c>
      <c r="E57">
        <f>60 *8</f>
        <v>480</v>
      </c>
      <c r="F57">
        <v>468</v>
      </c>
      <c r="G57" s="12">
        <f>250*8.6</f>
        <v>2150</v>
      </c>
      <c r="H57" s="12">
        <v>0</v>
      </c>
      <c r="I57" s="12">
        <v>0</v>
      </c>
    </row>
    <row r="58" spans="1:9" x14ac:dyDescent="0.3">
      <c r="A58" s="1">
        <v>43886</v>
      </c>
      <c r="B58">
        <v>96</v>
      </c>
      <c r="C58">
        <v>395</v>
      </c>
      <c r="D58">
        <v>163</v>
      </c>
      <c r="E58">
        <f>60 *8</f>
        <v>480</v>
      </c>
      <c r="F58">
        <v>0</v>
      </c>
      <c r="G58" s="12">
        <f>250*8.5</f>
        <v>2125</v>
      </c>
      <c r="H58" s="12">
        <v>0</v>
      </c>
      <c r="I58" s="12">
        <v>1</v>
      </c>
    </row>
    <row r="59" spans="1:9" x14ac:dyDescent="0.3">
      <c r="A59" s="1">
        <v>43887</v>
      </c>
      <c r="B59">
        <v>0</v>
      </c>
      <c r="C59">
        <v>333</v>
      </c>
      <c r="D59">
        <v>48</v>
      </c>
      <c r="E59">
        <f>60 *8</f>
        <v>480</v>
      </c>
      <c r="F59">
        <v>984</v>
      </c>
      <c r="G59" s="12">
        <f>250*10.7</f>
        <v>2675</v>
      </c>
      <c r="H59" s="12">
        <v>0</v>
      </c>
      <c r="I59" s="12">
        <v>0</v>
      </c>
    </row>
    <row r="60" spans="1:9" x14ac:dyDescent="0.3">
      <c r="A60" s="1">
        <v>43888</v>
      </c>
      <c r="B60">
        <v>60</v>
      </c>
      <c r="C60">
        <v>491</v>
      </c>
      <c r="D60">
        <v>137</v>
      </c>
      <c r="E60">
        <f>60 *8</f>
        <v>480</v>
      </c>
      <c r="F60">
        <v>0</v>
      </c>
      <c r="G60" s="12">
        <f>250*11</f>
        <v>2750</v>
      </c>
      <c r="H60" s="12">
        <v>0</v>
      </c>
      <c r="I60" s="12">
        <v>1</v>
      </c>
    </row>
    <row r="61" spans="1:9" x14ac:dyDescent="0.3">
      <c r="A61" s="1">
        <v>43889</v>
      </c>
      <c r="B61">
        <v>88</v>
      </c>
      <c r="C61">
        <v>571</v>
      </c>
      <c r="D61">
        <v>0</v>
      </c>
      <c r="E61">
        <f>60 *8</f>
        <v>480</v>
      </c>
      <c r="F61">
        <v>509</v>
      </c>
      <c r="G61" s="12">
        <f>250*5.8</f>
        <v>1450</v>
      </c>
      <c r="H61" s="12">
        <v>0</v>
      </c>
      <c r="I61" s="12">
        <v>1</v>
      </c>
    </row>
    <row r="62" spans="1:9" x14ac:dyDescent="0.3">
      <c r="A62" s="2">
        <v>43890</v>
      </c>
      <c r="B62" s="3">
        <v>0</v>
      </c>
      <c r="C62" s="3">
        <v>613</v>
      </c>
      <c r="D62" s="3">
        <v>0</v>
      </c>
      <c r="E62" s="3">
        <v>0</v>
      </c>
      <c r="F62" s="3">
        <v>1356</v>
      </c>
      <c r="G62" s="3">
        <f>250*6.6</f>
        <v>1650</v>
      </c>
      <c r="H62" s="3">
        <v>0</v>
      </c>
      <c r="I62" s="3">
        <v>0</v>
      </c>
    </row>
  </sheetData>
  <conditionalFormatting sqref="K3:S1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3F3EA-87C6-4D30-821C-3F8724D0E4C3}">
  <sheetPr>
    <tabColor rgb="FFFFFF00"/>
  </sheetPr>
  <dimension ref="A1:O65"/>
  <sheetViews>
    <sheetView topLeftCell="D46" workbookViewId="0">
      <selection activeCell="L64" sqref="L64"/>
    </sheetView>
  </sheetViews>
  <sheetFormatPr defaultRowHeight="14.4" x14ac:dyDescent="0.3"/>
  <cols>
    <col min="1" max="1" width="9.5546875" bestFit="1" customWidth="1"/>
    <col min="2" max="2" width="26.88671875" bestFit="1" customWidth="1"/>
    <col min="3" max="3" width="15.6640625" customWidth="1"/>
    <col min="4" max="4" width="17.6640625" bestFit="1" customWidth="1"/>
    <col min="5" max="5" width="16.6640625" bestFit="1" customWidth="1"/>
    <col min="6" max="6" width="27.6640625" bestFit="1" customWidth="1"/>
    <col min="7" max="8" width="27.6640625" customWidth="1"/>
    <col min="10" max="10" width="20.6640625" bestFit="1" customWidth="1"/>
    <col min="11" max="11" width="19.44140625" bestFit="1" customWidth="1"/>
    <col min="12" max="12" width="13.33203125" bestFit="1" customWidth="1"/>
    <col min="13" max="13" width="12.6640625" bestFit="1" customWidth="1"/>
  </cols>
  <sheetData>
    <row r="1" spans="1:15" x14ac:dyDescent="0.3">
      <c r="B1" t="s">
        <v>35</v>
      </c>
      <c r="C1" t="s">
        <v>41</v>
      </c>
    </row>
    <row r="2" spans="1:15" x14ac:dyDescent="0.3">
      <c r="A2" t="s">
        <v>6</v>
      </c>
      <c r="B2" s="30" t="s">
        <v>6</v>
      </c>
      <c r="C2" s="30"/>
      <c r="D2" s="30"/>
      <c r="E2" s="30"/>
      <c r="F2" s="30"/>
      <c r="G2" s="13"/>
      <c r="H2" s="13"/>
      <c r="I2" t="s">
        <v>95</v>
      </c>
      <c r="J2" s="20" t="s">
        <v>100</v>
      </c>
      <c r="O2" s="20" t="s">
        <v>6</v>
      </c>
    </row>
    <row r="3" spans="1:15" x14ac:dyDescent="0.3">
      <c r="A3" t="s">
        <v>36</v>
      </c>
      <c r="B3" s="8" t="s">
        <v>42</v>
      </c>
      <c r="E3" s="17" t="s">
        <v>37</v>
      </c>
      <c r="F3" s="17" t="s">
        <v>98</v>
      </c>
      <c r="G3" s="17" t="s">
        <v>38</v>
      </c>
      <c r="H3" s="17" t="s">
        <v>39</v>
      </c>
      <c r="I3" s="17" t="s">
        <v>103</v>
      </c>
      <c r="J3" s="17" t="s">
        <v>40</v>
      </c>
      <c r="K3" s="17" t="s">
        <v>38</v>
      </c>
      <c r="L3" s="17" t="s">
        <v>39</v>
      </c>
    </row>
    <row r="4" spans="1:15" x14ac:dyDescent="0.3">
      <c r="A4" s="18">
        <v>43831</v>
      </c>
      <c r="B4">
        <v>0</v>
      </c>
      <c r="E4">
        <f>MAX(B4:B4) - MIN(B4:B4)</f>
        <v>0</v>
      </c>
      <c r="F4" s="16">
        <f>AVERAGE(E4:E63)</f>
        <v>42.56666666666667</v>
      </c>
      <c r="G4" s="16">
        <f>3.27*F4</f>
        <v>139.19300000000001</v>
      </c>
      <c r="H4" s="16">
        <f>0*F4</f>
        <v>0</v>
      </c>
      <c r="I4" s="12">
        <v>0</v>
      </c>
      <c r="J4" s="16">
        <v>35.32</v>
      </c>
      <c r="K4" s="16">
        <f xml:space="preserve"> J4 + (2.66*F4)</f>
        <v>148.54733333333334</v>
      </c>
      <c r="L4" s="16">
        <f xml:space="preserve"> J4 - (2.66*F4)</f>
        <v>-77.907333333333355</v>
      </c>
    </row>
    <row r="5" spans="1:15" x14ac:dyDescent="0.3">
      <c r="A5" s="18">
        <v>43832</v>
      </c>
      <c r="B5">
        <v>0</v>
      </c>
      <c r="E5">
        <f>ABS(B4-B5)</f>
        <v>0</v>
      </c>
      <c r="F5" s="16">
        <v>42.56666666666667</v>
      </c>
      <c r="G5" s="16">
        <v>139.19300000000001</v>
      </c>
      <c r="H5" s="16">
        <v>0</v>
      </c>
      <c r="I5" s="12">
        <v>0</v>
      </c>
      <c r="J5" s="16">
        <v>35.31666666666667</v>
      </c>
      <c r="K5" s="16">
        <v>148.54733333333334</v>
      </c>
      <c r="L5" s="16">
        <v>-77.907333333333355</v>
      </c>
    </row>
    <row r="6" spans="1:15" x14ac:dyDescent="0.3">
      <c r="A6" s="18">
        <v>43833</v>
      </c>
      <c r="B6">
        <v>0</v>
      </c>
      <c r="E6">
        <f t="shared" ref="E6:E63" si="0">ABS(B5-B6)</f>
        <v>0</v>
      </c>
      <c r="F6" s="16">
        <v>42.56666666666667</v>
      </c>
      <c r="G6" s="16">
        <v>139.19300000000001</v>
      </c>
      <c r="H6" s="16">
        <v>0</v>
      </c>
      <c r="I6" s="12">
        <v>0</v>
      </c>
      <c r="J6" s="16">
        <v>35.31666666666667</v>
      </c>
      <c r="K6" s="16">
        <v>148.54733333333334</v>
      </c>
      <c r="L6" s="16">
        <v>-77.907333333333355</v>
      </c>
    </row>
    <row r="7" spans="1:15" x14ac:dyDescent="0.3">
      <c r="A7" s="19">
        <v>43834</v>
      </c>
      <c r="B7" s="3">
        <v>0</v>
      </c>
      <c r="E7">
        <f t="shared" si="0"/>
        <v>0</v>
      </c>
      <c r="F7" s="16">
        <v>42.56666666666667</v>
      </c>
      <c r="G7" s="16">
        <v>139.19300000000001</v>
      </c>
      <c r="H7" s="16">
        <v>0</v>
      </c>
      <c r="I7" s="12">
        <v>0</v>
      </c>
      <c r="J7" s="16">
        <v>35.31666666666667</v>
      </c>
      <c r="K7" s="16">
        <v>148.54733333333334</v>
      </c>
      <c r="L7" s="16">
        <v>-77.907333333333355</v>
      </c>
    </row>
    <row r="8" spans="1:15" x14ac:dyDescent="0.3">
      <c r="A8" s="19">
        <v>43835</v>
      </c>
      <c r="B8" s="3">
        <v>0</v>
      </c>
      <c r="E8">
        <f t="shared" si="0"/>
        <v>0</v>
      </c>
      <c r="F8" s="16">
        <v>42.56666666666667</v>
      </c>
      <c r="G8" s="16">
        <v>139.19300000000001</v>
      </c>
      <c r="H8" s="16">
        <v>0</v>
      </c>
      <c r="I8" s="12">
        <v>0</v>
      </c>
      <c r="J8" s="16">
        <v>35.31666666666667</v>
      </c>
      <c r="K8" s="16">
        <v>148.54733333333334</v>
      </c>
      <c r="L8" s="16">
        <v>-77.907333333333355</v>
      </c>
    </row>
    <row r="9" spans="1:15" x14ac:dyDescent="0.3">
      <c r="A9" s="18">
        <v>43836</v>
      </c>
      <c r="B9">
        <v>60</v>
      </c>
      <c r="E9">
        <f t="shared" si="0"/>
        <v>60</v>
      </c>
      <c r="F9" s="16">
        <v>42.56666666666667</v>
      </c>
      <c r="G9" s="16">
        <v>139.19300000000001</v>
      </c>
      <c r="H9" s="16">
        <v>0</v>
      </c>
      <c r="I9" s="12">
        <v>60</v>
      </c>
      <c r="J9" s="16">
        <v>35.31666666666667</v>
      </c>
      <c r="K9" s="16">
        <v>148.54733333333334</v>
      </c>
      <c r="L9" s="16">
        <v>-77.907333333333355</v>
      </c>
    </row>
    <row r="10" spans="1:15" x14ac:dyDescent="0.3">
      <c r="A10" s="18">
        <v>43837</v>
      </c>
      <c r="B10">
        <v>93</v>
      </c>
      <c r="E10">
        <f t="shared" si="0"/>
        <v>33</v>
      </c>
      <c r="F10" s="16">
        <v>42.56666666666667</v>
      </c>
      <c r="G10" s="16">
        <v>139.19300000000001</v>
      </c>
      <c r="H10" s="16">
        <v>0</v>
      </c>
      <c r="I10" s="12">
        <v>93</v>
      </c>
      <c r="J10" s="16">
        <v>35.31666666666667</v>
      </c>
      <c r="K10" s="16">
        <v>148.54733333333334</v>
      </c>
      <c r="L10" s="16">
        <v>-77.907333333333355</v>
      </c>
    </row>
    <row r="11" spans="1:15" x14ac:dyDescent="0.3">
      <c r="A11" s="18">
        <v>43838</v>
      </c>
      <c r="B11">
        <v>184</v>
      </c>
      <c r="E11">
        <f t="shared" si="0"/>
        <v>91</v>
      </c>
      <c r="F11" s="16">
        <v>42.56666666666667</v>
      </c>
      <c r="G11" s="16">
        <v>139.19300000000001</v>
      </c>
      <c r="H11" s="16">
        <v>0</v>
      </c>
      <c r="I11" s="12">
        <v>184</v>
      </c>
      <c r="J11" s="16">
        <v>35.31666666666667</v>
      </c>
      <c r="K11" s="16">
        <v>148.54733333333334</v>
      </c>
      <c r="L11" s="16">
        <v>-77.907333333333355</v>
      </c>
    </row>
    <row r="12" spans="1:15" x14ac:dyDescent="0.3">
      <c r="A12" s="18">
        <v>43839</v>
      </c>
      <c r="B12">
        <v>0</v>
      </c>
      <c r="E12">
        <f t="shared" si="0"/>
        <v>184</v>
      </c>
      <c r="F12" s="16">
        <v>42.56666666666667</v>
      </c>
      <c r="G12" s="16">
        <v>139.19300000000001</v>
      </c>
      <c r="H12" s="16">
        <v>0</v>
      </c>
      <c r="I12" s="12">
        <v>0</v>
      </c>
      <c r="J12" s="16">
        <v>35.31666666666667</v>
      </c>
      <c r="K12" s="16">
        <v>148.54733333333334</v>
      </c>
      <c r="L12" s="16">
        <v>-77.907333333333355</v>
      </c>
    </row>
    <row r="13" spans="1:15" x14ac:dyDescent="0.3">
      <c r="A13" s="18">
        <v>43840</v>
      </c>
      <c r="B13">
        <v>0</v>
      </c>
      <c r="E13">
        <f t="shared" si="0"/>
        <v>0</v>
      </c>
      <c r="F13" s="16">
        <v>42.56666666666667</v>
      </c>
      <c r="G13" s="16">
        <v>139.19300000000001</v>
      </c>
      <c r="H13" s="16">
        <v>0</v>
      </c>
      <c r="I13" s="12">
        <v>0</v>
      </c>
      <c r="J13" s="16">
        <v>35.31666666666667</v>
      </c>
      <c r="K13" s="16">
        <v>148.54733333333334</v>
      </c>
      <c r="L13" s="16">
        <v>-77.907333333333355</v>
      </c>
    </row>
    <row r="14" spans="1:15" x14ac:dyDescent="0.3">
      <c r="A14" s="19">
        <v>43841</v>
      </c>
      <c r="B14" s="3">
        <v>20</v>
      </c>
      <c r="E14">
        <f t="shared" si="0"/>
        <v>20</v>
      </c>
      <c r="F14" s="16">
        <v>42.56666666666667</v>
      </c>
      <c r="G14" s="16">
        <v>139.19300000000001</v>
      </c>
      <c r="H14" s="16">
        <v>0</v>
      </c>
      <c r="I14" s="12">
        <v>20</v>
      </c>
      <c r="J14" s="16">
        <v>35.31666666666667</v>
      </c>
      <c r="K14" s="16">
        <v>148.54733333333334</v>
      </c>
      <c r="L14" s="16">
        <v>-77.907333333333355</v>
      </c>
    </row>
    <row r="15" spans="1:15" x14ac:dyDescent="0.3">
      <c r="A15" s="19">
        <v>43842</v>
      </c>
      <c r="B15" s="3">
        <v>30</v>
      </c>
      <c r="E15">
        <f t="shared" si="0"/>
        <v>10</v>
      </c>
      <c r="F15" s="16">
        <v>42.56666666666667</v>
      </c>
      <c r="G15" s="16">
        <v>139.19300000000001</v>
      </c>
      <c r="H15" s="16">
        <v>0</v>
      </c>
      <c r="I15" s="12">
        <v>30</v>
      </c>
      <c r="J15" s="16">
        <v>35.31666666666667</v>
      </c>
      <c r="K15" s="16">
        <v>148.54733333333334</v>
      </c>
      <c r="L15" s="16">
        <v>-77.907333333333355</v>
      </c>
    </row>
    <row r="16" spans="1:15" x14ac:dyDescent="0.3">
      <c r="A16" s="18">
        <v>43843</v>
      </c>
      <c r="B16">
        <v>0</v>
      </c>
      <c r="E16">
        <f t="shared" si="0"/>
        <v>30</v>
      </c>
      <c r="F16" s="16">
        <v>42.56666666666667</v>
      </c>
      <c r="G16" s="16">
        <v>139.19300000000001</v>
      </c>
      <c r="H16" s="16">
        <v>0</v>
      </c>
      <c r="I16" s="12">
        <v>0</v>
      </c>
      <c r="J16" s="16">
        <v>35.31666666666667</v>
      </c>
      <c r="K16" s="16">
        <v>148.54733333333334</v>
      </c>
      <c r="L16" s="16">
        <v>-77.907333333333355</v>
      </c>
    </row>
    <row r="17" spans="1:12" x14ac:dyDescent="0.3">
      <c r="A17" s="18">
        <v>43844</v>
      </c>
      <c r="B17">
        <v>62</v>
      </c>
      <c r="E17">
        <f t="shared" si="0"/>
        <v>62</v>
      </c>
      <c r="F17" s="16">
        <v>42.56666666666667</v>
      </c>
      <c r="G17" s="16">
        <v>139.19300000000001</v>
      </c>
      <c r="H17" s="16">
        <v>0</v>
      </c>
      <c r="I17" s="12">
        <v>62</v>
      </c>
      <c r="J17" s="16">
        <v>35.31666666666667</v>
      </c>
      <c r="K17" s="16">
        <v>148.54733333333334</v>
      </c>
      <c r="L17" s="16">
        <v>-77.907333333333355</v>
      </c>
    </row>
    <row r="18" spans="1:12" x14ac:dyDescent="0.3">
      <c r="A18" s="18">
        <v>43845</v>
      </c>
      <c r="B18">
        <v>197</v>
      </c>
      <c r="E18">
        <f t="shared" si="0"/>
        <v>135</v>
      </c>
      <c r="F18" s="16">
        <v>42.56666666666667</v>
      </c>
      <c r="G18" s="16">
        <v>139.19300000000001</v>
      </c>
      <c r="H18" s="16">
        <v>0</v>
      </c>
      <c r="I18" s="12">
        <v>197</v>
      </c>
      <c r="J18" s="16">
        <v>35.31666666666667</v>
      </c>
      <c r="K18" s="16">
        <v>148.54733333333334</v>
      </c>
      <c r="L18" s="16">
        <v>-77.907333333333355</v>
      </c>
    </row>
    <row r="19" spans="1:12" x14ac:dyDescent="0.3">
      <c r="A19" s="18">
        <v>43846</v>
      </c>
      <c r="B19">
        <v>0</v>
      </c>
      <c r="E19">
        <f t="shared" si="0"/>
        <v>197</v>
      </c>
      <c r="F19" s="16">
        <v>42.56666666666667</v>
      </c>
      <c r="G19" s="16">
        <v>139.19300000000001</v>
      </c>
      <c r="H19" s="16">
        <v>0</v>
      </c>
      <c r="I19" s="12">
        <v>0</v>
      </c>
      <c r="J19" s="16">
        <v>35.31666666666667</v>
      </c>
      <c r="K19" s="16">
        <v>148.54733333333334</v>
      </c>
      <c r="L19" s="16">
        <v>-77.907333333333355</v>
      </c>
    </row>
    <row r="20" spans="1:12" x14ac:dyDescent="0.3">
      <c r="A20" s="18">
        <v>43847</v>
      </c>
      <c r="B20">
        <v>0</v>
      </c>
      <c r="E20">
        <f t="shared" si="0"/>
        <v>0</v>
      </c>
      <c r="F20" s="16">
        <v>42.56666666666667</v>
      </c>
      <c r="G20" s="16">
        <v>139.19300000000001</v>
      </c>
      <c r="H20" s="16">
        <v>0</v>
      </c>
      <c r="I20" s="12">
        <v>0</v>
      </c>
      <c r="J20" s="16">
        <v>35.31666666666667</v>
      </c>
      <c r="K20" s="16">
        <v>148.54733333333334</v>
      </c>
      <c r="L20" s="16">
        <v>-77.907333333333355</v>
      </c>
    </row>
    <row r="21" spans="1:12" x14ac:dyDescent="0.3">
      <c r="A21" s="19">
        <v>43848</v>
      </c>
      <c r="B21" s="3">
        <v>0</v>
      </c>
      <c r="E21">
        <f t="shared" si="0"/>
        <v>0</v>
      </c>
      <c r="F21" s="16">
        <v>42.56666666666667</v>
      </c>
      <c r="G21" s="16">
        <v>139.19300000000001</v>
      </c>
      <c r="H21" s="16">
        <v>0</v>
      </c>
      <c r="I21" s="12">
        <v>0</v>
      </c>
      <c r="J21" s="16">
        <v>35.31666666666667</v>
      </c>
      <c r="K21" s="16">
        <v>148.54733333333334</v>
      </c>
      <c r="L21" s="16">
        <v>-77.907333333333355</v>
      </c>
    </row>
    <row r="22" spans="1:12" x14ac:dyDescent="0.3">
      <c r="A22" s="19">
        <v>43849</v>
      </c>
      <c r="B22" s="3">
        <v>0</v>
      </c>
      <c r="E22">
        <f t="shared" si="0"/>
        <v>0</v>
      </c>
      <c r="F22" s="16">
        <v>42.56666666666667</v>
      </c>
      <c r="G22" s="16">
        <v>139.19300000000001</v>
      </c>
      <c r="H22" s="16">
        <v>0</v>
      </c>
      <c r="I22" s="12">
        <v>0</v>
      </c>
      <c r="J22" s="16">
        <v>35.31666666666667</v>
      </c>
      <c r="K22" s="16">
        <v>148.54733333333334</v>
      </c>
      <c r="L22" s="16">
        <v>-77.907333333333355</v>
      </c>
    </row>
    <row r="23" spans="1:12" x14ac:dyDescent="0.3">
      <c r="A23" s="18">
        <v>43850</v>
      </c>
      <c r="B23">
        <v>63</v>
      </c>
      <c r="E23">
        <f t="shared" si="0"/>
        <v>63</v>
      </c>
      <c r="F23" s="16">
        <v>42.56666666666667</v>
      </c>
      <c r="G23" s="16">
        <v>139.19300000000001</v>
      </c>
      <c r="H23" s="16">
        <v>0</v>
      </c>
      <c r="I23" s="12">
        <v>63</v>
      </c>
      <c r="J23" s="16">
        <v>35.31666666666667</v>
      </c>
      <c r="K23" s="16">
        <v>148.54733333333334</v>
      </c>
      <c r="L23" s="16">
        <v>-77.907333333333355</v>
      </c>
    </row>
    <row r="24" spans="1:12" x14ac:dyDescent="0.3">
      <c r="A24" s="18">
        <v>43851</v>
      </c>
      <c r="B24">
        <v>57</v>
      </c>
      <c r="E24">
        <f t="shared" si="0"/>
        <v>6</v>
      </c>
      <c r="F24" s="16">
        <v>42.56666666666667</v>
      </c>
      <c r="G24" s="16">
        <v>139.19300000000001</v>
      </c>
      <c r="H24" s="16">
        <v>0</v>
      </c>
      <c r="I24" s="12">
        <v>57</v>
      </c>
      <c r="J24" s="16">
        <v>35.31666666666667</v>
      </c>
      <c r="K24" s="16">
        <v>148.54733333333334</v>
      </c>
      <c r="L24" s="16">
        <v>-77.907333333333355</v>
      </c>
    </row>
    <row r="25" spans="1:12" x14ac:dyDescent="0.3">
      <c r="A25" s="18">
        <v>43852</v>
      </c>
      <c r="B25">
        <v>204</v>
      </c>
      <c r="E25">
        <f t="shared" si="0"/>
        <v>147</v>
      </c>
      <c r="F25" s="16">
        <v>42.56666666666667</v>
      </c>
      <c r="G25" s="16">
        <v>139.19300000000001</v>
      </c>
      <c r="H25" s="16">
        <v>0</v>
      </c>
      <c r="I25" s="12">
        <v>204</v>
      </c>
      <c r="J25" s="16">
        <v>35.31666666666667</v>
      </c>
      <c r="K25" s="16">
        <v>148.54733333333334</v>
      </c>
      <c r="L25" s="16">
        <v>-77.907333333333355</v>
      </c>
    </row>
    <row r="26" spans="1:12" x14ac:dyDescent="0.3">
      <c r="A26" s="18">
        <v>43853</v>
      </c>
      <c r="B26">
        <v>0</v>
      </c>
      <c r="E26">
        <f t="shared" si="0"/>
        <v>204</v>
      </c>
      <c r="F26" s="16">
        <v>42.56666666666667</v>
      </c>
      <c r="G26" s="16">
        <v>139.19300000000001</v>
      </c>
      <c r="H26" s="16">
        <v>0</v>
      </c>
      <c r="I26" s="12">
        <v>0</v>
      </c>
      <c r="J26" s="16">
        <v>35.31666666666667</v>
      </c>
      <c r="K26" s="16">
        <v>148.54733333333334</v>
      </c>
      <c r="L26" s="16">
        <v>-77.907333333333355</v>
      </c>
    </row>
    <row r="27" spans="1:12" x14ac:dyDescent="0.3">
      <c r="A27" s="18">
        <v>43854</v>
      </c>
      <c r="B27">
        <v>127</v>
      </c>
      <c r="E27">
        <f t="shared" si="0"/>
        <v>127</v>
      </c>
      <c r="F27" s="16">
        <v>42.56666666666667</v>
      </c>
      <c r="G27" s="16">
        <v>139.19300000000001</v>
      </c>
      <c r="H27" s="16">
        <v>0</v>
      </c>
      <c r="I27" s="12">
        <v>127</v>
      </c>
      <c r="J27" s="16">
        <v>35.31666666666667</v>
      </c>
      <c r="K27" s="16">
        <v>148.54733333333334</v>
      </c>
      <c r="L27" s="16">
        <v>-77.907333333333355</v>
      </c>
    </row>
    <row r="28" spans="1:12" x14ac:dyDescent="0.3">
      <c r="A28" s="19">
        <v>43855</v>
      </c>
      <c r="B28" s="3">
        <v>60</v>
      </c>
      <c r="E28">
        <f t="shared" si="0"/>
        <v>67</v>
      </c>
      <c r="F28" s="16">
        <v>42.56666666666667</v>
      </c>
      <c r="G28" s="16">
        <v>139.19300000000001</v>
      </c>
      <c r="H28" s="16">
        <v>0</v>
      </c>
      <c r="I28" s="12">
        <v>60</v>
      </c>
      <c r="J28" s="16">
        <v>35.31666666666667</v>
      </c>
      <c r="K28" s="16">
        <v>148.54733333333334</v>
      </c>
      <c r="L28" s="16">
        <v>-77.907333333333355</v>
      </c>
    </row>
    <row r="29" spans="1:12" x14ac:dyDescent="0.3">
      <c r="A29" s="19">
        <v>43856</v>
      </c>
      <c r="B29" s="3">
        <v>60</v>
      </c>
      <c r="E29">
        <f t="shared" si="0"/>
        <v>0</v>
      </c>
      <c r="F29" s="16">
        <v>42.56666666666667</v>
      </c>
      <c r="G29" s="16">
        <v>139.19300000000001</v>
      </c>
      <c r="H29" s="16">
        <v>0</v>
      </c>
      <c r="I29" s="12">
        <v>60</v>
      </c>
      <c r="J29" s="16">
        <v>35.31666666666667</v>
      </c>
      <c r="K29" s="16">
        <v>148.54733333333334</v>
      </c>
      <c r="L29" s="16">
        <v>-77.907333333333355</v>
      </c>
    </row>
    <row r="30" spans="1:12" x14ac:dyDescent="0.3">
      <c r="A30" s="18">
        <v>43857</v>
      </c>
      <c r="B30">
        <v>87</v>
      </c>
      <c r="E30">
        <f t="shared" si="0"/>
        <v>27</v>
      </c>
      <c r="F30" s="16">
        <v>42.56666666666667</v>
      </c>
      <c r="G30" s="16">
        <v>139.19300000000001</v>
      </c>
      <c r="H30" s="16">
        <v>0</v>
      </c>
      <c r="I30" s="12">
        <v>87</v>
      </c>
      <c r="J30" s="16">
        <v>35.31666666666667</v>
      </c>
      <c r="K30" s="16">
        <v>148.54733333333334</v>
      </c>
      <c r="L30" s="16">
        <v>-77.907333333333355</v>
      </c>
    </row>
    <row r="31" spans="1:12" x14ac:dyDescent="0.3">
      <c r="A31" s="18">
        <v>43858</v>
      </c>
      <c r="B31">
        <v>0</v>
      </c>
      <c r="E31">
        <f t="shared" si="0"/>
        <v>87</v>
      </c>
      <c r="F31" s="16">
        <v>42.56666666666667</v>
      </c>
      <c r="G31" s="16">
        <v>139.19300000000001</v>
      </c>
      <c r="H31" s="16">
        <v>0</v>
      </c>
      <c r="I31" s="12">
        <v>0</v>
      </c>
      <c r="J31" s="16">
        <v>35.31666666666667</v>
      </c>
      <c r="K31" s="16">
        <v>148.54733333333334</v>
      </c>
      <c r="L31" s="16">
        <v>-77.907333333333355</v>
      </c>
    </row>
    <row r="32" spans="1:12" x14ac:dyDescent="0.3">
      <c r="A32" s="18">
        <v>43859</v>
      </c>
      <c r="B32">
        <v>0</v>
      </c>
      <c r="E32">
        <f t="shared" si="0"/>
        <v>0</v>
      </c>
      <c r="F32" s="16">
        <v>42.56666666666667</v>
      </c>
      <c r="G32" s="16">
        <v>139.19300000000001</v>
      </c>
      <c r="H32" s="16">
        <v>0</v>
      </c>
      <c r="I32" s="12">
        <v>0</v>
      </c>
      <c r="J32" s="16">
        <v>35.31666666666667</v>
      </c>
      <c r="K32" s="16">
        <v>148.54733333333334</v>
      </c>
      <c r="L32" s="16">
        <v>-77.907333333333355</v>
      </c>
    </row>
    <row r="33" spans="1:12" x14ac:dyDescent="0.3">
      <c r="A33" s="18">
        <v>43860</v>
      </c>
      <c r="B33">
        <v>0</v>
      </c>
      <c r="E33">
        <f t="shared" si="0"/>
        <v>0</v>
      </c>
      <c r="F33" s="16">
        <v>42.56666666666667</v>
      </c>
      <c r="G33" s="16">
        <v>139.19300000000001</v>
      </c>
      <c r="H33" s="16">
        <v>0</v>
      </c>
      <c r="I33" s="12">
        <v>0</v>
      </c>
      <c r="J33" s="16">
        <v>35.31666666666667</v>
      </c>
      <c r="K33" s="16">
        <v>148.54733333333334</v>
      </c>
      <c r="L33" s="16">
        <v>-77.907333333333355</v>
      </c>
    </row>
    <row r="34" spans="1:12" x14ac:dyDescent="0.3">
      <c r="A34" s="18">
        <v>43861</v>
      </c>
      <c r="B34">
        <v>0</v>
      </c>
      <c r="E34">
        <f t="shared" si="0"/>
        <v>0</v>
      </c>
      <c r="F34" s="16">
        <v>42.56666666666667</v>
      </c>
      <c r="G34" s="16">
        <v>139.19300000000001</v>
      </c>
      <c r="H34" s="16">
        <v>0</v>
      </c>
      <c r="I34" s="12">
        <v>0</v>
      </c>
      <c r="J34" s="16">
        <v>35.31666666666667</v>
      </c>
      <c r="K34" s="16">
        <v>148.54733333333334</v>
      </c>
      <c r="L34" s="16">
        <v>-77.907333333333355</v>
      </c>
    </row>
    <row r="35" spans="1:12" x14ac:dyDescent="0.3">
      <c r="A35" s="19">
        <v>43862</v>
      </c>
      <c r="B35" s="3">
        <v>0</v>
      </c>
      <c r="E35">
        <f t="shared" si="0"/>
        <v>0</v>
      </c>
      <c r="F35" s="16">
        <v>42.56666666666667</v>
      </c>
      <c r="G35" s="16">
        <v>139.19300000000001</v>
      </c>
      <c r="H35" s="16">
        <v>0</v>
      </c>
      <c r="I35" s="12">
        <v>0</v>
      </c>
      <c r="J35" s="16">
        <v>35.31666666666667</v>
      </c>
      <c r="K35" s="16">
        <v>148.54733333333334</v>
      </c>
      <c r="L35" s="16">
        <v>-77.907333333333355</v>
      </c>
    </row>
    <row r="36" spans="1:12" x14ac:dyDescent="0.3">
      <c r="A36" s="19">
        <v>43863</v>
      </c>
      <c r="B36" s="3">
        <v>0</v>
      </c>
      <c r="E36">
        <f t="shared" si="0"/>
        <v>0</v>
      </c>
      <c r="F36" s="16">
        <v>42.56666666666667</v>
      </c>
      <c r="G36" s="16">
        <v>139.19300000000001</v>
      </c>
      <c r="H36" s="16">
        <v>0</v>
      </c>
      <c r="I36" s="12">
        <v>0</v>
      </c>
      <c r="J36" s="16">
        <v>35.31666666666667</v>
      </c>
      <c r="K36" s="16">
        <v>148.54733333333334</v>
      </c>
      <c r="L36" s="16">
        <v>-77.907333333333355</v>
      </c>
    </row>
    <row r="37" spans="1:12" x14ac:dyDescent="0.3">
      <c r="A37" s="18">
        <v>43864</v>
      </c>
      <c r="B37">
        <v>0</v>
      </c>
      <c r="E37">
        <f t="shared" si="0"/>
        <v>0</v>
      </c>
      <c r="F37" s="16">
        <v>42.56666666666667</v>
      </c>
      <c r="G37" s="16">
        <v>139.19300000000001</v>
      </c>
      <c r="H37" s="16">
        <v>0</v>
      </c>
      <c r="I37" s="12">
        <v>0</v>
      </c>
      <c r="J37" s="16">
        <v>35.31666666666667</v>
      </c>
      <c r="K37" s="16">
        <v>148.54733333333334</v>
      </c>
      <c r="L37" s="16">
        <v>-77.907333333333355</v>
      </c>
    </row>
    <row r="38" spans="1:12" x14ac:dyDescent="0.3">
      <c r="A38" s="18">
        <v>43865</v>
      </c>
      <c r="B38">
        <v>0</v>
      </c>
      <c r="E38">
        <f t="shared" si="0"/>
        <v>0</v>
      </c>
      <c r="F38" s="16">
        <v>42.56666666666667</v>
      </c>
      <c r="G38" s="16">
        <v>139.19300000000001</v>
      </c>
      <c r="H38" s="16">
        <v>0</v>
      </c>
      <c r="I38" s="12">
        <v>0</v>
      </c>
      <c r="J38" s="16">
        <v>35.31666666666667</v>
      </c>
      <c r="K38" s="16">
        <v>148.54733333333334</v>
      </c>
      <c r="L38" s="16">
        <v>-77.907333333333355</v>
      </c>
    </row>
    <row r="39" spans="1:12" x14ac:dyDescent="0.3">
      <c r="A39" s="18">
        <v>43866</v>
      </c>
      <c r="B39">
        <v>0</v>
      </c>
      <c r="E39">
        <f t="shared" si="0"/>
        <v>0</v>
      </c>
      <c r="F39" s="16">
        <v>42.56666666666667</v>
      </c>
      <c r="G39" s="16">
        <v>139.19300000000001</v>
      </c>
      <c r="H39" s="16">
        <v>0</v>
      </c>
      <c r="I39" s="12">
        <v>0</v>
      </c>
      <c r="J39" s="16">
        <v>35.31666666666667</v>
      </c>
      <c r="K39" s="16">
        <v>148.54733333333334</v>
      </c>
      <c r="L39" s="16">
        <v>-77.907333333333355</v>
      </c>
    </row>
    <row r="40" spans="1:12" x14ac:dyDescent="0.3">
      <c r="A40" s="18">
        <v>43867</v>
      </c>
      <c r="B40">
        <v>0</v>
      </c>
      <c r="E40">
        <f t="shared" si="0"/>
        <v>0</v>
      </c>
      <c r="F40" s="16">
        <v>42.56666666666667</v>
      </c>
      <c r="G40" s="16">
        <v>139.19300000000001</v>
      </c>
      <c r="H40" s="16">
        <v>0</v>
      </c>
      <c r="I40" s="12">
        <v>0</v>
      </c>
      <c r="J40" s="16">
        <v>35.31666666666667</v>
      </c>
      <c r="K40" s="16">
        <v>148.54733333333334</v>
      </c>
      <c r="L40" s="16">
        <v>-77.907333333333355</v>
      </c>
    </row>
    <row r="41" spans="1:12" x14ac:dyDescent="0.3">
      <c r="A41" s="18">
        <v>43868</v>
      </c>
      <c r="B41">
        <v>25</v>
      </c>
      <c r="E41">
        <f t="shared" si="0"/>
        <v>25</v>
      </c>
      <c r="F41" s="16">
        <v>42.56666666666667</v>
      </c>
      <c r="G41" s="16">
        <v>139.19300000000001</v>
      </c>
      <c r="H41" s="16">
        <v>0</v>
      </c>
      <c r="I41" s="12">
        <v>25</v>
      </c>
      <c r="J41" s="16">
        <v>35.31666666666667</v>
      </c>
      <c r="K41" s="16">
        <v>148.54733333333334</v>
      </c>
      <c r="L41" s="16">
        <v>-77.907333333333355</v>
      </c>
    </row>
    <row r="42" spans="1:12" x14ac:dyDescent="0.3">
      <c r="A42" s="19">
        <v>43869</v>
      </c>
      <c r="B42" s="3">
        <v>20</v>
      </c>
      <c r="E42">
        <f t="shared" si="0"/>
        <v>5</v>
      </c>
      <c r="F42" s="16">
        <v>42.56666666666667</v>
      </c>
      <c r="G42" s="16">
        <v>139.19300000000001</v>
      </c>
      <c r="H42" s="16">
        <v>0</v>
      </c>
      <c r="I42" s="12">
        <v>20</v>
      </c>
      <c r="J42" s="16">
        <v>35.31666666666667</v>
      </c>
      <c r="K42" s="16">
        <v>148.54733333333334</v>
      </c>
      <c r="L42" s="16">
        <v>-77.907333333333355</v>
      </c>
    </row>
    <row r="43" spans="1:12" x14ac:dyDescent="0.3">
      <c r="A43" s="19">
        <v>43870</v>
      </c>
      <c r="B43" s="3">
        <v>32</v>
      </c>
      <c r="E43">
        <f t="shared" si="0"/>
        <v>12</v>
      </c>
      <c r="F43" s="16">
        <v>42.56666666666667</v>
      </c>
      <c r="G43" s="16">
        <v>139.19300000000001</v>
      </c>
      <c r="H43" s="16">
        <v>0</v>
      </c>
      <c r="I43" s="12">
        <v>32</v>
      </c>
      <c r="J43" s="16">
        <v>35.31666666666667</v>
      </c>
      <c r="K43" s="16">
        <v>148.54733333333334</v>
      </c>
      <c r="L43" s="16">
        <v>-77.907333333333355</v>
      </c>
    </row>
    <row r="44" spans="1:12" x14ac:dyDescent="0.3">
      <c r="A44" s="18">
        <v>43871</v>
      </c>
      <c r="B44">
        <v>0</v>
      </c>
      <c r="E44">
        <f t="shared" si="0"/>
        <v>32</v>
      </c>
      <c r="F44" s="16">
        <v>42.56666666666667</v>
      </c>
      <c r="G44" s="16">
        <v>139.19300000000001</v>
      </c>
      <c r="H44" s="16">
        <v>0</v>
      </c>
      <c r="I44" s="12">
        <v>0</v>
      </c>
      <c r="J44" s="16">
        <v>35.31666666666667</v>
      </c>
      <c r="K44" s="16">
        <v>148.54733333333334</v>
      </c>
      <c r="L44" s="16">
        <v>-77.907333333333355</v>
      </c>
    </row>
    <row r="45" spans="1:12" x14ac:dyDescent="0.3">
      <c r="A45" s="18">
        <v>43872</v>
      </c>
      <c r="B45">
        <v>0</v>
      </c>
      <c r="E45">
        <f t="shared" si="0"/>
        <v>0</v>
      </c>
      <c r="F45" s="16">
        <v>42.56666666666667</v>
      </c>
      <c r="G45" s="16">
        <v>139.19300000000001</v>
      </c>
      <c r="H45" s="16">
        <v>0</v>
      </c>
      <c r="I45" s="12">
        <v>0</v>
      </c>
      <c r="J45" s="16">
        <v>35.31666666666667</v>
      </c>
      <c r="K45" s="16">
        <v>148.54733333333334</v>
      </c>
      <c r="L45" s="16">
        <v>-77.907333333333355</v>
      </c>
    </row>
    <row r="46" spans="1:12" x14ac:dyDescent="0.3">
      <c r="A46" s="18">
        <v>43873</v>
      </c>
      <c r="B46">
        <v>65</v>
      </c>
      <c r="E46">
        <f t="shared" si="0"/>
        <v>65</v>
      </c>
      <c r="F46" s="16">
        <v>42.56666666666667</v>
      </c>
      <c r="G46" s="16">
        <v>139.19300000000001</v>
      </c>
      <c r="H46" s="16">
        <v>0</v>
      </c>
      <c r="I46" s="12">
        <v>65</v>
      </c>
      <c r="J46" s="16">
        <v>35.31666666666667</v>
      </c>
      <c r="K46" s="16">
        <v>148.54733333333334</v>
      </c>
      <c r="L46" s="16">
        <v>-77.907333333333355</v>
      </c>
    </row>
    <row r="47" spans="1:12" x14ac:dyDescent="0.3">
      <c r="A47" s="18">
        <v>43874</v>
      </c>
      <c r="B47">
        <v>60</v>
      </c>
      <c r="E47">
        <f t="shared" si="0"/>
        <v>5</v>
      </c>
      <c r="F47" s="16">
        <v>42.56666666666667</v>
      </c>
      <c r="G47" s="16">
        <v>139.19300000000001</v>
      </c>
      <c r="H47" s="16">
        <v>0</v>
      </c>
      <c r="I47" s="12">
        <v>60</v>
      </c>
      <c r="J47" s="16">
        <v>35.31666666666667</v>
      </c>
      <c r="K47" s="16">
        <v>148.54733333333334</v>
      </c>
      <c r="L47" s="16">
        <v>-77.907333333333355</v>
      </c>
    </row>
    <row r="48" spans="1:12" x14ac:dyDescent="0.3">
      <c r="A48" s="18">
        <v>43875</v>
      </c>
      <c r="B48">
        <v>59</v>
      </c>
      <c r="E48">
        <f t="shared" si="0"/>
        <v>1</v>
      </c>
      <c r="F48" s="16">
        <v>42.56666666666667</v>
      </c>
      <c r="G48" s="16">
        <v>139.19300000000001</v>
      </c>
      <c r="H48" s="16">
        <v>0</v>
      </c>
      <c r="I48" s="12">
        <v>59</v>
      </c>
      <c r="J48" s="16">
        <v>35.31666666666667</v>
      </c>
      <c r="K48" s="16">
        <v>148.54733333333334</v>
      </c>
      <c r="L48" s="16">
        <v>-77.907333333333355</v>
      </c>
    </row>
    <row r="49" spans="1:12" x14ac:dyDescent="0.3">
      <c r="A49" s="19">
        <v>43876</v>
      </c>
      <c r="B49" s="3">
        <v>0</v>
      </c>
      <c r="E49">
        <f t="shared" si="0"/>
        <v>59</v>
      </c>
      <c r="F49" s="16">
        <v>42.56666666666667</v>
      </c>
      <c r="G49" s="16">
        <v>139.19300000000001</v>
      </c>
      <c r="H49" s="16">
        <v>0</v>
      </c>
      <c r="I49" s="12">
        <v>0</v>
      </c>
      <c r="J49" s="16">
        <v>35.31666666666667</v>
      </c>
      <c r="K49" s="16">
        <v>148.54733333333334</v>
      </c>
      <c r="L49" s="16">
        <v>-77.907333333333355</v>
      </c>
    </row>
    <row r="50" spans="1:12" x14ac:dyDescent="0.3">
      <c r="A50" s="19">
        <v>43877</v>
      </c>
      <c r="B50" s="3">
        <v>30</v>
      </c>
      <c r="E50">
        <f t="shared" si="0"/>
        <v>30</v>
      </c>
      <c r="F50" s="16">
        <v>42.56666666666667</v>
      </c>
      <c r="G50" s="16">
        <v>139.19300000000001</v>
      </c>
      <c r="H50" s="16">
        <v>0</v>
      </c>
      <c r="I50" s="12">
        <v>30</v>
      </c>
      <c r="J50" s="16">
        <v>35.31666666666667</v>
      </c>
      <c r="K50" s="16">
        <v>148.54733333333334</v>
      </c>
      <c r="L50" s="16">
        <v>-77.907333333333355</v>
      </c>
    </row>
    <row r="51" spans="1:12" x14ac:dyDescent="0.3">
      <c r="A51" s="18">
        <v>43878</v>
      </c>
      <c r="B51">
        <v>0</v>
      </c>
      <c r="E51">
        <f t="shared" si="0"/>
        <v>30</v>
      </c>
      <c r="F51" s="16">
        <v>42.56666666666667</v>
      </c>
      <c r="G51" s="16">
        <v>139.19300000000001</v>
      </c>
      <c r="H51" s="16">
        <v>0</v>
      </c>
      <c r="I51" s="12">
        <v>0</v>
      </c>
      <c r="J51" s="16">
        <v>35.31666666666667</v>
      </c>
      <c r="K51" s="16">
        <v>148.54733333333334</v>
      </c>
      <c r="L51" s="16">
        <v>-77.907333333333355</v>
      </c>
    </row>
    <row r="52" spans="1:12" x14ac:dyDescent="0.3">
      <c r="A52" s="18">
        <v>43879</v>
      </c>
      <c r="B52">
        <v>64</v>
      </c>
      <c r="E52">
        <f t="shared" si="0"/>
        <v>64</v>
      </c>
      <c r="F52" s="16">
        <v>42.56666666666667</v>
      </c>
      <c r="G52" s="16">
        <v>139.19300000000001</v>
      </c>
      <c r="H52" s="16">
        <v>0</v>
      </c>
      <c r="I52" s="12">
        <v>64</v>
      </c>
      <c r="J52" s="16">
        <v>35.31666666666667</v>
      </c>
      <c r="K52" s="16">
        <v>148.54733333333334</v>
      </c>
      <c r="L52" s="16">
        <v>-77.907333333333355</v>
      </c>
    </row>
    <row r="53" spans="1:12" x14ac:dyDescent="0.3">
      <c r="A53" s="18">
        <v>43880</v>
      </c>
      <c r="B53">
        <v>95</v>
      </c>
      <c r="E53">
        <f t="shared" si="0"/>
        <v>31</v>
      </c>
      <c r="F53" s="16">
        <v>42.56666666666667</v>
      </c>
      <c r="G53" s="16">
        <v>139.19300000000001</v>
      </c>
      <c r="H53" s="16">
        <v>0</v>
      </c>
      <c r="I53" s="12">
        <v>95</v>
      </c>
      <c r="J53" s="16">
        <v>35.31666666666667</v>
      </c>
      <c r="K53" s="16">
        <v>148.54733333333334</v>
      </c>
      <c r="L53" s="16">
        <v>-77.907333333333355</v>
      </c>
    </row>
    <row r="54" spans="1:12" x14ac:dyDescent="0.3">
      <c r="A54" s="18">
        <v>43881</v>
      </c>
      <c r="B54">
        <v>0</v>
      </c>
      <c r="E54">
        <f t="shared" si="0"/>
        <v>95</v>
      </c>
      <c r="F54" s="16">
        <v>42.56666666666667</v>
      </c>
      <c r="G54" s="16">
        <v>139.19300000000001</v>
      </c>
      <c r="H54" s="16">
        <v>0</v>
      </c>
      <c r="I54" s="12">
        <v>0</v>
      </c>
      <c r="J54" s="16">
        <v>35.31666666666667</v>
      </c>
      <c r="K54" s="16">
        <v>148.54733333333334</v>
      </c>
      <c r="L54" s="16">
        <v>-77.907333333333355</v>
      </c>
    </row>
    <row r="55" spans="1:12" x14ac:dyDescent="0.3">
      <c r="A55" s="18">
        <v>43882</v>
      </c>
      <c r="B55">
        <v>91</v>
      </c>
      <c r="E55">
        <f t="shared" si="0"/>
        <v>91</v>
      </c>
      <c r="F55" s="16">
        <v>42.56666666666667</v>
      </c>
      <c r="G55" s="16">
        <v>139.19300000000001</v>
      </c>
      <c r="H55" s="16">
        <v>0</v>
      </c>
      <c r="I55" s="12">
        <v>91</v>
      </c>
      <c r="J55" s="16">
        <v>35.31666666666667</v>
      </c>
      <c r="K55" s="16">
        <v>148.54733333333334</v>
      </c>
      <c r="L55" s="16">
        <v>-77.907333333333355</v>
      </c>
    </row>
    <row r="56" spans="1:12" x14ac:dyDescent="0.3">
      <c r="A56" s="19">
        <v>43883</v>
      </c>
      <c r="B56" s="3">
        <v>30</v>
      </c>
      <c r="E56">
        <f t="shared" si="0"/>
        <v>61</v>
      </c>
      <c r="F56" s="16">
        <v>42.56666666666667</v>
      </c>
      <c r="G56" s="16">
        <v>139.19300000000001</v>
      </c>
      <c r="H56" s="16">
        <v>0</v>
      </c>
      <c r="I56" s="12">
        <v>30</v>
      </c>
      <c r="J56" s="16">
        <v>35.31666666666667</v>
      </c>
      <c r="K56" s="16">
        <v>148.54733333333334</v>
      </c>
      <c r="L56" s="16">
        <v>-77.907333333333355</v>
      </c>
    </row>
    <row r="57" spans="1:12" x14ac:dyDescent="0.3">
      <c r="A57" s="19">
        <v>43884</v>
      </c>
      <c r="B57" s="3">
        <v>0</v>
      </c>
      <c r="E57">
        <f t="shared" si="0"/>
        <v>30</v>
      </c>
      <c r="F57" s="16">
        <v>42.56666666666667</v>
      </c>
      <c r="G57" s="16">
        <v>139.19300000000001</v>
      </c>
      <c r="H57" s="16">
        <v>0</v>
      </c>
      <c r="I57" s="12">
        <v>0</v>
      </c>
      <c r="J57" s="16">
        <v>35.31666666666667</v>
      </c>
      <c r="K57" s="16">
        <v>148.54733333333334</v>
      </c>
      <c r="L57" s="16">
        <v>-77.907333333333355</v>
      </c>
    </row>
    <row r="58" spans="1:12" x14ac:dyDescent="0.3">
      <c r="A58" s="18">
        <v>43885</v>
      </c>
      <c r="B58">
        <v>0</v>
      </c>
      <c r="E58">
        <f t="shared" si="0"/>
        <v>0</v>
      </c>
      <c r="F58" s="16">
        <v>42.56666666666667</v>
      </c>
      <c r="G58" s="16">
        <v>139.19300000000001</v>
      </c>
      <c r="H58" s="16">
        <v>0</v>
      </c>
      <c r="I58" s="12">
        <v>0</v>
      </c>
      <c r="J58" s="16">
        <v>35.31666666666667</v>
      </c>
      <c r="K58" s="16">
        <v>148.54733333333334</v>
      </c>
      <c r="L58" s="16">
        <v>-77.907333333333355</v>
      </c>
    </row>
    <row r="59" spans="1:12" x14ac:dyDescent="0.3">
      <c r="A59" s="18">
        <v>43886</v>
      </c>
      <c r="B59">
        <v>96</v>
      </c>
      <c r="E59">
        <f t="shared" si="0"/>
        <v>96</v>
      </c>
      <c r="F59" s="16">
        <v>42.56666666666667</v>
      </c>
      <c r="G59" s="16">
        <v>139.19300000000001</v>
      </c>
      <c r="H59" s="16">
        <v>0</v>
      </c>
      <c r="I59" s="12">
        <v>96</v>
      </c>
      <c r="J59" s="16">
        <v>35.31666666666667</v>
      </c>
      <c r="K59" s="16">
        <v>148.54733333333334</v>
      </c>
      <c r="L59" s="16">
        <v>-77.907333333333355</v>
      </c>
    </row>
    <row r="60" spans="1:12" x14ac:dyDescent="0.3">
      <c r="A60" s="18">
        <v>43887</v>
      </c>
      <c r="B60">
        <v>0</v>
      </c>
      <c r="E60">
        <f t="shared" si="0"/>
        <v>96</v>
      </c>
      <c r="F60" s="16">
        <v>42.56666666666667</v>
      </c>
      <c r="G60" s="16">
        <v>139.19300000000001</v>
      </c>
      <c r="H60" s="16">
        <v>0</v>
      </c>
      <c r="I60" s="12">
        <v>0</v>
      </c>
      <c r="J60" s="16">
        <v>35.31666666666667</v>
      </c>
      <c r="K60" s="16">
        <v>148.54733333333334</v>
      </c>
      <c r="L60" s="16">
        <v>-77.907333333333355</v>
      </c>
    </row>
    <row r="61" spans="1:12" x14ac:dyDescent="0.3">
      <c r="A61" s="18">
        <v>43888</v>
      </c>
      <c r="B61">
        <v>60</v>
      </c>
      <c r="E61">
        <f t="shared" si="0"/>
        <v>60</v>
      </c>
      <c r="F61" s="16">
        <v>42.56666666666667</v>
      </c>
      <c r="G61" s="16">
        <v>139.19300000000001</v>
      </c>
      <c r="H61" s="16">
        <v>0</v>
      </c>
      <c r="I61" s="12">
        <v>60</v>
      </c>
      <c r="J61" s="16">
        <v>35.31666666666667</v>
      </c>
      <c r="K61" s="16">
        <v>148.54733333333334</v>
      </c>
      <c r="L61" s="16">
        <v>-77.907333333333355</v>
      </c>
    </row>
    <row r="62" spans="1:12" x14ac:dyDescent="0.3">
      <c r="A62" s="18">
        <v>43889</v>
      </c>
      <c r="B62">
        <v>88</v>
      </c>
      <c r="E62">
        <f t="shared" si="0"/>
        <v>28</v>
      </c>
      <c r="F62" s="16">
        <v>42.56666666666667</v>
      </c>
      <c r="G62" s="16">
        <v>139.19300000000001</v>
      </c>
      <c r="H62" s="16">
        <v>0</v>
      </c>
      <c r="I62" s="12">
        <v>88</v>
      </c>
      <c r="J62" s="16">
        <v>35.31666666666667</v>
      </c>
      <c r="K62" s="16">
        <v>148.54733333333334</v>
      </c>
      <c r="L62" s="16">
        <v>-77.907333333333355</v>
      </c>
    </row>
    <row r="63" spans="1:12" x14ac:dyDescent="0.3">
      <c r="A63" s="19">
        <v>43890</v>
      </c>
      <c r="B63" s="3">
        <v>0</v>
      </c>
      <c r="E63">
        <f t="shared" si="0"/>
        <v>88</v>
      </c>
      <c r="F63" s="16">
        <v>42.56666666666667</v>
      </c>
      <c r="G63" s="16">
        <v>139.19300000000001</v>
      </c>
      <c r="H63" s="16">
        <v>0</v>
      </c>
      <c r="I63" s="12">
        <v>0</v>
      </c>
      <c r="J63" s="16">
        <v>35.31666666666667</v>
      </c>
      <c r="K63" s="16">
        <v>148.54733333333334</v>
      </c>
      <c r="L63" s="16">
        <v>-77.907333333333355</v>
      </c>
    </row>
    <row r="64" spans="1:12" x14ac:dyDescent="0.3">
      <c r="D64" t="s">
        <v>99</v>
      </c>
      <c r="E64" s="16">
        <f>AVERAGE(E4:E63)</f>
        <v>42.56666666666667</v>
      </c>
      <c r="G64" t="s">
        <v>97</v>
      </c>
      <c r="H64" t="s">
        <v>96</v>
      </c>
      <c r="I64" s="16"/>
      <c r="J64" t="s">
        <v>6</v>
      </c>
      <c r="K64" t="s">
        <v>101</v>
      </c>
      <c r="L64" t="s">
        <v>102</v>
      </c>
    </row>
    <row r="65" spans="12:13" x14ac:dyDescent="0.3">
      <c r="L65" t="s">
        <v>6</v>
      </c>
      <c r="M65" t="s">
        <v>6</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EA36B-2BA9-48C3-98A9-B925482B5275}">
  <dimension ref="A1:I62"/>
  <sheetViews>
    <sheetView showGridLines="0" workbookViewId="0">
      <selection activeCell="K6" sqref="K6"/>
    </sheetView>
  </sheetViews>
  <sheetFormatPr defaultRowHeight="14.4" x14ac:dyDescent="0.3"/>
  <cols>
    <col min="1" max="1" width="9.5546875" bestFit="1" customWidth="1"/>
    <col min="2" max="2" width="26.88671875" bestFit="1" customWidth="1"/>
    <col min="3" max="3" width="14.6640625" bestFit="1" customWidth="1"/>
    <col min="4" max="5" width="17.33203125" bestFit="1" customWidth="1"/>
    <col min="6" max="6" width="18" bestFit="1" customWidth="1"/>
    <col min="7" max="7" width="14.6640625" bestFit="1" customWidth="1"/>
    <col min="8" max="8" width="27.6640625" bestFit="1" customWidth="1"/>
    <col min="9" max="9" width="18.88671875" bestFit="1" customWidth="1"/>
  </cols>
  <sheetData>
    <row r="1" spans="1:9" x14ac:dyDescent="0.3">
      <c r="A1" s="10"/>
      <c r="B1" s="10" t="s">
        <v>33</v>
      </c>
      <c r="C1" t="s">
        <v>34</v>
      </c>
    </row>
    <row r="2" spans="1:9" x14ac:dyDescent="0.3">
      <c r="A2" s="6" t="s">
        <v>0</v>
      </c>
      <c r="B2" s="8" t="s">
        <v>42</v>
      </c>
      <c r="C2" s="17" t="s">
        <v>43</v>
      </c>
      <c r="D2" s="17" t="s">
        <v>44</v>
      </c>
      <c r="E2" s="17" t="s">
        <v>45</v>
      </c>
      <c r="F2" s="17" t="s">
        <v>65</v>
      </c>
      <c r="G2" s="17" t="s">
        <v>66</v>
      </c>
      <c r="H2" s="17" t="s">
        <v>48</v>
      </c>
      <c r="I2" s="26" t="s">
        <v>92</v>
      </c>
    </row>
    <row r="3" spans="1:9" x14ac:dyDescent="0.3">
      <c r="A3" s="18">
        <v>43831</v>
      </c>
      <c r="B3">
        <v>0</v>
      </c>
      <c r="C3">
        <v>372</v>
      </c>
      <c r="D3">
        <v>0</v>
      </c>
      <c r="E3">
        <v>0</v>
      </c>
      <c r="F3">
        <v>0</v>
      </c>
      <c r="G3">
        <v>0</v>
      </c>
      <c r="H3">
        <v>720</v>
      </c>
      <c r="I3" s="12">
        <f>8.5*250</f>
        <v>2125</v>
      </c>
    </row>
    <row r="4" spans="1:9" x14ac:dyDescent="0.3">
      <c r="A4" s="18">
        <v>43832</v>
      </c>
      <c r="B4">
        <v>0</v>
      </c>
      <c r="C4">
        <v>405</v>
      </c>
      <c r="D4">
        <v>0</v>
      </c>
      <c r="E4">
        <v>0</v>
      </c>
      <c r="F4">
        <v>0</v>
      </c>
      <c r="G4">
        <f>2*60</f>
        <v>120</v>
      </c>
      <c r="H4">
        <v>413</v>
      </c>
      <c r="I4" s="12">
        <f>250*6.25</f>
        <v>1562.5</v>
      </c>
    </row>
    <row r="5" spans="1:9" x14ac:dyDescent="0.3">
      <c r="A5" s="18">
        <v>43833</v>
      </c>
      <c r="B5">
        <v>0</v>
      </c>
      <c r="C5">
        <v>582</v>
      </c>
      <c r="D5">
        <v>0</v>
      </c>
      <c r="E5">
        <v>0</v>
      </c>
      <c r="F5">
        <v>2</v>
      </c>
      <c r="G5">
        <f>60 *8</f>
        <v>480</v>
      </c>
      <c r="H5">
        <v>1021</v>
      </c>
      <c r="I5" s="12">
        <f>250*10</f>
        <v>2500</v>
      </c>
    </row>
    <row r="6" spans="1:9" x14ac:dyDescent="0.3">
      <c r="A6" s="19">
        <v>43834</v>
      </c>
      <c r="B6" s="3">
        <v>0</v>
      </c>
      <c r="C6" s="3">
        <v>621</v>
      </c>
      <c r="D6" s="3">
        <v>0</v>
      </c>
      <c r="E6" s="3">
        <v>0</v>
      </c>
      <c r="F6" s="3">
        <v>0</v>
      </c>
      <c r="G6" s="3">
        <v>0</v>
      </c>
      <c r="H6" s="3">
        <v>1433</v>
      </c>
      <c r="I6" s="3">
        <f>250*7.5</f>
        <v>1875</v>
      </c>
    </row>
    <row r="7" spans="1:9" x14ac:dyDescent="0.3">
      <c r="A7" s="19">
        <v>43835</v>
      </c>
      <c r="B7" s="3">
        <v>0</v>
      </c>
      <c r="C7" s="3">
        <v>322</v>
      </c>
      <c r="D7" s="3">
        <v>0</v>
      </c>
      <c r="E7" s="3">
        <v>0</v>
      </c>
      <c r="F7" s="3">
        <v>0</v>
      </c>
      <c r="G7" s="3">
        <v>0</v>
      </c>
      <c r="H7" s="3">
        <v>1504</v>
      </c>
      <c r="I7" s="3">
        <f>250*10</f>
        <v>2500</v>
      </c>
    </row>
    <row r="8" spans="1:9" x14ac:dyDescent="0.3">
      <c r="A8" s="18">
        <v>43836</v>
      </c>
      <c r="B8">
        <v>60</v>
      </c>
      <c r="C8">
        <v>418</v>
      </c>
      <c r="D8">
        <v>2</v>
      </c>
      <c r="E8">
        <v>0</v>
      </c>
      <c r="F8">
        <v>156</v>
      </c>
      <c r="G8">
        <f>60 *8</f>
        <v>480</v>
      </c>
      <c r="H8">
        <v>0</v>
      </c>
      <c r="I8" s="12">
        <f>250*11.5</f>
        <v>2875</v>
      </c>
    </row>
    <row r="9" spans="1:9" x14ac:dyDescent="0.3">
      <c r="A9" s="18">
        <v>43837</v>
      </c>
      <c r="B9">
        <v>93</v>
      </c>
      <c r="C9">
        <v>456</v>
      </c>
      <c r="D9">
        <v>2</v>
      </c>
      <c r="E9">
        <v>0</v>
      </c>
      <c r="F9">
        <v>194</v>
      </c>
      <c r="G9">
        <f>60 *8</f>
        <v>480</v>
      </c>
      <c r="H9">
        <v>0</v>
      </c>
      <c r="I9" s="12">
        <f>250*12</f>
        <v>3000</v>
      </c>
    </row>
    <row r="10" spans="1:9" x14ac:dyDescent="0.3">
      <c r="A10" s="18">
        <v>43838</v>
      </c>
      <c r="B10">
        <v>184</v>
      </c>
      <c r="C10">
        <v>438</v>
      </c>
      <c r="D10">
        <v>2</v>
      </c>
      <c r="E10">
        <v>0</v>
      </c>
      <c r="F10">
        <v>118</v>
      </c>
      <c r="G10">
        <f>60 *8</f>
        <v>480</v>
      </c>
      <c r="H10">
        <v>0</v>
      </c>
      <c r="I10" s="12">
        <f>250*13.5</f>
        <v>3375</v>
      </c>
    </row>
    <row r="11" spans="1:9" x14ac:dyDescent="0.3">
      <c r="A11" s="18">
        <v>43839</v>
      </c>
      <c r="B11">
        <v>0</v>
      </c>
      <c r="C11">
        <v>792</v>
      </c>
      <c r="D11">
        <v>0</v>
      </c>
      <c r="E11">
        <v>240</v>
      </c>
      <c r="F11">
        <v>0</v>
      </c>
      <c r="G11">
        <v>240</v>
      </c>
      <c r="H11">
        <v>0</v>
      </c>
      <c r="I11" s="12">
        <f>250*3</f>
        <v>750</v>
      </c>
    </row>
    <row r="12" spans="1:9" x14ac:dyDescent="0.3">
      <c r="A12" s="18">
        <v>43840</v>
      </c>
      <c r="B12">
        <v>0</v>
      </c>
      <c r="C12">
        <v>781</v>
      </c>
      <c r="D12">
        <v>0</v>
      </c>
      <c r="E12">
        <v>300</v>
      </c>
      <c r="F12">
        <v>0</v>
      </c>
      <c r="G12">
        <v>180</v>
      </c>
      <c r="H12">
        <v>630</v>
      </c>
      <c r="I12" s="12">
        <f>250*4.75</f>
        <v>1187.5</v>
      </c>
    </row>
    <row r="13" spans="1:9" x14ac:dyDescent="0.3">
      <c r="A13" s="19">
        <v>43841</v>
      </c>
      <c r="B13" s="3">
        <v>20</v>
      </c>
      <c r="C13" s="3">
        <v>617</v>
      </c>
      <c r="D13" s="3">
        <v>1</v>
      </c>
      <c r="E13" s="3">
        <v>0</v>
      </c>
      <c r="F13" s="3">
        <v>0</v>
      </c>
      <c r="G13" s="3">
        <v>0</v>
      </c>
      <c r="H13" s="3">
        <v>1011</v>
      </c>
      <c r="I13" s="3">
        <f>250*10.5</f>
        <v>2625</v>
      </c>
    </row>
    <row r="14" spans="1:9" x14ac:dyDescent="0.3">
      <c r="A14" s="19">
        <v>43842</v>
      </c>
      <c r="B14" s="3">
        <v>30</v>
      </c>
      <c r="C14" s="3">
        <v>692</v>
      </c>
      <c r="D14" s="3">
        <v>1</v>
      </c>
      <c r="E14" s="3">
        <v>0</v>
      </c>
      <c r="F14" s="3">
        <v>245</v>
      </c>
      <c r="G14" s="3">
        <v>0</v>
      </c>
      <c r="H14" s="3">
        <v>1030</v>
      </c>
      <c r="I14" s="3">
        <f>250*4.75</f>
        <v>1187.5</v>
      </c>
    </row>
    <row r="15" spans="1:9" x14ac:dyDescent="0.3">
      <c r="A15" s="18">
        <v>43843</v>
      </c>
      <c r="B15">
        <v>0</v>
      </c>
      <c r="C15">
        <v>479</v>
      </c>
      <c r="D15">
        <v>1.5</v>
      </c>
      <c r="E15">
        <v>0</v>
      </c>
      <c r="F15">
        <v>120</v>
      </c>
      <c r="G15">
        <f>60 *8</f>
        <v>480</v>
      </c>
      <c r="H15">
        <v>0</v>
      </c>
      <c r="I15" s="12">
        <f>250*7.25</f>
        <v>1812.5</v>
      </c>
    </row>
    <row r="16" spans="1:9" x14ac:dyDescent="0.3">
      <c r="A16" s="18">
        <v>43844</v>
      </c>
      <c r="B16">
        <v>62</v>
      </c>
      <c r="C16">
        <v>463</v>
      </c>
      <c r="D16">
        <v>2</v>
      </c>
      <c r="E16">
        <v>0</v>
      </c>
      <c r="F16">
        <v>156</v>
      </c>
      <c r="G16">
        <f>60 *8</f>
        <v>480</v>
      </c>
      <c r="H16">
        <v>0</v>
      </c>
      <c r="I16" s="12">
        <f>250*9.75</f>
        <v>2437.5</v>
      </c>
    </row>
    <row r="17" spans="1:9" x14ac:dyDescent="0.3">
      <c r="A17" s="18">
        <v>43845</v>
      </c>
      <c r="B17">
        <v>197</v>
      </c>
      <c r="C17">
        <v>355</v>
      </c>
      <c r="D17">
        <v>2</v>
      </c>
      <c r="E17">
        <v>0</v>
      </c>
      <c r="F17">
        <v>162</v>
      </c>
      <c r="G17">
        <f>60 *8</f>
        <v>480</v>
      </c>
      <c r="H17">
        <v>0</v>
      </c>
      <c r="I17" s="12">
        <f>250*8</f>
        <v>2000</v>
      </c>
    </row>
    <row r="18" spans="1:9" x14ac:dyDescent="0.3">
      <c r="A18" s="18">
        <v>43846</v>
      </c>
      <c r="B18">
        <v>0</v>
      </c>
      <c r="C18">
        <v>273</v>
      </c>
      <c r="D18">
        <v>2</v>
      </c>
      <c r="E18">
        <v>0</v>
      </c>
      <c r="F18">
        <v>191</v>
      </c>
      <c r="G18">
        <f>60 *8</f>
        <v>480</v>
      </c>
      <c r="H18">
        <v>0</v>
      </c>
      <c r="I18" s="12">
        <f>250*9</f>
        <v>2250</v>
      </c>
    </row>
    <row r="19" spans="1:9" x14ac:dyDescent="0.3">
      <c r="A19" s="18">
        <v>43847</v>
      </c>
      <c r="B19">
        <v>0</v>
      </c>
      <c r="C19">
        <v>324</v>
      </c>
      <c r="D19">
        <v>3</v>
      </c>
      <c r="E19">
        <v>0</v>
      </c>
      <c r="F19">
        <v>0</v>
      </c>
      <c r="G19">
        <f>60 *8</f>
        <v>480</v>
      </c>
      <c r="H19">
        <v>487</v>
      </c>
      <c r="I19" s="12">
        <f>250*6.3</f>
        <v>1575</v>
      </c>
    </row>
    <row r="20" spans="1:9" x14ac:dyDescent="0.3">
      <c r="A20" s="19">
        <v>43848</v>
      </c>
      <c r="B20" s="3">
        <v>0</v>
      </c>
      <c r="C20" s="3">
        <v>512</v>
      </c>
      <c r="D20" s="3">
        <v>3</v>
      </c>
      <c r="E20" s="3">
        <v>0</v>
      </c>
      <c r="F20" s="3">
        <v>0</v>
      </c>
      <c r="G20" s="3">
        <v>0</v>
      </c>
      <c r="H20" s="3">
        <v>1832</v>
      </c>
      <c r="I20" s="3">
        <f>250*3.8</f>
        <v>950</v>
      </c>
    </row>
    <row r="21" spans="1:9" x14ac:dyDescent="0.3">
      <c r="A21" s="19">
        <v>43849</v>
      </c>
      <c r="B21" s="3">
        <v>0</v>
      </c>
      <c r="C21" s="3">
        <v>618</v>
      </c>
      <c r="D21" s="3">
        <v>2</v>
      </c>
      <c r="E21" s="3">
        <v>0</v>
      </c>
      <c r="F21" s="3">
        <v>238</v>
      </c>
      <c r="G21" s="3">
        <v>0</v>
      </c>
      <c r="H21" s="3">
        <v>1567</v>
      </c>
      <c r="I21" s="3">
        <f>250*12.3</f>
        <v>3075</v>
      </c>
    </row>
    <row r="22" spans="1:9" x14ac:dyDescent="0.3">
      <c r="A22" s="18">
        <v>43850</v>
      </c>
      <c r="B22">
        <v>63</v>
      </c>
      <c r="C22">
        <v>363</v>
      </c>
      <c r="D22">
        <v>1.5</v>
      </c>
      <c r="E22">
        <v>0</v>
      </c>
      <c r="F22">
        <v>187</v>
      </c>
      <c r="G22">
        <f>60 *8</f>
        <v>480</v>
      </c>
      <c r="H22">
        <v>0</v>
      </c>
      <c r="I22" s="12">
        <f>250*11.6</f>
        <v>2900</v>
      </c>
    </row>
    <row r="23" spans="1:9" x14ac:dyDescent="0.3">
      <c r="A23" s="18">
        <v>43851</v>
      </c>
      <c r="B23">
        <v>57</v>
      </c>
      <c r="C23">
        <v>351</v>
      </c>
      <c r="D23">
        <v>2</v>
      </c>
      <c r="E23">
        <v>0</v>
      </c>
      <c r="F23">
        <v>208</v>
      </c>
      <c r="G23">
        <f>60 *8</f>
        <v>480</v>
      </c>
      <c r="H23">
        <v>0</v>
      </c>
      <c r="I23" s="12">
        <f>250*10.5</f>
        <v>2625</v>
      </c>
    </row>
    <row r="24" spans="1:9" x14ac:dyDescent="0.3">
      <c r="A24" s="18">
        <v>43852</v>
      </c>
      <c r="B24">
        <v>204</v>
      </c>
      <c r="C24">
        <v>338</v>
      </c>
      <c r="D24">
        <v>2</v>
      </c>
      <c r="E24">
        <v>0</v>
      </c>
      <c r="F24">
        <v>156</v>
      </c>
      <c r="G24">
        <f>60 *8</f>
        <v>480</v>
      </c>
      <c r="H24">
        <v>0</v>
      </c>
      <c r="I24" s="12">
        <f>250*11.5</f>
        <v>2875</v>
      </c>
    </row>
    <row r="25" spans="1:9" x14ac:dyDescent="0.3">
      <c r="A25" s="18">
        <v>43853</v>
      </c>
      <c r="B25">
        <v>0</v>
      </c>
      <c r="C25">
        <v>286</v>
      </c>
      <c r="D25">
        <v>2</v>
      </c>
      <c r="E25">
        <v>0</v>
      </c>
      <c r="F25">
        <v>88</v>
      </c>
      <c r="G25">
        <f>60 *8</f>
        <v>480</v>
      </c>
      <c r="H25">
        <v>0</v>
      </c>
      <c r="I25" s="12">
        <f>250*10</f>
        <v>2500</v>
      </c>
    </row>
    <row r="26" spans="1:9" x14ac:dyDescent="0.3">
      <c r="A26" s="18">
        <v>43854</v>
      </c>
      <c r="B26">
        <v>127</v>
      </c>
      <c r="C26">
        <v>371</v>
      </c>
      <c r="D26">
        <v>2</v>
      </c>
      <c r="E26">
        <v>0</v>
      </c>
      <c r="F26">
        <v>0</v>
      </c>
      <c r="G26">
        <f>60 *8</f>
        <v>480</v>
      </c>
      <c r="H26">
        <v>0</v>
      </c>
      <c r="I26" s="12">
        <f>250*6.6</f>
        <v>1650</v>
      </c>
    </row>
    <row r="27" spans="1:9" x14ac:dyDescent="0.3">
      <c r="A27" s="19">
        <v>43855</v>
      </c>
      <c r="B27" s="3">
        <v>60</v>
      </c>
      <c r="C27" s="3">
        <v>541</v>
      </c>
      <c r="D27" s="3">
        <v>4</v>
      </c>
      <c r="E27" s="3">
        <v>0</v>
      </c>
      <c r="F27" s="3">
        <v>0</v>
      </c>
      <c r="G27" s="3">
        <v>0</v>
      </c>
      <c r="H27" s="3">
        <v>0</v>
      </c>
      <c r="I27" s="3">
        <f>250*9.7</f>
        <v>2425</v>
      </c>
    </row>
    <row r="28" spans="1:9" x14ac:dyDescent="0.3">
      <c r="A28" s="19">
        <v>43856</v>
      </c>
      <c r="B28" s="3">
        <v>60</v>
      </c>
      <c r="C28" s="3">
        <v>665</v>
      </c>
      <c r="D28" s="3">
        <v>3</v>
      </c>
      <c r="E28" s="3">
        <v>0</v>
      </c>
      <c r="F28" s="3">
        <v>258</v>
      </c>
      <c r="G28" s="3">
        <v>0</v>
      </c>
      <c r="H28" s="3">
        <v>0</v>
      </c>
      <c r="I28" s="3">
        <f>250*5.5</f>
        <v>1375</v>
      </c>
    </row>
    <row r="29" spans="1:9" x14ac:dyDescent="0.3">
      <c r="A29" s="18">
        <v>43857</v>
      </c>
      <c r="B29">
        <v>87</v>
      </c>
      <c r="C29">
        <v>481</v>
      </c>
      <c r="D29">
        <v>1.5</v>
      </c>
      <c r="E29">
        <v>0</v>
      </c>
      <c r="F29">
        <v>114</v>
      </c>
      <c r="G29">
        <f>60 *8</f>
        <v>480</v>
      </c>
      <c r="H29">
        <v>372</v>
      </c>
      <c r="I29" s="12">
        <f>250*6</f>
        <v>1500</v>
      </c>
    </row>
    <row r="30" spans="1:9" x14ac:dyDescent="0.3">
      <c r="A30" s="18">
        <v>43858</v>
      </c>
      <c r="B30">
        <v>0</v>
      </c>
      <c r="C30">
        <v>429</v>
      </c>
      <c r="D30">
        <v>1</v>
      </c>
      <c r="E30">
        <v>120</v>
      </c>
      <c r="F30">
        <v>0</v>
      </c>
      <c r="G30">
        <v>360</v>
      </c>
      <c r="H30">
        <v>849</v>
      </c>
      <c r="I30" s="12">
        <f>250*8.3</f>
        <v>2075</v>
      </c>
    </row>
    <row r="31" spans="1:9" x14ac:dyDescent="0.3">
      <c r="A31" s="18">
        <v>43859</v>
      </c>
      <c r="B31">
        <v>0</v>
      </c>
      <c r="C31">
        <v>604</v>
      </c>
      <c r="D31">
        <v>2</v>
      </c>
      <c r="E31">
        <v>300</v>
      </c>
      <c r="F31">
        <v>0</v>
      </c>
      <c r="G31">
        <v>180</v>
      </c>
      <c r="H31">
        <v>536</v>
      </c>
      <c r="I31" s="12">
        <f>250*4.5</f>
        <v>1125</v>
      </c>
    </row>
    <row r="32" spans="1:9" x14ac:dyDescent="0.3">
      <c r="A32" s="18">
        <v>43860</v>
      </c>
      <c r="B32">
        <v>0</v>
      </c>
      <c r="C32">
        <v>563</v>
      </c>
      <c r="D32">
        <v>1.5</v>
      </c>
      <c r="E32">
        <v>240</v>
      </c>
      <c r="F32">
        <v>0</v>
      </c>
      <c r="G32">
        <v>240</v>
      </c>
      <c r="H32">
        <v>1045</v>
      </c>
      <c r="I32" s="12">
        <f>250*6.4</f>
        <v>1600</v>
      </c>
    </row>
    <row r="33" spans="1:9" x14ac:dyDescent="0.3">
      <c r="A33" s="18">
        <v>43861</v>
      </c>
      <c r="B33">
        <v>0</v>
      </c>
      <c r="C33">
        <v>662</v>
      </c>
      <c r="D33">
        <v>0</v>
      </c>
      <c r="E33">
        <v>0</v>
      </c>
      <c r="F33">
        <v>0</v>
      </c>
      <c r="G33">
        <f>60 *8</f>
        <v>480</v>
      </c>
      <c r="H33">
        <v>717</v>
      </c>
      <c r="I33" s="12">
        <f>250*4.25</f>
        <v>1062.5</v>
      </c>
    </row>
    <row r="34" spans="1:9" x14ac:dyDescent="0.3">
      <c r="A34" s="19">
        <v>43862</v>
      </c>
      <c r="B34" s="3">
        <v>0</v>
      </c>
      <c r="C34" s="3">
        <v>729</v>
      </c>
      <c r="D34" s="3">
        <v>0</v>
      </c>
      <c r="E34" s="3">
        <v>0</v>
      </c>
      <c r="F34" s="3">
        <v>0</v>
      </c>
      <c r="G34" s="3">
        <v>0</v>
      </c>
      <c r="H34" s="3">
        <v>1432</v>
      </c>
      <c r="I34" s="3">
        <f>250*5.5</f>
        <v>1375</v>
      </c>
    </row>
    <row r="35" spans="1:9" x14ac:dyDescent="0.3">
      <c r="A35" s="19">
        <v>43863</v>
      </c>
      <c r="B35" s="3">
        <v>0</v>
      </c>
      <c r="C35" s="3">
        <v>797</v>
      </c>
      <c r="D35" s="3">
        <v>0</v>
      </c>
      <c r="E35" s="3">
        <v>0</v>
      </c>
      <c r="F35" s="3">
        <v>0</v>
      </c>
      <c r="G35" s="3">
        <v>0</v>
      </c>
      <c r="H35" s="3">
        <v>1567</v>
      </c>
      <c r="I35" s="3">
        <f>250*5.8</f>
        <v>1450</v>
      </c>
    </row>
    <row r="36" spans="1:9" x14ac:dyDescent="0.3">
      <c r="A36" s="18">
        <v>43864</v>
      </c>
      <c r="B36">
        <v>0</v>
      </c>
      <c r="C36">
        <v>648</v>
      </c>
      <c r="D36">
        <v>0</v>
      </c>
      <c r="E36">
        <v>0</v>
      </c>
      <c r="F36">
        <v>0</v>
      </c>
      <c r="G36">
        <f>60 *8</f>
        <v>480</v>
      </c>
      <c r="H36">
        <v>1045</v>
      </c>
      <c r="I36" s="12">
        <f>250*6.3</f>
        <v>1575</v>
      </c>
    </row>
    <row r="37" spans="1:9" x14ac:dyDescent="0.3">
      <c r="A37" s="18">
        <v>43865</v>
      </c>
      <c r="B37">
        <v>0</v>
      </c>
      <c r="C37">
        <v>658</v>
      </c>
      <c r="D37">
        <v>0</v>
      </c>
      <c r="E37">
        <v>0</v>
      </c>
      <c r="F37">
        <v>0</v>
      </c>
      <c r="G37">
        <f>60 *8</f>
        <v>480</v>
      </c>
      <c r="H37">
        <v>489</v>
      </c>
      <c r="I37" s="12">
        <f>250*3.75</f>
        <v>937.5</v>
      </c>
    </row>
    <row r="38" spans="1:9" x14ac:dyDescent="0.3">
      <c r="A38" s="18">
        <v>43866</v>
      </c>
      <c r="B38">
        <v>0</v>
      </c>
      <c r="C38">
        <v>727</v>
      </c>
      <c r="D38">
        <v>0</v>
      </c>
      <c r="E38">
        <v>0</v>
      </c>
      <c r="F38">
        <v>0</v>
      </c>
      <c r="G38">
        <f>60 *8</f>
        <v>480</v>
      </c>
      <c r="H38">
        <v>1005</v>
      </c>
      <c r="I38" s="12">
        <f>250*5</f>
        <v>1250</v>
      </c>
    </row>
    <row r="39" spans="1:9" x14ac:dyDescent="0.3">
      <c r="A39" s="18">
        <v>43867</v>
      </c>
      <c r="B39">
        <v>0</v>
      </c>
      <c r="C39">
        <v>654</v>
      </c>
      <c r="D39">
        <v>0</v>
      </c>
      <c r="E39">
        <v>0</v>
      </c>
      <c r="F39">
        <v>0</v>
      </c>
      <c r="G39">
        <f>60 *8</f>
        <v>480</v>
      </c>
      <c r="H39">
        <v>738</v>
      </c>
      <c r="I39" s="12">
        <f>250*7.9</f>
        <v>1975</v>
      </c>
    </row>
    <row r="40" spans="1:9" x14ac:dyDescent="0.3">
      <c r="A40" s="18">
        <v>43868</v>
      </c>
      <c r="B40">
        <v>25</v>
      </c>
      <c r="C40">
        <v>475</v>
      </c>
      <c r="D40">
        <v>2</v>
      </c>
      <c r="E40">
        <v>0</v>
      </c>
      <c r="F40">
        <v>0</v>
      </c>
      <c r="G40">
        <f>60 *8</f>
        <v>480</v>
      </c>
      <c r="H40">
        <v>406</v>
      </c>
      <c r="I40" s="12">
        <f>250*6.5</f>
        <v>1625</v>
      </c>
    </row>
    <row r="41" spans="1:9" x14ac:dyDescent="0.3">
      <c r="A41" s="19">
        <v>43869</v>
      </c>
      <c r="B41" s="3">
        <v>20</v>
      </c>
      <c r="C41" s="3">
        <v>849</v>
      </c>
      <c r="D41" s="3">
        <v>6</v>
      </c>
      <c r="E41" s="3">
        <v>0</v>
      </c>
      <c r="F41" s="3">
        <v>0</v>
      </c>
      <c r="G41" s="3">
        <v>0</v>
      </c>
      <c r="H41" s="3">
        <v>538</v>
      </c>
      <c r="I41" s="3">
        <f>250*6.3</f>
        <v>1575</v>
      </c>
    </row>
    <row r="42" spans="1:9" x14ac:dyDescent="0.3">
      <c r="A42" s="19">
        <v>43870</v>
      </c>
      <c r="B42" s="3">
        <v>32</v>
      </c>
      <c r="C42" s="3">
        <v>611</v>
      </c>
      <c r="D42" s="3">
        <v>3</v>
      </c>
      <c r="E42" s="3">
        <v>0</v>
      </c>
      <c r="F42" s="3">
        <v>238</v>
      </c>
      <c r="G42" s="3">
        <v>0</v>
      </c>
      <c r="H42" s="3">
        <v>538</v>
      </c>
      <c r="I42" s="3">
        <f>250*5.9</f>
        <v>1475</v>
      </c>
    </row>
    <row r="43" spans="1:9" x14ac:dyDescent="0.3">
      <c r="A43" s="18">
        <v>43871</v>
      </c>
      <c r="B43">
        <v>0</v>
      </c>
      <c r="C43">
        <v>199</v>
      </c>
      <c r="D43">
        <v>1.5</v>
      </c>
      <c r="E43">
        <v>0</v>
      </c>
      <c r="F43">
        <v>119</v>
      </c>
      <c r="G43">
        <f>60 *8</f>
        <v>480</v>
      </c>
      <c r="H43">
        <v>0</v>
      </c>
      <c r="I43" s="12">
        <f>250*12.3</f>
        <v>3075</v>
      </c>
    </row>
    <row r="44" spans="1:9" x14ac:dyDescent="0.3">
      <c r="A44" s="18">
        <v>43872</v>
      </c>
      <c r="B44">
        <v>0</v>
      </c>
      <c r="C44">
        <v>274</v>
      </c>
      <c r="D44">
        <v>2</v>
      </c>
      <c r="E44">
        <v>0</v>
      </c>
      <c r="F44">
        <v>166</v>
      </c>
      <c r="G44">
        <f>60 *8</f>
        <v>480</v>
      </c>
      <c r="H44">
        <v>0</v>
      </c>
      <c r="I44" s="12">
        <f>250*9</f>
        <v>2250</v>
      </c>
    </row>
    <row r="45" spans="1:9" x14ac:dyDescent="0.3">
      <c r="A45" s="18">
        <v>43873</v>
      </c>
      <c r="B45">
        <v>65</v>
      </c>
      <c r="C45">
        <v>356</v>
      </c>
      <c r="D45">
        <v>2</v>
      </c>
      <c r="E45">
        <v>0</v>
      </c>
      <c r="F45">
        <v>142</v>
      </c>
      <c r="G45">
        <f>60 *8</f>
        <v>480</v>
      </c>
      <c r="H45">
        <v>0</v>
      </c>
      <c r="I45" s="12">
        <f>250*11.5</f>
        <v>2875</v>
      </c>
    </row>
    <row r="46" spans="1:9" x14ac:dyDescent="0.3">
      <c r="A46" s="18">
        <v>43874</v>
      </c>
      <c r="B46">
        <v>60</v>
      </c>
      <c r="C46">
        <v>388</v>
      </c>
      <c r="D46">
        <v>2</v>
      </c>
      <c r="E46">
        <v>0</v>
      </c>
      <c r="F46">
        <v>177</v>
      </c>
      <c r="G46">
        <f>60 *8</f>
        <v>480</v>
      </c>
      <c r="H46">
        <v>0</v>
      </c>
      <c r="I46" s="12">
        <f>250*6</f>
        <v>1500</v>
      </c>
    </row>
    <row r="47" spans="1:9" x14ac:dyDescent="0.3">
      <c r="A47" s="18">
        <v>43875</v>
      </c>
      <c r="B47">
        <v>59</v>
      </c>
      <c r="C47">
        <v>453</v>
      </c>
      <c r="D47">
        <v>0</v>
      </c>
      <c r="E47">
        <v>0</v>
      </c>
      <c r="F47">
        <v>0</v>
      </c>
      <c r="G47">
        <v>120</v>
      </c>
      <c r="H47">
        <v>392</v>
      </c>
      <c r="I47" s="12">
        <f>250*3.75</f>
        <v>937.5</v>
      </c>
    </row>
    <row r="48" spans="1:9" x14ac:dyDescent="0.3">
      <c r="A48" s="19">
        <v>43876</v>
      </c>
      <c r="B48" s="3">
        <v>0</v>
      </c>
      <c r="C48" s="3">
        <v>568</v>
      </c>
      <c r="D48" s="3">
        <v>0</v>
      </c>
      <c r="E48" s="3">
        <v>0</v>
      </c>
      <c r="F48" s="3">
        <v>0</v>
      </c>
      <c r="G48" s="3">
        <v>0</v>
      </c>
      <c r="H48" s="3">
        <v>0</v>
      </c>
      <c r="I48" s="3">
        <f>250*7.75</f>
        <v>1937.5</v>
      </c>
    </row>
    <row r="49" spans="1:9" x14ac:dyDescent="0.3">
      <c r="A49" s="19">
        <v>43877</v>
      </c>
      <c r="B49" s="3">
        <v>30</v>
      </c>
      <c r="C49" s="3">
        <v>422</v>
      </c>
      <c r="D49" s="3">
        <v>0</v>
      </c>
      <c r="E49" s="3">
        <v>0</v>
      </c>
      <c r="F49" s="3">
        <v>233</v>
      </c>
      <c r="G49" s="3">
        <v>0</v>
      </c>
      <c r="H49" s="3">
        <v>1974</v>
      </c>
      <c r="I49" s="3">
        <f>250*12.3</f>
        <v>3075</v>
      </c>
    </row>
    <row r="50" spans="1:9" x14ac:dyDescent="0.3">
      <c r="A50" s="18">
        <v>43878</v>
      </c>
      <c r="B50">
        <v>0</v>
      </c>
      <c r="C50">
        <v>363</v>
      </c>
      <c r="D50">
        <v>6</v>
      </c>
      <c r="E50">
        <v>0</v>
      </c>
      <c r="F50">
        <v>196</v>
      </c>
      <c r="G50">
        <v>0</v>
      </c>
      <c r="H50">
        <v>2340</v>
      </c>
      <c r="I50" s="12">
        <f>250*10.5</f>
        <v>2625</v>
      </c>
    </row>
    <row r="51" spans="1:9" x14ac:dyDescent="0.3">
      <c r="A51" s="18">
        <v>43879</v>
      </c>
      <c r="B51">
        <v>64</v>
      </c>
      <c r="C51">
        <v>427</v>
      </c>
      <c r="D51">
        <v>2</v>
      </c>
      <c r="E51">
        <v>0</v>
      </c>
      <c r="F51">
        <v>115</v>
      </c>
      <c r="G51">
        <f>60 *8</f>
        <v>480</v>
      </c>
      <c r="H51">
        <v>0</v>
      </c>
      <c r="I51" s="12">
        <f>250*9.3</f>
        <v>2325</v>
      </c>
    </row>
    <row r="52" spans="1:9" x14ac:dyDescent="0.3">
      <c r="A52" s="18">
        <v>43880</v>
      </c>
      <c r="B52">
        <v>95</v>
      </c>
      <c r="C52">
        <v>360</v>
      </c>
      <c r="D52">
        <v>2</v>
      </c>
      <c r="E52">
        <v>0</v>
      </c>
      <c r="F52">
        <v>163</v>
      </c>
      <c r="G52">
        <f>60 *8</f>
        <v>480</v>
      </c>
      <c r="H52">
        <v>0</v>
      </c>
      <c r="I52" s="12">
        <f>250*14</f>
        <v>3500</v>
      </c>
    </row>
    <row r="53" spans="1:9" x14ac:dyDescent="0.3">
      <c r="A53" s="18">
        <v>43881</v>
      </c>
      <c r="B53">
        <v>0</v>
      </c>
      <c r="C53">
        <v>268</v>
      </c>
      <c r="D53">
        <v>2</v>
      </c>
      <c r="E53">
        <v>0</v>
      </c>
      <c r="F53">
        <v>60</v>
      </c>
      <c r="G53">
        <f>60 *8</f>
        <v>480</v>
      </c>
      <c r="H53">
        <v>582</v>
      </c>
      <c r="I53" s="12">
        <f>250*12</f>
        <v>3000</v>
      </c>
    </row>
    <row r="54" spans="1:9" x14ac:dyDescent="0.3">
      <c r="A54" s="18">
        <v>43882</v>
      </c>
      <c r="B54">
        <v>91</v>
      </c>
      <c r="C54">
        <v>507</v>
      </c>
      <c r="D54">
        <v>2</v>
      </c>
      <c r="E54">
        <v>0</v>
      </c>
      <c r="F54">
        <v>0</v>
      </c>
      <c r="G54">
        <f>60 *8</f>
        <v>480</v>
      </c>
      <c r="H54">
        <v>0</v>
      </c>
      <c r="I54" s="12">
        <f>250*8</f>
        <v>2000</v>
      </c>
    </row>
    <row r="55" spans="1:9" x14ac:dyDescent="0.3">
      <c r="A55" s="19">
        <v>43883</v>
      </c>
      <c r="B55" s="3">
        <v>30</v>
      </c>
      <c r="C55" s="3">
        <v>431</v>
      </c>
      <c r="D55" s="3">
        <v>0</v>
      </c>
      <c r="E55" s="3">
        <v>0</v>
      </c>
      <c r="F55" s="3">
        <v>0</v>
      </c>
      <c r="G55" s="3">
        <v>0</v>
      </c>
      <c r="H55" s="3">
        <v>0</v>
      </c>
      <c r="I55" s="3">
        <f>250*9.6</f>
        <v>2400</v>
      </c>
    </row>
    <row r="56" spans="1:9" x14ac:dyDescent="0.3">
      <c r="A56" s="19">
        <v>43884</v>
      </c>
      <c r="B56" s="3">
        <v>0</v>
      </c>
      <c r="C56" s="3">
        <v>388</v>
      </c>
      <c r="D56" s="3">
        <v>2</v>
      </c>
      <c r="E56" s="3">
        <v>0</v>
      </c>
      <c r="F56" s="3">
        <v>218</v>
      </c>
      <c r="G56" s="3">
        <v>0</v>
      </c>
      <c r="H56" s="3">
        <v>765</v>
      </c>
      <c r="I56" s="3">
        <f>250*7.25</f>
        <v>1812.5</v>
      </c>
    </row>
    <row r="57" spans="1:9" x14ac:dyDescent="0.3">
      <c r="A57" s="18">
        <v>43885</v>
      </c>
      <c r="B57">
        <v>0</v>
      </c>
      <c r="C57">
        <v>501</v>
      </c>
      <c r="D57">
        <v>3</v>
      </c>
      <c r="E57">
        <v>0</v>
      </c>
      <c r="F57">
        <v>0</v>
      </c>
      <c r="G57">
        <f>60 *8</f>
        <v>480</v>
      </c>
      <c r="H57">
        <v>468</v>
      </c>
      <c r="I57" s="12">
        <f>250*8.6</f>
        <v>2150</v>
      </c>
    </row>
    <row r="58" spans="1:9" x14ac:dyDescent="0.3">
      <c r="A58" s="18">
        <v>43886</v>
      </c>
      <c r="B58">
        <v>96</v>
      </c>
      <c r="C58">
        <v>395</v>
      </c>
      <c r="D58">
        <v>2</v>
      </c>
      <c r="E58">
        <v>0</v>
      </c>
      <c r="F58">
        <v>163</v>
      </c>
      <c r="G58">
        <f>60 *8</f>
        <v>480</v>
      </c>
      <c r="H58">
        <v>0</v>
      </c>
      <c r="I58" s="12">
        <f>250*8.5</f>
        <v>2125</v>
      </c>
    </row>
    <row r="59" spans="1:9" x14ac:dyDescent="0.3">
      <c r="A59" s="18">
        <v>43887</v>
      </c>
      <c r="B59">
        <v>0</v>
      </c>
      <c r="C59">
        <v>333</v>
      </c>
      <c r="D59">
        <v>2</v>
      </c>
      <c r="E59">
        <v>0</v>
      </c>
      <c r="F59">
        <v>48</v>
      </c>
      <c r="G59">
        <f>60 *8</f>
        <v>480</v>
      </c>
      <c r="H59">
        <v>984</v>
      </c>
      <c r="I59" s="12">
        <f>250*10.7</f>
        <v>2675</v>
      </c>
    </row>
    <row r="60" spans="1:9" x14ac:dyDescent="0.3">
      <c r="A60" s="18">
        <v>43888</v>
      </c>
      <c r="B60">
        <v>60</v>
      </c>
      <c r="C60">
        <v>491</v>
      </c>
      <c r="D60">
        <v>2</v>
      </c>
      <c r="E60">
        <v>0</v>
      </c>
      <c r="F60">
        <v>137</v>
      </c>
      <c r="G60">
        <f>60 *8</f>
        <v>480</v>
      </c>
      <c r="H60">
        <v>0</v>
      </c>
      <c r="I60" s="12">
        <f>250*11</f>
        <v>2750</v>
      </c>
    </row>
    <row r="61" spans="1:9" x14ac:dyDescent="0.3">
      <c r="A61" s="18">
        <v>43889</v>
      </c>
      <c r="B61">
        <v>88</v>
      </c>
      <c r="C61">
        <v>571</v>
      </c>
      <c r="D61">
        <v>2</v>
      </c>
      <c r="E61">
        <v>0</v>
      </c>
      <c r="F61">
        <v>0</v>
      </c>
      <c r="G61">
        <f>60 *8</f>
        <v>480</v>
      </c>
      <c r="H61">
        <v>509</v>
      </c>
      <c r="I61" s="12">
        <f>250*5.8</f>
        <v>1450</v>
      </c>
    </row>
    <row r="62" spans="1:9" x14ac:dyDescent="0.3">
      <c r="A62" s="19">
        <v>43890</v>
      </c>
      <c r="B62" s="3">
        <v>0</v>
      </c>
      <c r="C62" s="3">
        <v>613</v>
      </c>
      <c r="D62" s="3">
        <v>0</v>
      </c>
      <c r="E62" s="3">
        <v>0</v>
      </c>
      <c r="F62" s="3">
        <v>0</v>
      </c>
      <c r="G62" s="3">
        <v>0</v>
      </c>
      <c r="H62" s="3">
        <v>1356</v>
      </c>
      <c r="I62" s="3">
        <f>250*6.6</f>
        <v>1650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38B3F-E1C6-4717-8311-C11781402FC4}">
  <dimension ref="B1:K21"/>
  <sheetViews>
    <sheetView workbookViewId="0">
      <selection activeCell="H22" sqref="H22"/>
    </sheetView>
  </sheetViews>
  <sheetFormatPr defaultRowHeight="14.4" x14ac:dyDescent="0.3"/>
  <cols>
    <col min="2" max="2" width="36.5546875" bestFit="1" customWidth="1"/>
    <col min="3" max="3" width="23" bestFit="1" customWidth="1"/>
    <col min="9" max="9" width="40.77734375" customWidth="1"/>
  </cols>
  <sheetData>
    <row r="1" spans="2:11" ht="15" thickBot="1" x14ac:dyDescent="0.35"/>
    <row r="2" spans="2:11" ht="15" thickTop="1" x14ac:dyDescent="0.3">
      <c r="B2" s="42" t="s">
        <v>161</v>
      </c>
      <c r="C2" s="43"/>
    </row>
    <row r="3" spans="2:11" x14ac:dyDescent="0.3">
      <c r="B3" s="44" t="s">
        <v>146</v>
      </c>
      <c r="C3" s="51" t="s">
        <v>148</v>
      </c>
    </row>
    <row r="4" spans="2:11" x14ac:dyDescent="0.3">
      <c r="B4" s="44" t="s">
        <v>147</v>
      </c>
      <c r="C4" s="51" t="s">
        <v>162</v>
      </c>
    </row>
    <row r="5" spans="2:11" x14ac:dyDescent="0.3">
      <c r="B5" s="44" t="s">
        <v>149</v>
      </c>
      <c r="C5" s="51" t="s">
        <v>163</v>
      </c>
    </row>
    <row r="6" spans="2:11" x14ac:dyDescent="0.3">
      <c r="B6" s="44" t="s">
        <v>150</v>
      </c>
      <c r="C6" s="51" t="s">
        <v>160</v>
      </c>
    </row>
    <row r="7" spans="2:11" x14ac:dyDescent="0.3">
      <c r="B7" s="44" t="s">
        <v>151</v>
      </c>
      <c r="C7" s="51" t="s">
        <v>164</v>
      </c>
      <c r="K7">
        <v>18</v>
      </c>
    </row>
    <row r="8" spans="2:11" x14ac:dyDescent="0.3">
      <c r="B8" s="44" t="s">
        <v>152</v>
      </c>
      <c r="C8" s="51" t="s">
        <v>165</v>
      </c>
    </row>
    <row r="9" spans="2:11" ht="15" thickBot="1" x14ac:dyDescent="0.35">
      <c r="B9" s="46" t="s">
        <v>153</v>
      </c>
      <c r="C9" s="52">
        <v>1</v>
      </c>
    </row>
    <row r="10" spans="2:11" ht="15" thickTop="1" x14ac:dyDescent="0.3"/>
    <row r="11" spans="2:11" x14ac:dyDescent="0.3">
      <c r="I11" s="48"/>
    </row>
    <row r="12" spans="2:11" ht="15" thickBot="1" x14ac:dyDescent="0.35">
      <c r="I12" s="32"/>
    </row>
    <row r="13" spans="2:11" ht="15" thickTop="1" x14ac:dyDescent="0.3">
      <c r="B13" s="42" t="s">
        <v>161</v>
      </c>
      <c r="C13" s="43"/>
    </row>
    <row r="14" spans="2:11" x14ac:dyDescent="0.3">
      <c r="B14" s="44" t="s">
        <v>146</v>
      </c>
      <c r="C14" s="45" t="s">
        <v>148</v>
      </c>
    </row>
    <row r="15" spans="2:11" x14ac:dyDescent="0.3">
      <c r="B15" s="44" t="s">
        <v>147</v>
      </c>
      <c r="C15" s="45" t="s">
        <v>169</v>
      </c>
      <c r="I15" s="32" t="s">
        <v>6</v>
      </c>
    </row>
    <row r="16" spans="2:11" x14ac:dyDescent="0.3">
      <c r="B16" s="44" t="s">
        <v>149</v>
      </c>
      <c r="C16" s="45" t="s">
        <v>170</v>
      </c>
    </row>
    <row r="17" spans="2:3" x14ac:dyDescent="0.3">
      <c r="B17" s="44" t="s">
        <v>150</v>
      </c>
      <c r="C17" s="45" t="s">
        <v>171</v>
      </c>
    </row>
    <row r="18" spans="2:3" x14ac:dyDescent="0.3">
      <c r="B18" s="44" t="s">
        <v>151</v>
      </c>
      <c r="C18" s="45" t="s">
        <v>172</v>
      </c>
    </row>
    <row r="19" spans="2:3" x14ac:dyDescent="0.3">
      <c r="B19" s="44" t="s">
        <v>152</v>
      </c>
      <c r="C19" s="45" t="s">
        <v>173</v>
      </c>
    </row>
    <row r="20" spans="2:3" ht="15" thickBot="1" x14ac:dyDescent="0.35">
      <c r="B20" s="46" t="s">
        <v>153</v>
      </c>
      <c r="C20" s="47">
        <v>2.9</v>
      </c>
    </row>
    <row r="21" spans="2:3" ht="15" thickTop="1"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BA84B-A661-46D6-ADB7-767BFE8C82E5}">
  <dimension ref="A1:I74"/>
  <sheetViews>
    <sheetView zoomScaleNormal="100" workbookViewId="0">
      <pane ySplit="1" topLeftCell="A47" activePane="bottomLeft" state="frozen"/>
      <selection pane="bottomLeft" activeCell="A2" sqref="A2:A61"/>
    </sheetView>
  </sheetViews>
  <sheetFormatPr defaultRowHeight="14.4" x14ac:dyDescent="0.3"/>
  <cols>
    <col min="1" max="1" width="9.6640625" bestFit="1" customWidth="1"/>
    <col min="2" max="2" width="18" bestFit="1" customWidth="1"/>
    <col min="3" max="3" width="26.88671875" bestFit="1" customWidth="1"/>
    <col min="4" max="4" width="14.6640625" bestFit="1" customWidth="1"/>
    <col min="5" max="5" width="17.33203125" bestFit="1" customWidth="1"/>
    <col min="6" max="6" width="14.44140625" bestFit="1" customWidth="1"/>
    <col min="7" max="7" width="27.6640625" bestFit="1" customWidth="1"/>
    <col min="8" max="8" width="18.88671875" bestFit="1" customWidth="1"/>
  </cols>
  <sheetData>
    <row r="1" spans="1:9" x14ac:dyDescent="0.3">
      <c r="A1" t="s">
        <v>0</v>
      </c>
      <c r="B1" t="s">
        <v>1</v>
      </c>
      <c r="C1" t="s">
        <v>42</v>
      </c>
      <c r="D1" t="s">
        <v>43</v>
      </c>
      <c r="E1" t="s">
        <v>46</v>
      </c>
      <c r="F1" t="s">
        <v>47</v>
      </c>
      <c r="G1" t="s">
        <v>48</v>
      </c>
      <c r="H1" s="26" t="s">
        <v>92</v>
      </c>
      <c r="I1" s="26" t="s">
        <v>93</v>
      </c>
    </row>
    <row r="2" spans="1:9" x14ac:dyDescent="0.3">
      <c r="A2" s="1">
        <v>43831</v>
      </c>
      <c r="C2">
        <v>0</v>
      </c>
      <c r="D2">
        <v>372</v>
      </c>
      <c r="E2">
        <v>0</v>
      </c>
      <c r="F2">
        <v>0</v>
      </c>
      <c r="G2">
        <v>720</v>
      </c>
      <c r="H2" s="12">
        <f>8.5*250</f>
        <v>2125</v>
      </c>
      <c r="I2" s="12">
        <v>0</v>
      </c>
    </row>
    <row r="3" spans="1:9" x14ac:dyDescent="0.3">
      <c r="A3" s="1">
        <v>43832</v>
      </c>
      <c r="C3">
        <v>0</v>
      </c>
      <c r="D3">
        <v>405</v>
      </c>
      <c r="E3">
        <v>0</v>
      </c>
      <c r="F3">
        <f>2*60</f>
        <v>120</v>
      </c>
      <c r="G3">
        <v>413</v>
      </c>
      <c r="H3" s="12">
        <f>250*6.25</f>
        <v>1562.5</v>
      </c>
      <c r="I3" s="12">
        <v>0</v>
      </c>
    </row>
    <row r="4" spans="1:9" x14ac:dyDescent="0.3">
      <c r="A4" s="1">
        <v>43833</v>
      </c>
      <c r="C4">
        <v>0</v>
      </c>
      <c r="D4">
        <v>582</v>
      </c>
      <c r="E4">
        <v>2</v>
      </c>
      <c r="F4">
        <f>60 *8</f>
        <v>480</v>
      </c>
      <c r="G4">
        <v>1021</v>
      </c>
      <c r="H4" s="12">
        <f>250*10</f>
        <v>2500</v>
      </c>
      <c r="I4" s="12">
        <v>0</v>
      </c>
    </row>
    <row r="5" spans="1:9" s="3" customFormat="1" x14ac:dyDescent="0.3">
      <c r="A5" s="2">
        <v>43834</v>
      </c>
      <c r="C5" s="3">
        <v>0</v>
      </c>
      <c r="D5" s="3">
        <v>621</v>
      </c>
      <c r="E5" s="3">
        <v>0</v>
      </c>
      <c r="F5" s="3">
        <v>0</v>
      </c>
      <c r="G5" s="3">
        <v>1433</v>
      </c>
      <c r="H5" s="3">
        <f>250*7.5</f>
        <v>1875</v>
      </c>
      <c r="I5" s="3">
        <v>0</v>
      </c>
    </row>
    <row r="6" spans="1:9" s="3" customFormat="1" x14ac:dyDescent="0.3">
      <c r="A6" s="2">
        <v>43835</v>
      </c>
      <c r="C6" s="3">
        <v>0</v>
      </c>
      <c r="D6" s="3">
        <v>322</v>
      </c>
      <c r="E6" s="3">
        <v>0</v>
      </c>
      <c r="F6" s="3">
        <v>0</v>
      </c>
      <c r="G6" s="3">
        <v>1504</v>
      </c>
      <c r="H6" s="3">
        <f>250*10</f>
        <v>2500</v>
      </c>
      <c r="I6" s="3">
        <v>0</v>
      </c>
    </row>
    <row r="7" spans="1:9" x14ac:dyDescent="0.3">
      <c r="A7" s="1">
        <v>43836</v>
      </c>
      <c r="B7" t="s">
        <v>3</v>
      </c>
      <c r="C7">
        <v>60</v>
      </c>
      <c r="D7">
        <v>418</v>
      </c>
      <c r="E7">
        <v>156</v>
      </c>
      <c r="F7">
        <f>60 *8</f>
        <v>480</v>
      </c>
      <c r="G7">
        <v>0</v>
      </c>
      <c r="H7" s="12">
        <f>250*11.5</f>
        <v>2875</v>
      </c>
      <c r="I7" s="12">
        <v>0</v>
      </c>
    </row>
    <row r="8" spans="1:9" x14ac:dyDescent="0.3">
      <c r="A8" s="1">
        <v>43837</v>
      </c>
      <c r="B8" t="s">
        <v>4</v>
      </c>
      <c r="C8">
        <v>93</v>
      </c>
      <c r="D8">
        <v>456</v>
      </c>
      <c r="E8">
        <v>194</v>
      </c>
      <c r="F8">
        <f>60 *8</f>
        <v>480</v>
      </c>
      <c r="G8">
        <v>0</v>
      </c>
      <c r="H8" s="12">
        <f>250*12</f>
        <v>3000</v>
      </c>
      <c r="I8" s="12">
        <v>0</v>
      </c>
    </row>
    <row r="9" spans="1:9" x14ac:dyDescent="0.3">
      <c r="A9" s="1">
        <v>43838</v>
      </c>
      <c r="B9" t="s">
        <v>5</v>
      </c>
      <c r="C9">
        <v>184</v>
      </c>
      <c r="D9">
        <v>438</v>
      </c>
      <c r="E9">
        <v>118</v>
      </c>
      <c r="F9">
        <f>60 *8</f>
        <v>480</v>
      </c>
      <c r="G9">
        <v>0</v>
      </c>
      <c r="H9" s="12">
        <f>250*13.5</f>
        <v>3375</v>
      </c>
      <c r="I9" s="12">
        <v>0</v>
      </c>
    </row>
    <row r="10" spans="1:9" x14ac:dyDescent="0.3">
      <c r="A10" s="1">
        <v>43839</v>
      </c>
      <c r="C10">
        <v>0</v>
      </c>
      <c r="D10">
        <v>792</v>
      </c>
      <c r="E10">
        <v>0</v>
      </c>
      <c r="F10">
        <v>240</v>
      </c>
      <c r="G10">
        <v>0</v>
      </c>
      <c r="H10" s="12">
        <f>250*3</f>
        <v>750</v>
      </c>
      <c r="I10" s="12">
        <v>1</v>
      </c>
    </row>
    <row r="11" spans="1:9" x14ac:dyDescent="0.3">
      <c r="A11" s="1">
        <v>43840</v>
      </c>
      <c r="C11">
        <v>0</v>
      </c>
      <c r="D11">
        <v>781</v>
      </c>
      <c r="E11">
        <v>0</v>
      </c>
      <c r="F11">
        <v>180</v>
      </c>
      <c r="G11">
        <v>630</v>
      </c>
      <c r="H11" s="12">
        <f>250*4.75</f>
        <v>1187.5</v>
      </c>
      <c r="I11" s="12">
        <v>1</v>
      </c>
    </row>
    <row r="12" spans="1:9" s="3" customFormat="1" x14ac:dyDescent="0.3">
      <c r="A12" s="2">
        <v>43841</v>
      </c>
      <c r="B12" s="3" t="s">
        <v>3</v>
      </c>
      <c r="C12" s="3">
        <v>20</v>
      </c>
      <c r="D12" s="3">
        <v>617</v>
      </c>
      <c r="E12" s="3">
        <v>0</v>
      </c>
      <c r="F12" s="3">
        <v>0</v>
      </c>
      <c r="G12" s="3">
        <v>1011</v>
      </c>
      <c r="H12" s="3">
        <f>250*10.5</f>
        <v>2625</v>
      </c>
      <c r="I12" s="3">
        <v>1</v>
      </c>
    </row>
    <row r="13" spans="1:9" s="3" customFormat="1" x14ac:dyDescent="0.3">
      <c r="A13" s="2">
        <v>43842</v>
      </c>
      <c r="B13" s="3" t="s">
        <v>3</v>
      </c>
      <c r="C13" s="3">
        <v>30</v>
      </c>
      <c r="D13" s="3">
        <v>692</v>
      </c>
      <c r="E13" s="3">
        <v>245</v>
      </c>
      <c r="F13" s="3">
        <v>0</v>
      </c>
      <c r="G13" s="3">
        <v>1030</v>
      </c>
      <c r="H13" s="3">
        <f>250*4.75</f>
        <v>1187.5</v>
      </c>
      <c r="I13" s="3">
        <v>1</v>
      </c>
    </row>
    <row r="14" spans="1:9" x14ac:dyDescent="0.3">
      <c r="A14" s="1">
        <v>43843</v>
      </c>
      <c r="C14">
        <v>0</v>
      </c>
      <c r="D14">
        <v>479</v>
      </c>
      <c r="E14">
        <v>120</v>
      </c>
      <c r="F14">
        <f>60 *8</f>
        <v>480</v>
      </c>
      <c r="G14">
        <v>0</v>
      </c>
      <c r="H14" s="12">
        <f>250*7.25</f>
        <v>1812.5</v>
      </c>
      <c r="I14" s="12">
        <v>0</v>
      </c>
    </row>
    <row r="15" spans="1:9" x14ac:dyDescent="0.3">
      <c r="A15" s="1">
        <v>43844</v>
      </c>
      <c r="B15" t="s">
        <v>8</v>
      </c>
      <c r="C15">
        <v>62</v>
      </c>
      <c r="D15">
        <v>463</v>
      </c>
      <c r="E15">
        <v>156</v>
      </c>
      <c r="F15">
        <f>60 *8</f>
        <v>480</v>
      </c>
      <c r="G15">
        <v>0</v>
      </c>
      <c r="H15" s="12">
        <f>250*9.75</f>
        <v>2437.5</v>
      </c>
      <c r="I15" s="12">
        <v>0</v>
      </c>
    </row>
    <row r="16" spans="1:9" x14ac:dyDescent="0.3">
      <c r="A16" s="1">
        <v>43845</v>
      </c>
      <c r="B16" t="s">
        <v>5</v>
      </c>
      <c r="C16">
        <v>197</v>
      </c>
      <c r="D16">
        <v>355</v>
      </c>
      <c r="E16">
        <v>162</v>
      </c>
      <c r="F16">
        <f>60 *8</f>
        <v>480</v>
      </c>
      <c r="G16">
        <v>0</v>
      </c>
      <c r="H16" s="12">
        <f>250*8</f>
        <v>2000</v>
      </c>
      <c r="I16" s="12">
        <v>0</v>
      </c>
    </row>
    <row r="17" spans="1:9" x14ac:dyDescent="0.3">
      <c r="A17" s="1">
        <v>43846</v>
      </c>
      <c r="C17">
        <v>0</v>
      </c>
      <c r="D17">
        <v>273</v>
      </c>
      <c r="E17">
        <v>191</v>
      </c>
      <c r="F17">
        <f>60 *8</f>
        <v>480</v>
      </c>
      <c r="G17">
        <v>0</v>
      </c>
      <c r="H17" s="12">
        <f>250*9</f>
        <v>2250</v>
      </c>
      <c r="I17" s="12">
        <v>0</v>
      </c>
    </row>
    <row r="18" spans="1:9" x14ac:dyDescent="0.3">
      <c r="A18" s="1">
        <v>43847</v>
      </c>
      <c r="B18" t="s">
        <v>6</v>
      </c>
      <c r="C18">
        <v>0</v>
      </c>
      <c r="D18">
        <v>324</v>
      </c>
      <c r="E18">
        <v>0</v>
      </c>
      <c r="F18">
        <f>60 *8</f>
        <v>480</v>
      </c>
      <c r="G18">
        <v>487</v>
      </c>
      <c r="H18" s="12">
        <f>250*6.3</f>
        <v>1575</v>
      </c>
      <c r="I18" s="12">
        <v>0</v>
      </c>
    </row>
    <row r="19" spans="1:9" s="3" customFormat="1" x14ac:dyDescent="0.3">
      <c r="A19" s="2">
        <v>43848</v>
      </c>
      <c r="C19" s="3">
        <v>0</v>
      </c>
      <c r="D19" s="3">
        <v>512</v>
      </c>
      <c r="E19" s="3">
        <v>0</v>
      </c>
      <c r="F19" s="3">
        <v>0</v>
      </c>
      <c r="G19" s="3">
        <v>1832</v>
      </c>
      <c r="H19" s="3">
        <f>250*3.8</f>
        <v>950</v>
      </c>
      <c r="I19" s="3">
        <v>0</v>
      </c>
    </row>
    <row r="20" spans="1:9" s="3" customFormat="1" x14ac:dyDescent="0.3">
      <c r="A20" s="2">
        <v>43849</v>
      </c>
      <c r="C20" s="3">
        <v>0</v>
      </c>
      <c r="D20" s="3">
        <v>618</v>
      </c>
      <c r="E20" s="3">
        <v>238</v>
      </c>
      <c r="F20" s="3">
        <v>0</v>
      </c>
      <c r="G20" s="3">
        <v>1567</v>
      </c>
      <c r="H20" s="3">
        <f>250*12.3</f>
        <v>3075</v>
      </c>
      <c r="I20" s="3">
        <v>0</v>
      </c>
    </row>
    <row r="21" spans="1:9" x14ac:dyDescent="0.3">
      <c r="A21" s="1">
        <v>43850</v>
      </c>
      <c r="B21" t="s">
        <v>2</v>
      </c>
      <c r="C21">
        <v>63</v>
      </c>
      <c r="D21">
        <v>363</v>
      </c>
      <c r="E21">
        <v>187</v>
      </c>
      <c r="F21">
        <f>60 *8</f>
        <v>480</v>
      </c>
      <c r="G21">
        <v>0</v>
      </c>
      <c r="H21" s="12">
        <f>250*11.6</f>
        <v>2900</v>
      </c>
      <c r="I21" s="12">
        <v>0</v>
      </c>
    </row>
    <row r="22" spans="1:9" x14ac:dyDescent="0.3">
      <c r="A22" s="1">
        <v>43851</v>
      </c>
      <c r="B22" t="s">
        <v>2</v>
      </c>
      <c r="C22">
        <v>57</v>
      </c>
      <c r="D22">
        <v>351</v>
      </c>
      <c r="E22">
        <v>208</v>
      </c>
      <c r="F22">
        <f>60 *8</f>
        <v>480</v>
      </c>
      <c r="G22">
        <v>0</v>
      </c>
      <c r="H22" s="12">
        <f>250*10.5</f>
        <v>2625</v>
      </c>
      <c r="I22" s="12">
        <v>0</v>
      </c>
    </row>
    <row r="23" spans="1:9" x14ac:dyDescent="0.3">
      <c r="A23" s="1">
        <v>43852</v>
      </c>
      <c r="B23" t="s">
        <v>5</v>
      </c>
      <c r="C23">
        <v>204</v>
      </c>
      <c r="D23">
        <v>338</v>
      </c>
      <c r="E23">
        <v>156</v>
      </c>
      <c r="F23">
        <f>60 *8</f>
        <v>480</v>
      </c>
      <c r="G23">
        <v>0</v>
      </c>
      <c r="H23" s="12">
        <f>250*11.5</f>
        <v>2875</v>
      </c>
      <c r="I23" s="12">
        <v>0</v>
      </c>
    </row>
    <row r="24" spans="1:9" x14ac:dyDescent="0.3">
      <c r="A24" s="1">
        <v>43853</v>
      </c>
      <c r="B24" t="s">
        <v>6</v>
      </c>
      <c r="C24">
        <v>0</v>
      </c>
      <c r="D24">
        <v>286</v>
      </c>
      <c r="E24">
        <v>88</v>
      </c>
      <c r="F24">
        <f>60 *8</f>
        <v>480</v>
      </c>
      <c r="G24">
        <v>0</v>
      </c>
      <c r="H24" s="12">
        <f>250*10</f>
        <v>2500</v>
      </c>
      <c r="I24" s="12">
        <v>0</v>
      </c>
    </row>
    <row r="25" spans="1:9" x14ac:dyDescent="0.3">
      <c r="A25" s="1">
        <v>43854</v>
      </c>
      <c r="B25" t="s">
        <v>7</v>
      </c>
      <c r="C25">
        <v>127</v>
      </c>
      <c r="D25">
        <v>371</v>
      </c>
      <c r="E25">
        <v>0</v>
      </c>
      <c r="F25">
        <f>60 *8</f>
        <v>480</v>
      </c>
      <c r="G25">
        <v>0</v>
      </c>
      <c r="H25" s="12">
        <f>250*6.6</f>
        <v>1650</v>
      </c>
      <c r="I25" s="12">
        <v>0</v>
      </c>
    </row>
    <row r="26" spans="1:9" s="3" customFormat="1" x14ac:dyDescent="0.3">
      <c r="A26" s="2">
        <v>43855</v>
      </c>
      <c r="B26" s="3" t="s">
        <v>8</v>
      </c>
      <c r="C26" s="3">
        <v>60</v>
      </c>
      <c r="D26" s="3">
        <v>541</v>
      </c>
      <c r="E26" s="3">
        <v>0</v>
      </c>
      <c r="F26" s="3">
        <v>0</v>
      </c>
      <c r="G26" s="3">
        <v>0</v>
      </c>
      <c r="H26" s="3">
        <f>250*9.7</f>
        <v>2425</v>
      </c>
      <c r="I26" s="3">
        <v>0</v>
      </c>
    </row>
    <row r="27" spans="1:9" s="3" customFormat="1" x14ac:dyDescent="0.3">
      <c r="A27" s="2">
        <v>43856</v>
      </c>
      <c r="B27" s="3" t="s">
        <v>3</v>
      </c>
      <c r="C27" s="3">
        <v>60</v>
      </c>
      <c r="D27" s="3">
        <v>665</v>
      </c>
      <c r="E27" s="3">
        <v>258</v>
      </c>
      <c r="F27" s="3">
        <v>0</v>
      </c>
      <c r="G27" s="3">
        <v>0</v>
      </c>
      <c r="H27" s="3">
        <f>250*5.5</f>
        <v>1375</v>
      </c>
      <c r="I27" s="3">
        <v>0</v>
      </c>
    </row>
    <row r="28" spans="1:9" x14ac:dyDescent="0.3">
      <c r="A28" s="1">
        <v>43857</v>
      </c>
      <c r="B28" t="s">
        <v>4</v>
      </c>
      <c r="C28">
        <v>87</v>
      </c>
      <c r="D28">
        <v>481</v>
      </c>
      <c r="E28">
        <v>114</v>
      </c>
      <c r="F28">
        <f>60 *8</f>
        <v>480</v>
      </c>
      <c r="G28">
        <v>372</v>
      </c>
      <c r="H28" s="12">
        <f>250*6</f>
        <v>1500</v>
      </c>
      <c r="I28" s="12">
        <v>0</v>
      </c>
    </row>
    <row r="29" spans="1:9" x14ac:dyDescent="0.3">
      <c r="A29" s="1">
        <v>43858</v>
      </c>
      <c r="C29">
        <v>0</v>
      </c>
      <c r="D29">
        <v>429</v>
      </c>
      <c r="E29">
        <v>0</v>
      </c>
      <c r="F29">
        <v>360</v>
      </c>
      <c r="G29">
        <v>849</v>
      </c>
      <c r="H29" s="12">
        <f>250*8.3</f>
        <v>2075</v>
      </c>
      <c r="I29" s="12">
        <v>1</v>
      </c>
    </row>
    <row r="30" spans="1:9" x14ac:dyDescent="0.3">
      <c r="A30" s="1">
        <v>43859</v>
      </c>
      <c r="B30" t="s">
        <v>6</v>
      </c>
      <c r="C30">
        <v>0</v>
      </c>
      <c r="D30">
        <v>604</v>
      </c>
      <c r="E30">
        <v>0</v>
      </c>
      <c r="F30">
        <v>180</v>
      </c>
      <c r="G30">
        <v>536</v>
      </c>
      <c r="H30" s="12">
        <f>250*4.5</f>
        <v>1125</v>
      </c>
      <c r="I30" s="12">
        <v>1</v>
      </c>
    </row>
    <row r="31" spans="1:9" x14ac:dyDescent="0.3">
      <c r="A31" s="1">
        <v>43860</v>
      </c>
      <c r="C31">
        <v>0</v>
      </c>
      <c r="D31">
        <v>563</v>
      </c>
      <c r="E31">
        <v>0</v>
      </c>
      <c r="F31">
        <v>240</v>
      </c>
      <c r="G31">
        <v>1045</v>
      </c>
      <c r="H31" s="12">
        <f>250*6.4</f>
        <v>1600</v>
      </c>
      <c r="I31" s="12">
        <v>1</v>
      </c>
    </row>
    <row r="32" spans="1:9" x14ac:dyDescent="0.3">
      <c r="A32" s="1">
        <v>43861</v>
      </c>
      <c r="C32">
        <v>0</v>
      </c>
      <c r="D32">
        <v>662</v>
      </c>
      <c r="E32">
        <v>0</v>
      </c>
      <c r="F32">
        <f>60 *8</f>
        <v>480</v>
      </c>
      <c r="G32">
        <v>717</v>
      </c>
      <c r="H32" s="12">
        <f>250*4.25</f>
        <v>1062.5</v>
      </c>
      <c r="I32" s="12">
        <v>1</v>
      </c>
    </row>
    <row r="33" spans="1:9" s="3" customFormat="1" x14ac:dyDescent="0.3">
      <c r="A33" s="2">
        <v>43862</v>
      </c>
      <c r="C33" s="3">
        <v>0</v>
      </c>
      <c r="D33" s="3">
        <v>729</v>
      </c>
      <c r="E33" s="3">
        <v>0</v>
      </c>
      <c r="F33" s="3">
        <v>0</v>
      </c>
      <c r="G33" s="3">
        <v>1432</v>
      </c>
      <c r="H33" s="3">
        <f>250*5.5</f>
        <v>1375</v>
      </c>
      <c r="I33" s="3">
        <v>1</v>
      </c>
    </row>
    <row r="34" spans="1:9" s="3" customFormat="1" x14ac:dyDescent="0.3">
      <c r="A34" s="2">
        <v>43863</v>
      </c>
      <c r="C34" s="3">
        <v>0</v>
      </c>
      <c r="D34" s="3">
        <v>797</v>
      </c>
      <c r="E34" s="3">
        <v>0</v>
      </c>
      <c r="F34" s="3">
        <v>0</v>
      </c>
      <c r="G34" s="3">
        <v>1567</v>
      </c>
      <c r="H34" s="3">
        <f>250*5.8</f>
        <v>1450</v>
      </c>
      <c r="I34" s="3">
        <v>1</v>
      </c>
    </row>
    <row r="35" spans="1:9" x14ac:dyDescent="0.3">
      <c r="A35" s="1">
        <v>43864</v>
      </c>
      <c r="C35">
        <v>0</v>
      </c>
      <c r="D35">
        <v>648</v>
      </c>
      <c r="E35">
        <v>0</v>
      </c>
      <c r="F35">
        <f>60 *8</f>
        <v>480</v>
      </c>
      <c r="G35">
        <v>1045</v>
      </c>
      <c r="H35" s="12">
        <f>250*6.3</f>
        <v>1575</v>
      </c>
      <c r="I35" s="12">
        <v>1</v>
      </c>
    </row>
    <row r="36" spans="1:9" x14ac:dyDescent="0.3">
      <c r="A36" s="1">
        <v>43865</v>
      </c>
      <c r="C36">
        <v>0</v>
      </c>
      <c r="D36">
        <v>658</v>
      </c>
      <c r="E36">
        <v>0</v>
      </c>
      <c r="F36">
        <f>60 *8</f>
        <v>480</v>
      </c>
      <c r="G36">
        <v>489</v>
      </c>
      <c r="H36" s="12">
        <f>250*3.75</f>
        <v>937.5</v>
      </c>
      <c r="I36" s="12">
        <v>1</v>
      </c>
    </row>
    <row r="37" spans="1:9" x14ac:dyDescent="0.3">
      <c r="A37" s="1">
        <v>43866</v>
      </c>
      <c r="C37">
        <v>0</v>
      </c>
      <c r="D37">
        <v>727</v>
      </c>
      <c r="E37">
        <v>0</v>
      </c>
      <c r="F37">
        <f>60 *8</f>
        <v>480</v>
      </c>
      <c r="G37">
        <v>1005</v>
      </c>
      <c r="H37" s="12">
        <f>250*5</f>
        <v>1250</v>
      </c>
      <c r="I37" s="12">
        <v>1</v>
      </c>
    </row>
    <row r="38" spans="1:9" x14ac:dyDescent="0.3">
      <c r="A38" s="1">
        <v>43867</v>
      </c>
      <c r="C38">
        <v>0</v>
      </c>
      <c r="D38">
        <v>654</v>
      </c>
      <c r="E38">
        <v>0</v>
      </c>
      <c r="F38">
        <f>60 *8</f>
        <v>480</v>
      </c>
      <c r="G38">
        <v>738</v>
      </c>
      <c r="H38" s="12">
        <f>250*7.9</f>
        <v>1975</v>
      </c>
      <c r="I38" s="12">
        <v>1</v>
      </c>
    </row>
    <row r="39" spans="1:9" x14ac:dyDescent="0.3">
      <c r="A39" s="1">
        <v>43868</v>
      </c>
      <c r="B39" t="s">
        <v>3</v>
      </c>
      <c r="C39">
        <v>25</v>
      </c>
      <c r="D39">
        <v>475</v>
      </c>
      <c r="E39">
        <v>0</v>
      </c>
      <c r="F39">
        <f>60 *8</f>
        <v>480</v>
      </c>
      <c r="G39">
        <v>406</v>
      </c>
      <c r="H39" s="12">
        <f>250*6.5</f>
        <v>1625</v>
      </c>
      <c r="I39" s="12">
        <v>1</v>
      </c>
    </row>
    <row r="40" spans="1:9" s="3" customFormat="1" x14ac:dyDescent="0.3">
      <c r="A40" s="2">
        <v>43869</v>
      </c>
      <c r="B40" s="3" t="s">
        <v>3</v>
      </c>
      <c r="C40" s="3">
        <v>20</v>
      </c>
      <c r="D40" s="3">
        <v>849</v>
      </c>
      <c r="E40" s="3">
        <v>0</v>
      </c>
      <c r="F40" s="3">
        <v>0</v>
      </c>
      <c r="G40" s="3">
        <v>538</v>
      </c>
      <c r="H40" s="3">
        <f>250*6.3</f>
        <v>1575</v>
      </c>
      <c r="I40" s="3">
        <v>1</v>
      </c>
    </row>
    <row r="41" spans="1:9" s="3" customFormat="1" x14ac:dyDescent="0.3">
      <c r="A41" s="2">
        <v>43870</v>
      </c>
      <c r="B41" s="3" t="s">
        <v>3</v>
      </c>
      <c r="C41" s="3">
        <v>32</v>
      </c>
      <c r="D41" s="3">
        <v>611</v>
      </c>
      <c r="E41" s="3">
        <v>238</v>
      </c>
      <c r="F41" s="3">
        <v>0</v>
      </c>
      <c r="G41" s="3">
        <v>538</v>
      </c>
      <c r="H41" s="3">
        <f>250*5.9</f>
        <v>1475</v>
      </c>
      <c r="I41" s="3">
        <v>1</v>
      </c>
    </row>
    <row r="42" spans="1:9" x14ac:dyDescent="0.3">
      <c r="A42" s="1">
        <v>43871</v>
      </c>
      <c r="B42" t="s">
        <v>6</v>
      </c>
      <c r="C42">
        <v>0</v>
      </c>
      <c r="D42">
        <v>199</v>
      </c>
      <c r="E42">
        <v>119</v>
      </c>
      <c r="F42">
        <f>60 *8</f>
        <v>480</v>
      </c>
      <c r="G42">
        <v>0</v>
      </c>
      <c r="H42" s="12">
        <f>250*12.3</f>
        <v>3075</v>
      </c>
      <c r="I42" s="12">
        <v>1</v>
      </c>
    </row>
    <row r="43" spans="1:9" x14ac:dyDescent="0.3">
      <c r="A43" s="1">
        <v>43872</v>
      </c>
      <c r="C43">
        <v>0</v>
      </c>
      <c r="D43">
        <v>274</v>
      </c>
      <c r="E43">
        <v>166</v>
      </c>
      <c r="F43">
        <f>60 *8</f>
        <v>480</v>
      </c>
      <c r="G43">
        <v>0</v>
      </c>
      <c r="H43" s="12">
        <f>250*9</f>
        <v>2250</v>
      </c>
      <c r="I43" s="12">
        <v>1</v>
      </c>
    </row>
    <row r="44" spans="1:9" x14ac:dyDescent="0.3">
      <c r="A44" s="1">
        <v>43873</v>
      </c>
      <c r="B44" t="s">
        <v>8</v>
      </c>
      <c r="C44">
        <v>65</v>
      </c>
      <c r="D44">
        <v>356</v>
      </c>
      <c r="E44">
        <v>142</v>
      </c>
      <c r="F44">
        <f>60 *8</f>
        <v>480</v>
      </c>
      <c r="G44">
        <v>0</v>
      </c>
      <c r="H44" s="12">
        <f>250*11.5</f>
        <v>2875</v>
      </c>
      <c r="I44" s="12">
        <v>1</v>
      </c>
    </row>
    <row r="45" spans="1:9" x14ac:dyDescent="0.3">
      <c r="A45" s="1">
        <v>43874</v>
      </c>
      <c r="B45" t="s">
        <v>8</v>
      </c>
      <c r="C45">
        <v>60</v>
      </c>
      <c r="D45">
        <v>388</v>
      </c>
      <c r="E45">
        <v>177</v>
      </c>
      <c r="F45">
        <f>60 *8</f>
        <v>480</v>
      </c>
      <c r="G45">
        <v>0</v>
      </c>
      <c r="H45" s="12">
        <f>250*6</f>
        <v>1500</v>
      </c>
      <c r="I45" s="12">
        <v>1</v>
      </c>
    </row>
    <row r="46" spans="1:9" x14ac:dyDescent="0.3">
      <c r="A46" s="1">
        <v>43875</v>
      </c>
      <c r="B46" t="s">
        <v>8</v>
      </c>
      <c r="C46">
        <v>59</v>
      </c>
      <c r="D46">
        <v>453</v>
      </c>
      <c r="E46">
        <v>0</v>
      </c>
      <c r="F46">
        <v>120</v>
      </c>
      <c r="G46">
        <v>392</v>
      </c>
      <c r="H46" s="12">
        <f>250*3.75</f>
        <v>937.5</v>
      </c>
      <c r="I46" s="12">
        <v>1</v>
      </c>
    </row>
    <row r="47" spans="1:9" s="3" customFormat="1" x14ac:dyDescent="0.3">
      <c r="A47" s="2">
        <v>43876</v>
      </c>
      <c r="C47" s="3">
        <v>0</v>
      </c>
      <c r="D47" s="3">
        <v>568</v>
      </c>
      <c r="E47" s="3">
        <v>0</v>
      </c>
      <c r="F47" s="3">
        <v>0</v>
      </c>
      <c r="G47" s="3">
        <v>0</v>
      </c>
      <c r="H47" s="3">
        <f>250*7.75</f>
        <v>1937.5</v>
      </c>
      <c r="I47" s="3">
        <v>1</v>
      </c>
    </row>
    <row r="48" spans="1:9" s="3" customFormat="1" x14ac:dyDescent="0.3">
      <c r="A48" s="2">
        <v>43877</v>
      </c>
      <c r="B48" s="3" t="s">
        <v>3</v>
      </c>
      <c r="C48" s="3">
        <v>30</v>
      </c>
      <c r="D48" s="3">
        <v>422</v>
      </c>
      <c r="E48" s="3">
        <v>233</v>
      </c>
      <c r="F48" s="3">
        <v>0</v>
      </c>
      <c r="G48" s="3">
        <v>1974</v>
      </c>
      <c r="H48" s="3">
        <f>250*12.3</f>
        <v>3075</v>
      </c>
      <c r="I48" s="3">
        <v>1</v>
      </c>
    </row>
    <row r="49" spans="1:9" x14ac:dyDescent="0.3">
      <c r="A49" s="1">
        <v>43878</v>
      </c>
      <c r="B49" t="s">
        <v>6</v>
      </c>
      <c r="C49">
        <v>0</v>
      </c>
      <c r="D49">
        <v>363</v>
      </c>
      <c r="E49">
        <v>196</v>
      </c>
      <c r="F49">
        <v>0</v>
      </c>
      <c r="G49">
        <v>2340</v>
      </c>
      <c r="H49" s="12">
        <f>250*10.5</f>
        <v>2625</v>
      </c>
      <c r="I49" s="12">
        <v>0</v>
      </c>
    </row>
    <row r="50" spans="1:9" x14ac:dyDescent="0.3">
      <c r="A50" s="1">
        <v>43879</v>
      </c>
      <c r="B50" t="s">
        <v>8</v>
      </c>
      <c r="C50">
        <v>64</v>
      </c>
      <c r="D50">
        <v>427</v>
      </c>
      <c r="E50">
        <v>115</v>
      </c>
      <c r="F50">
        <f>60 *8</f>
        <v>480</v>
      </c>
      <c r="G50">
        <v>0</v>
      </c>
      <c r="H50" s="12">
        <f>250*9.3</f>
        <v>2325</v>
      </c>
      <c r="I50" s="12">
        <v>0</v>
      </c>
    </row>
    <row r="51" spans="1:9" x14ac:dyDescent="0.3">
      <c r="A51" s="1">
        <v>43880</v>
      </c>
      <c r="B51" t="s">
        <v>7</v>
      </c>
      <c r="C51">
        <v>95</v>
      </c>
      <c r="D51">
        <v>360</v>
      </c>
      <c r="E51">
        <v>163</v>
      </c>
      <c r="F51">
        <f>60 *8</f>
        <v>480</v>
      </c>
      <c r="G51">
        <v>0</v>
      </c>
      <c r="H51" s="12">
        <f>250*14</f>
        <v>3500</v>
      </c>
      <c r="I51" s="12">
        <v>0</v>
      </c>
    </row>
    <row r="52" spans="1:9" x14ac:dyDescent="0.3">
      <c r="A52" s="1">
        <v>43881</v>
      </c>
      <c r="B52" t="s">
        <v>8</v>
      </c>
      <c r="C52">
        <v>0</v>
      </c>
      <c r="D52">
        <v>268</v>
      </c>
      <c r="E52">
        <v>60</v>
      </c>
      <c r="F52">
        <f>60 *8</f>
        <v>480</v>
      </c>
      <c r="G52">
        <v>582</v>
      </c>
      <c r="H52" s="12">
        <f>250*12</f>
        <v>3000</v>
      </c>
      <c r="I52" s="12">
        <v>0</v>
      </c>
    </row>
    <row r="53" spans="1:9" x14ac:dyDescent="0.3">
      <c r="A53" s="1">
        <v>43882</v>
      </c>
      <c r="B53" t="s">
        <v>3</v>
      </c>
      <c r="C53">
        <v>91</v>
      </c>
      <c r="D53">
        <v>507</v>
      </c>
      <c r="E53">
        <v>0</v>
      </c>
      <c r="F53">
        <f>60 *8</f>
        <v>480</v>
      </c>
      <c r="G53">
        <v>0</v>
      </c>
      <c r="H53" s="12">
        <f>250*8</f>
        <v>2000</v>
      </c>
      <c r="I53" s="12">
        <v>0</v>
      </c>
    </row>
    <row r="54" spans="1:9" s="3" customFormat="1" x14ac:dyDescent="0.3">
      <c r="A54" s="2">
        <v>43883</v>
      </c>
      <c r="B54" s="3" t="s">
        <v>3</v>
      </c>
      <c r="C54" s="3">
        <v>30</v>
      </c>
      <c r="D54" s="3">
        <v>431</v>
      </c>
      <c r="E54" s="3">
        <v>0</v>
      </c>
      <c r="F54" s="3">
        <v>0</v>
      </c>
      <c r="G54" s="3">
        <v>0</v>
      </c>
      <c r="H54" s="3">
        <f>250*9.6</f>
        <v>2400</v>
      </c>
      <c r="I54" s="3">
        <v>0</v>
      </c>
    </row>
    <row r="55" spans="1:9" s="3" customFormat="1" x14ac:dyDescent="0.3">
      <c r="A55" s="2">
        <v>43884</v>
      </c>
      <c r="B55" s="3" t="s">
        <v>6</v>
      </c>
      <c r="C55" s="3">
        <v>0</v>
      </c>
      <c r="D55" s="3">
        <v>388</v>
      </c>
      <c r="E55" s="3">
        <v>218</v>
      </c>
      <c r="F55" s="3">
        <v>0</v>
      </c>
      <c r="G55" s="3">
        <v>765</v>
      </c>
      <c r="H55" s="3">
        <f>250*7.25</f>
        <v>1812.5</v>
      </c>
      <c r="I55" s="3">
        <v>0</v>
      </c>
    </row>
    <row r="56" spans="1:9" x14ac:dyDescent="0.3">
      <c r="A56" s="1">
        <v>43885</v>
      </c>
      <c r="B56" t="s">
        <v>6</v>
      </c>
      <c r="C56">
        <v>0</v>
      </c>
      <c r="D56">
        <v>501</v>
      </c>
      <c r="E56">
        <v>0</v>
      </c>
      <c r="F56">
        <f>60 *8</f>
        <v>480</v>
      </c>
      <c r="G56">
        <v>468</v>
      </c>
      <c r="H56" s="12">
        <f>250*8.6</f>
        <v>2150</v>
      </c>
      <c r="I56" s="12">
        <v>0</v>
      </c>
    </row>
    <row r="57" spans="1:9" x14ac:dyDescent="0.3">
      <c r="A57" s="1">
        <v>43886</v>
      </c>
      <c r="B57" t="s">
        <v>7</v>
      </c>
      <c r="C57">
        <v>96</v>
      </c>
      <c r="D57">
        <v>395</v>
      </c>
      <c r="E57">
        <v>163</v>
      </c>
      <c r="F57">
        <f>60 *8</f>
        <v>480</v>
      </c>
      <c r="G57">
        <v>0</v>
      </c>
      <c r="H57" s="12">
        <f>250*8.5</f>
        <v>2125</v>
      </c>
      <c r="I57" s="12">
        <v>0</v>
      </c>
    </row>
    <row r="58" spans="1:9" x14ac:dyDescent="0.3">
      <c r="A58" s="1">
        <v>43887</v>
      </c>
      <c r="B58" t="s">
        <v>6</v>
      </c>
      <c r="C58">
        <v>0</v>
      </c>
      <c r="D58">
        <v>333</v>
      </c>
      <c r="E58">
        <v>48</v>
      </c>
      <c r="F58">
        <f>60 *8</f>
        <v>480</v>
      </c>
      <c r="G58">
        <v>984</v>
      </c>
      <c r="H58" s="12">
        <f>250*10.7</f>
        <v>2675</v>
      </c>
      <c r="I58" s="12">
        <v>0</v>
      </c>
    </row>
    <row r="59" spans="1:9" x14ac:dyDescent="0.3">
      <c r="A59" s="1">
        <v>43888</v>
      </c>
      <c r="B59" t="s">
        <v>3</v>
      </c>
      <c r="C59">
        <v>60</v>
      </c>
      <c r="D59">
        <v>491</v>
      </c>
      <c r="E59">
        <v>137</v>
      </c>
      <c r="F59">
        <f>60 *8</f>
        <v>480</v>
      </c>
      <c r="G59">
        <v>0</v>
      </c>
      <c r="H59" s="12">
        <f>250*11</f>
        <v>2750</v>
      </c>
      <c r="I59" s="12">
        <v>0</v>
      </c>
    </row>
    <row r="60" spans="1:9" x14ac:dyDescent="0.3">
      <c r="A60" s="1">
        <v>43889</v>
      </c>
      <c r="B60" t="s">
        <v>8</v>
      </c>
      <c r="C60">
        <v>88</v>
      </c>
      <c r="D60">
        <v>571</v>
      </c>
      <c r="E60">
        <v>0</v>
      </c>
      <c r="F60">
        <f>60 *8</f>
        <v>480</v>
      </c>
      <c r="G60">
        <v>509</v>
      </c>
      <c r="H60" s="12">
        <f>250*5.8</f>
        <v>1450</v>
      </c>
      <c r="I60" s="12">
        <v>0</v>
      </c>
    </row>
    <row r="61" spans="1:9" s="3" customFormat="1" x14ac:dyDescent="0.3">
      <c r="A61" s="2">
        <v>43890</v>
      </c>
      <c r="C61" s="3">
        <v>0</v>
      </c>
      <c r="D61" s="3">
        <v>613</v>
      </c>
      <c r="E61" s="3">
        <v>0</v>
      </c>
      <c r="F61" s="3">
        <v>0</v>
      </c>
      <c r="G61" s="3">
        <v>1356</v>
      </c>
      <c r="H61" s="3">
        <f>250*6.6</f>
        <v>1650</v>
      </c>
      <c r="I61" s="3">
        <v>0</v>
      </c>
    </row>
    <row r="62" spans="1:9" s="4" customFormat="1" x14ac:dyDescent="0.3"/>
    <row r="63" spans="1:9" s="3" customFormat="1" x14ac:dyDescent="0.3">
      <c r="A63" s="2">
        <v>43891</v>
      </c>
      <c r="B63" s="3" t="s">
        <v>3</v>
      </c>
      <c r="C63" s="3">
        <v>60</v>
      </c>
      <c r="D63" s="3">
        <v>582</v>
      </c>
      <c r="E63" s="3">
        <v>226</v>
      </c>
      <c r="F63" s="3">
        <v>0</v>
      </c>
      <c r="G63" s="3">
        <v>0</v>
      </c>
      <c r="H63" s="3">
        <v>2325</v>
      </c>
      <c r="I63" s="3">
        <v>0</v>
      </c>
    </row>
    <row r="64" spans="1:9" x14ac:dyDescent="0.3">
      <c r="A64" s="1">
        <v>43892</v>
      </c>
      <c r="B64" t="s">
        <v>3</v>
      </c>
      <c r="C64">
        <v>60</v>
      </c>
      <c r="D64">
        <v>319</v>
      </c>
      <c r="E64">
        <v>0</v>
      </c>
      <c r="F64">
        <v>120</v>
      </c>
      <c r="G64">
        <v>0</v>
      </c>
      <c r="H64">
        <v>3500</v>
      </c>
      <c r="I64">
        <v>0</v>
      </c>
    </row>
    <row r="65" spans="1:9" x14ac:dyDescent="0.3">
      <c r="A65" s="1">
        <v>43893</v>
      </c>
      <c r="B65" t="s">
        <v>7</v>
      </c>
      <c r="C65">
        <v>121</v>
      </c>
      <c r="D65">
        <v>392</v>
      </c>
      <c r="E65">
        <v>239</v>
      </c>
      <c r="F65">
        <f>60 *8</f>
        <v>480</v>
      </c>
      <c r="G65">
        <v>0</v>
      </c>
      <c r="H65">
        <v>3000</v>
      </c>
      <c r="I65">
        <v>0</v>
      </c>
    </row>
    <row r="66" spans="1:9" x14ac:dyDescent="0.3">
      <c r="A66" s="1">
        <v>43894</v>
      </c>
      <c r="B66" t="s">
        <v>7</v>
      </c>
      <c r="C66">
        <v>189</v>
      </c>
      <c r="D66">
        <v>230</v>
      </c>
      <c r="E66">
        <v>214</v>
      </c>
      <c r="F66">
        <f>60 *8</f>
        <v>480</v>
      </c>
      <c r="G66">
        <v>296</v>
      </c>
      <c r="H66">
        <v>2437.5</v>
      </c>
      <c r="I66">
        <v>0</v>
      </c>
    </row>
    <row r="67" spans="1:9" x14ac:dyDescent="0.3">
      <c r="A67" s="1">
        <v>43895</v>
      </c>
      <c r="B67" t="s">
        <v>7</v>
      </c>
      <c r="C67">
        <v>124</v>
      </c>
      <c r="D67">
        <v>549</v>
      </c>
      <c r="E67">
        <v>98</v>
      </c>
      <c r="F67">
        <f>60 *8</f>
        <v>480</v>
      </c>
      <c r="G67">
        <v>0</v>
      </c>
      <c r="H67">
        <v>2750</v>
      </c>
      <c r="I67">
        <v>0</v>
      </c>
    </row>
    <row r="68" spans="1:9" x14ac:dyDescent="0.3">
      <c r="A68" s="1">
        <v>43896</v>
      </c>
      <c r="B68" t="s">
        <v>7</v>
      </c>
      <c r="C68">
        <v>60</v>
      </c>
      <c r="D68">
        <v>481</v>
      </c>
      <c r="E68">
        <v>0</v>
      </c>
      <c r="F68">
        <f>60 *8</f>
        <v>480</v>
      </c>
      <c r="G68">
        <v>0</v>
      </c>
      <c r="H68">
        <v>2000</v>
      </c>
      <c r="I68">
        <v>0</v>
      </c>
    </row>
    <row r="69" spans="1:9" s="3" customFormat="1" x14ac:dyDescent="0.3">
      <c r="A69" s="2">
        <v>43897</v>
      </c>
      <c r="B69" s="3" t="s">
        <v>7</v>
      </c>
      <c r="C69" s="3">
        <v>95</v>
      </c>
      <c r="D69" s="3">
        <v>511</v>
      </c>
      <c r="E69" s="3">
        <v>0</v>
      </c>
      <c r="F69" s="3">
        <v>0</v>
      </c>
      <c r="G69" s="3">
        <v>0</v>
      </c>
      <c r="H69" s="3">
        <v>1575</v>
      </c>
      <c r="I69" s="3">
        <v>0</v>
      </c>
    </row>
    <row r="70" spans="1:9" s="3" customFormat="1" x14ac:dyDescent="0.3">
      <c r="A70" s="2">
        <v>43898</v>
      </c>
      <c r="C70" s="3">
        <v>0</v>
      </c>
      <c r="D70" s="3">
        <v>313</v>
      </c>
      <c r="E70" s="3">
        <v>0</v>
      </c>
      <c r="F70" s="3">
        <v>0</v>
      </c>
      <c r="G70" s="3">
        <v>1345</v>
      </c>
      <c r="H70" s="3">
        <v>2400</v>
      </c>
      <c r="I70" s="3">
        <v>0</v>
      </c>
    </row>
    <row r="71" spans="1:9" x14ac:dyDescent="0.3">
      <c r="A71" s="1">
        <v>43899</v>
      </c>
      <c r="B71" t="s">
        <v>91</v>
      </c>
      <c r="C71">
        <v>118</v>
      </c>
      <c r="D71">
        <v>493</v>
      </c>
      <c r="F71">
        <v>480</v>
      </c>
      <c r="G71">
        <v>196</v>
      </c>
      <c r="H71">
        <v>3075</v>
      </c>
      <c r="I71">
        <v>0</v>
      </c>
    </row>
    <row r="72" spans="1:9" x14ac:dyDescent="0.3">
      <c r="A72" s="1">
        <v>43900</v>
      </c>
      <c r="B72" t="s">
        <v>3</v>
      </c>
      <c r="C72">
        <v>53</v>
      </c>
      <c r="D72">
        <v>436</v>
      </c>
      <c r="E72">
        <v>66</v>
      </c>
      <c r="F72">
        <v>480</v>
      </c>
      <c r="G72">
        <v>0</v>
      </c>
      <c r="H72">
        <v>2500</v>
      </c>
      <c r="I72">
        <v>0</v>
      </c>
    </row>
    <row r="73" spans="1:9" x14ac:dyDescent="0.3">
      <c r="A73" s="1">
        <v>43901</v>
      </c>
      <c r="B73" t="s">
        <v>7</v>
      </c>
      <c r="C73">
        <v>122</v>
      </c>
      <c r="D73">
        <v>303</v>
      </c>
      <c r="F73">
        <v>240</v>
      </c>
      <c r="G73">
        <v>486</v>
      </c>
      <c r="H73">
        <v>3500</v>
      </c>
      <c r="I73">
        <v>0</v>
      </c>
    </row>
    <row r="74" spans="1:9" x14ac:dyDescent="0.3">
      <c r="A74" s="1">
        <v>43902</v>
      </c>
      <c r="B74" t="s">
        <v>3</v>
      </c>
      <c r="C74">
        <v>69</v>
      </c>
      <c r="D74">
        <v>374</v>
      </c>
      <c r="E74">
        <v>93</v>
      </c>
      <c r="F74">
        <v>480</v>
      </c>
      <c r="G74">
        <v>0</v>
      </c>
      <c r="H74">
        <v>3250</v>
      </c>
      <c r="I7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15548-3F28-40F1-84BA-A2064544C539}">
  <dimension ref="A1:I80"/>
  <sheetViews>
    <sheetView topLeftCell="A53" workbookViewId="0">
      <selection activeCell="B74" sqref="B74"/>
    </sheetView>
  </sheetViews>
  <sheetFormatPr defaultRowHeight="14.4" x14ac:dyDescent="0.3"/>
  <cols>
    <col min="1" max="1" width="9.5546875" bestFit="1" customWidth="1"/>
    <col min="2" max="2" width="26.88671875" bestFit="1" customWidth="1"/>
    <col min="3" max="3" width="16.109375" bestFit="1" customWidth="1"/>
    <col min="4" max="4" width="19.6640625" bestFit="1" customWidth="1"/>
    <col min="5" max="5" width="14.44140625" bestFit="1" customWidth="1"/>
    <col min="6" max="6" width="27.6640625" bestFit="1" customWidth="1"/>
    <col min="7" max="7" width="18.88671875" bestFit="1" customWidth="1"/>
    <col min="9" max="9" width="16.6640625" bestFit="1" customWidth="1"/>
  </cols>
  <sheetData>
    <row r="1" spans="1:9" x14ac:dyDescent="0.3">
      <c r="A1" s="17" t="s">
        <v>0</v>
      </c>
      <c r="B1" s="17" t="s">
        <v>42</v>
      </c>
      <c r="C1" s="17" t="s">
        <v>43</v>
      </c>
      <c r="D1" s="17" t="s">
        <v>65</v>
      </c>
      <c r="E1" s="17" t="s">
        <v>66</v>
      </c>
      <c r="F1" s="17" t="s">
        <v>48</v>
      </c>
      <c r="G1" s="26" t="s">
        <v>92</v>
      </c>
      <c r="H1" s="26" t="s">
        <v>93</v>
      </c>
      <c r="I1" s="31" t="s">
        <v>131</v>
      </c>
    </row>
    <row r="2" spans="1:9" x14ac:dyDescent="0.3">
      <c r="A2" s="1">
        <v>43831</v>
      </c>
      <c r="B2">
        <v>0</v>
      </c>
      <c r="C2">
        <v>372</v>
      </c>
      <c r="D2">
        <v>0</v>
      </c>
      <c r="E2">
        <v>0</v>
      </c>
      <c r="F2">
        <v>720</v>
      </c>
      <c r="G2" s="12">
        <f>8.5*250</f>
        <v>2125</v>
      </c>
      <c r="H2" s="12">
        <v>0</v>
      </c>
      <c r="I2" s="12">
        <v>0</v>
      </c>
    </row>
    <row r="3" spans="1:9" x14ac:dyDescent="0.3">
      <c r="A3" s="1">
        <v>43832</v>
      </c>
      <c r="B3">
        <v>0</v>
      </c>
      <c r="C3">
        <v>405</v>
      </c>
      <c r="D3">
        <v>0</v>
      </c>
      <c r="E3">
        <f>2*60</f>
        <v>120</v>
      </c>
      <c r="F3">
        <v>413</v>
      </c>
      <c r="G3" s="12">
        <f>250*6.25</f>
        <v>1562.5</v>
      </c>
      <c r="H3" s="12">
        <v>0</v>
      </c>
      <c r="I3" s="12">
        <v>0</v>
      </c>
    </row>
    <row r="4" spans="1:9" x14ac:dyDescent="0.3">
      <c r="A4" s="1">
        <v>43833</v>
      </c>
      <c r="B4">
        <v>0</v>
      </c>
      <c r="C4">
        <v>582</v>
      </c>
      <c r="D4">
        <v>2</v>
      </c>
      <c r="E4">
        <f>60 *8</f>
        <v>480</v>
      </c>
      <c r="F4">
        <v>1021</v>
      </c>
      <c r="G4" s="12">
        <f>250*10</f>
        <v>2500</v>
      </c>
      <c r="H4" s="12">
        <v>0</v>
      </c>
      <c r="I4" s="12">
        <v>0</v>
      </c>
    </row>
    <row r="5" spans="1:9" x14ac:dyDescent="0.3">
      <c r="A5" s="2">
        <v>43834</v>
      </c>
      <c r="B5" s="3">
        <v>0</v>
      </c>
      <c r="C5" s="3">
        <v>621</v>
      </c>
      <c r="D5" s="3">
        <v>0</v>
      </c>
      <c r="E5" s="3">
        <v>0</v>
      </c>
      <c r="F5" s="3">
        <v>1433</v>
      </c>
      <c r="G5" s="3">
        <f>250*7.5</f>
        <v>1875</v>
      </c>
      <c r="H5" s="3">
        <v>0</v>
      </c>
      <c r="I5" s="3">
        <v>0</v>
      </c>
    </row>
    <row r="6" spans="1:9" x14ac:dyDescent="0.3">
      <c r="A6" s="2">
        <v>43835</v>
      </c>
      <c r="B6" s="3">
        <v>0</v>
      </c>
      <c r="C6" s="3">
        <v>322</v>
      </c>
      <c r="D6" s="3">
        <v>0</v>
      </c>
      <c r="E6" s="3">
        <v>0</v>
      </c>
      <c r="F6" s="3">
        <v>1504</v>
      </c>
      <c r="G6" s="3">
        <f>250*10</f>
        <v>2500</v>
      </c>
      <c r="H6" s="3">
        <v>0</v>
      </c>
      <c r="I6" s="3">
        <v>0</v>
      </c>
    </row>
    <row r="7" spans="1:9" x14ac:dyDescent="0.3">
      <c r="A7" s="1">
        <v>43836</v>
      </c>
      <c r="B7">
        <v>60</v>
      </c>
      <c r="C7">
        <v>418</v>
      </c>
      <c r="D7">
        <v>156</v>
      </c>
      <c r="E7">
        <f>60 *8</f>
        <v>480</v>
      </c>
      <c r="F7">
        <v>0</v>
      </c>
      <c r="G7" s="12">
        <f>250*11.5</f>
        <v>2875</v>
      </c>
      <c r="H7" s="12">
        <v>0</v>
      </c>
      <c r="I7" s="12">
        <v>1</v>
      </c>
    </row>
    <row r="8" spans="1:9" x14ac:dyDescent="0.3">
      <c r="A8" s="1">
        <v>43837</v>
      </c>
      <c r="B8">
        <v>93</v>
      </c>
      <c r="C8">
        <v>456</v>
      </c>
      <c r="D8">
        <v>194</v>
      </c>
      <c r="E8">
        <f>60 *8</f>
        <v>480</v>
      </c>
      <c r="F8">
        <v>0</v>
      </c>
      <c r="G8" s="12">
        <f>250*12</f>
        <v>3000</v>
      </c>
      <c r="H8" s="12">
        <v>0</v>
      </c>
      <c r="I8" s="12">
        <v>1</v>
      </c>
    </row>
    <row r="9" spans="1:9" x14ac:dyDescent="0.3">
      <c r="A9" s="1">
        <v>43838</v>
      </c>
      <c r="B9">
        <v>184</v>
      </c>
      <c r="C9">
        <v>438</v>
      </c>
      <c r="D9">
        <v>118</v>
      </c>
      <c r="E9">
        <f>60 *8</f>
        <v>480</v>
      </c>
      <c r="F9">
        <v>0</v>
      </c>
      <c r="G9" s="12">
        <f>250*13.5</f>
        <v>3375</v>
      </c>
      <c r="H9" s="12">
        <v>0</v>
      </c>
      <c r="I9" s="12">
        <v>0</v>
      </c>
    </row>
    <row r="10" spans="1:9" x14ac:dyDescent="0.3">
      <c r="A10" s="1">
        <v>43839</v>
      </c>
      <c r="B10">
        <v>0</v>
      </c>
      <c r="C10">
        <v>792</v>
      </c>
      <c r="D10">
        <v>0</v>
      </c>
      <c r="E10">
        <v>240</v>
      </c>
      <c r="F10">
        <v>0</v>
      </c>
      <c r="G10" s="12">
        <f>250*3</f>
        <v>750</v>
      </c>
      <c r="H10" s="12">
        <v>1</v>
      </c>
      <c r="I10" s="12">
        <v>0</v>
      </c>
    </row>
    <row r="11" spans="1:9" x14ac:dyDescent="0.3">
      <c r="A11" s="1">
        <v>43840</v>
      </c>
      <c r="B11">
        <v>0</v>
      </c>
      <c r="C11">
        <v>781</v>
      </c>
      <c r="D11">
        <v>0</v>
      </c>
      <c r="E11">
        <v>180</v>
      </c>
      <c r="F11">
        <v>630</v>
      </c>
      <c r="G11" s="12">
        <f>250*4.75</f>
        <v>1187.5</v>
      </c>
      <c r="H11" s="12">
        <v>1</v>
      </c>
      <c r="I11" s="12">
        <v>0</v>
      </c>
    </row>
    <row r="12" spans="1:9" x14ac:dyDescent="0.3">
      <c r="A12" s="2">
        <v>43841</v>
      </c>
      <c r="B12" s="3">
        <v>20</v>
      </c>
      <c r="C12" s="3">
        <v>617</v>
      </c>
      <c r="D12" s="3">
        <v>0</v>
      </c>
      <c r="E12" s="3">
        <v>0</v>
      </c>
      <c r="F12" s="3">
        <v>1011</v>
      </c>
      <c r="G12" s="3">
        <f>250*10.5</f>
        <v>2625</v>
      </c>
      <c r="H12" s="3">
        <v>1</v>
      </c>
      <c r="I12" s="3">
        <v>1</v>
      </c>
    </row>
    <row r="13" spans="1:9" x14ac:dyDescent="0.3">
      <c r="A13" s="2">
        <v>43842</v>
      </c>
      <c r="B13" s="3">
        <v>30</v>
      </c>
      <c r="C13" s="3">
        <v>692</v>
      </c>
      <c r="D13" s="3">
        <v>245</v>
      </c>
      <c r="E13" s="3">
        <v>0</v>
      </c>
      <c r="F13" s="3">
        <v>1030</v>
      </c>
      <c r="G13" s="3">
        <f>250*4.75</f>
        <v>1187.5</v>
      </c>
      <c r="H13" s="3">
        <v>1</v>
      </c>
      <c r="I13" s="3">
        <v>1</v>
      </c>
    </row>
    <row r="14" spans="1:9" x14ac:dyDescent="0.3">
      <c r="A14" s="1">
        <v>43843</v>
      </c>
      <c r="B14">
        <v>0</v>
      </c>
      <c r="C14">
        <v>479</v>
      </c>
      <c r="D14">
        <v>120</v>
      </c>
      <c r="E14">
        <f>60 *8</f>
        <v>480</v>
      </c>
      <c r="F14">
        <v>0</v>
      </c>
      <c r="G14" s="12">
        <f>250*7.25</f>
        <v>1812.5</v>
      </c>
      <c r="H14" s="12">
        <v>0</v>
      </c>
      <c r="I14" s="12">
        <v>0</v>
      </c>
    </row>
    <row r="15" spans="1:9" x14ac:dyDescent="0.3">
      <c r="A15" s="1">
        <v>43844</v>
      </c>
      <c r="B15">
        <v>62</v>
      </c>
      <c r="C15">
        <v>463</v>
      </c>
      <c r="D15">
        <v>156</v>
      </c>
      <c r="E15">
        <f>60 *8</f>
        <v>480</v>
      </c>
      <c r="F15">
        <v>0</v>
      </c>
      <c r="G15" s="12">
        <f>250*9.75</f>
        <v>2437.5</v>
      </c>
      <c r="H15" s="12">
        <v>0</v>
      </c>
      <c r="I15" s="12">
        <v>1</v>
      </c>
    </row>
    <row r="16" spans="1:9" x14ac:dyDescent="0.3">
      <c r="A16" s="1">
        <v>43845</v>
      </c>
      <c r="B16">
        <v>197</v>
      </c>
      <c r="C16">
        <v>355</v>
      </c>
      <c r="D16">
        <v>162</v>
      </c>
      <c r="E16">
        <f>60 *8</f>
        <v>480</v>
      </c>
      <c r="F16">
        <v>0</v>
      </c>
      <c r="G16" s="12">
        <f>250*8</f>
        <v>2000</v>
      </c>
      <c r="H16" s="12">
        <v>0</v>
      </c>
      <c r="I16" s="12">
        <v>0</v>
      </c>
    </row>
    <row r="17" spans="1:9" x14ac:dyDescent="0.3">
      <c r="A17" s="1">
        <v>43846</v>
      </c>
      <c r="B17">
        <v>0</v>
      </c>
      <c r="C17">
        <v>273</v>
      </c>
      <c r="D17">
        <v>191</v>
      </c>
      <c r="E17">
        <f>60 *8</f>
        <v>480</v>
      </c>
      <c r="F17">
        <v>0</v>
      </c>
      <c r="G17" s="12">
        <f>250*9</f>
        <v>2250</v>
      </c>
      <c r="H17" s="12">
        <v>0</v>
      </c>
      <c r="I17" s="12">
        <v>0</v>
      </c>
    </row>
    <row r="18" spans="1:9" x14ac:dyDescent="0.3">
      <c r="A18" s="1">
        <v>43847</v>
      </c>
      <c r="B18">
        <v>0</v>
      </c>
      <c r="C18">
        <v>324</v>
      </c>
      <c r="D18">
        <v>0</v>
      </c>
      <c r="E18">
        <f>60 *8</f>
        <v>480</v>
      </c>
      <c r="F18">
        <v>487</v>
      </c>
      <c r="G18" s="12">
        <f>250*6.3</f>
        <v>1575</v>
      </c>
      <c r="H18" s="12">
        <v>0</v>
      </c>
      <c r="I18" s="12">
        <v>0</v>
      </c>
    </row>
    <row r="19" spans="1:9" x14ac:dyDescent="0.3">
      <c r="A19" s="2">
        <v>43848</v>
      </c>
      <c r="B19" s="3">
        <v>0</v>
      </c>
      <c r="C19" s="3">
        <v>512</v>
      </c>
      <c r="D19" s="3">
        <v>0</v>
      </c>
      <c r="E19" s="3">
        <v>0</v>
      </c>
      <c r="F19" s="3">
        <v>1832</v>
      </c>
      <c r="G19" s="3">
        <f>250*3.8</f>
        <v>950</v>
      </c>
      <c r="H19" s="3">
        <v>0</v>
      </c>
      <c r="I19" s="3">
        <v>0</v>
      </c>
    </row>
    <row r="20" spans="1:9" x14ac:dyDescent="0.3">
      <c r="A20" s="2">
        <v>43849</v>
      </c>
      <c r="B20" s="3">
        <v>0</v>
      </c>
      <c r="C20" s="3">
        <v>618</v>
      </c>
      <c r="D20" s="3">
        <v>238</v>
      </c>
      <c r="E20" s="3">
        <v>0</v>
      </c>
      <c r="F20" s="3">
        <v>1567</v>
      </c>
      <c r="G20" s="3">
        <f>250*12.3</f>
        <v>3075</v>
      </c>
      <c r="H20" s="3">
        <v>0</v>
      </c>
      <c r="I20" s="3">
        <v>0</v>
      </c>
    </row>
    <row r="21" spans="1:9" x14ac:dyDescent="0.3">
      <c r="A21" s="1">
        <v>43850</v>
      </c>
      <c r="B21">
        <v>63</v>
      </c>
      <c r="C21">
        <v>363</v>
      </c>
      <c r="D21">
        <v>187</v>
      </c>
      <c r="E21">
        <f>60 *8</f>
        <v>480</v>
      </c>
      <c r="F21">
        <v>0</v>
      </c>
      <c r="G21" s="12">
        <f>250*11.6</f>
        <v>2900</v>
      </c>
      <c r="H21" s="12">
        <v>0</v>
      </c>
      <c r="I21" s="12">
        <v>1</v>
      </c>
    </row>
    <row r="22" spans="1:9" x14ac:dyDescent="0.3">
      <c r="A22" s="1">
        <v>43851</v>
      </c>
      <c r="B22">
        <v>57</v>
      </c>
      <c r="C22">
        <v>351</v>
      </c>
      <c r="D22">
        <v>208</v>
      </c>
      <c r="E22">
        <f>60 *8</f>
        <v>480</v>
      </c>
      <c r="F22">
        <v>0</v>
      </c>
      <c r="G22" s="12">
        <f>250*10.5</f>
        <v>2625</v>
      </c>
      <c r="H22" s="12">
        <v>0</v>
      </c>
      <c r="I22" s="12">
        <v>1</v>
      </c>
    </row>
    <row r="23" spans="1:9" x14ac:dyDescent="0.3">
      <c r="A23" s="1">
        <v>43852</v>
      </c>
      <c r="B23">
        <v>204</v>
      </c>
      <c r="C23">
        <v>338</v>
      </c>
      <c r="D23">
        <v>156</v>
      </c>
      <c r="E23">
        <f>60 *8</f>
        <v>480</v>
      </c>
      <c r="F23">
        <v>0</v>
      </c>
      <c r="G23" s="12">
        <f>250*11.5</f>
        <v>2875</v>
      </c>
      <c r="H23" s="12">
        <v>0</v>
      </c>
      <c r="I23" s="12">
        <v>0</v>
      </c>
    </row>
    <row r="24" spans="1:9" x14ac:dyDescent="0.3">
      <c r="A24" s="1">
        <v>43853</v>
      </c>
      <c r="B24">
        <v>0</v>
      </c>
      <c r="C24">
        <v>286</v>
      </c>
      <c r="D24">
        <v>88</v>
      </c>
      <c r="E24">
        <f>60 *8</f>
        <v>480</v>
      </c>
      <c r="F24">
        <v>0</v>
      </c>
      <c r="G24" s="12">
        <f>250*10</f>
        <v>2500</v>
      </c>
      <c r="H24" s="12">
        <v>0</v>
      </c>
      <c r="I24" s="12">
        <v>0</v>
      </c>
    </row>
    <row r="25" spans="1:9" x14ac:dyDescent="0.3">
      <c r="A25" s="1">
        <v>43854</v>
      </c>
      <c r="B25">
        <v>127</v>
      </c>
      <c r="C25">
        <v>371</v>
      </c>
      <c r="D25">
        <v>0</v>
      </c>
      <c r="E25">
        <f>60 *8</f>
        <v>480</v>
      </c>
      <c r="F25">
        <v>0</v>
      </c>
      <c r="G25" s="12">
        <f>250*6.6</f>
        <v>1650</v>
      </c>
      <c r="H25" s="12">
        <v>0</v>
      </c>
      <c r="I25" s="12">
        <v>1</v>
      </c>
    </row>
    <row r="26" spans="1:9" x14ac:dyDescent="0.3">
      <c r="A26" s="2">
        <v>43855</v>
      </c>
      <c r="B26" s="3">
        <v>60</v>
      </c>
      <c r="C26" s="3">
        <v>541</v>
      </c>
      <c r="D26" s="3">
        <v>0</v>
      </c>
      <c r="E26" s="3">
        <v>0</v>
      </c>
      <c r="F26" s="3">
        <v>0</v>
      </c>
      <c r="G26" s="3">
        <f>250*9.7</f>
        <v>2425</v>
      </c>
      <c r="H26" s="3">
        <v>0</v>
      </c>
      <c r="I26" s="3">
        <v>0</v>
      </c>
    </row>
    <row r="27" spans="1:9" x14ac:dyDescent="0.3">
      <c r="A27" s="2">
        <v>43856</v>
      </c>
      <c r="B27" s="3">
        <v>60</v>
      </c>
      <c r="C27" s="3">
        <v>665</v>
      </c>
      <c r="D27" s="3">
        <v>258</v>
      </c>
      <c r="E27" s="3">
        <v>0</v>
      </c>
      <c r="F27" s="3">
        <v>0</v>
      </c>
      <c r="G27" s="3">
        <f>250*5.5</f>
        <v>1375</v>
      </c>
      <c r="H27" s="3">
        <v>0</v>
      </c>
      <c r="I27" s="3">
        <v>1</v>
      </c>
    </row>
    <row r="28" spans="1:9" x14ac:dyDescent="0.3">
      <c r="A28" s="1">
        <v>43857</v>
      </c>
      <c r="B28">
        <v>87</v>
      </c>
      <c r="C28">
        <v>481</v>
      </c>
      <c r="D28">
        <v>114</v>
      </c>
      <c r="E28">
        <f>60 *8</f>
        <v>480</v>
      </c>
      <c r="F28">
        <v>372</v>
      </c>
      <c r="G28" s="12">
        <f>250*6</f>
        <v>1500</v>
      </c>
      <c r="H28" s="12">
        <v>0</v>
      </c>
      <c r="I28" s="12">
        <v>1</v>
      </c>
    </row>
    <row r="29" spans="1:9" x14ac:dyDescent="0.3">
      <c r="A29" s="1">
        <v>43858</v>
      </c>
      <c r="B29">
        <v>0</v>
      </c>
      <c r="C29">
        <v>429</v>
      </c>
      <c r="D29">
        <v>0</v>
      </c>
      <c r="E29">
        <v>360</v>
      </c>
      <c r="F29">
        <v>849</v>
      </c>
      <c r="G29" s="12">
        <f>250*8.3</f>
        <v>2075</v>
      </c>
      <c r="H29" s="12">
        <v>1</v>
      </c>
      <c r="I29" s="12">
        <v>0</v>
      </c>
    </row>
    <row r="30" spans="1:9" x14ac:dyDescent="0.3">
      <c r="A30" s="1">
        <v>43859</v>
      </c>
      <c r="B30">
        <v>0</v>
      </c>
      <c r="C30">
        <v>604</v>
      </c>
      <c r="D30">
        <v>0</v>
      </c>
      <c r="E30">
        <v>180</v>
      </c>
      <c r="F30">
        <v>536</v>
      </c>
      <c r="G30" s="12">
        <f>250*4.5</f>
        <v>1125</v>
      </c>
      <c r="H30" s="12">
        <v>1</v>
      </c>
      <c r="I30" s="12">
        <v>0</v>
      </c>
    </row>
    <row r="31" spans="1:9" x14ac:dyDescent="0.3">
      <c r="A31" s="1">
        <v>43860</v>
      </c>
      <c r="B31">
        <v>0</v>
      </c>
      <c r="C31">
        <v>563</v>
      </c>
      <c r="D31">
        <v>0</v>
      </c>
      <c r="E31">
        <v>240</v>
      </c>
      <c r="F31">
        <v>1045</v>
      </c>
      <c r="G31" s="12">
        <f>250*6.4</f>
        <v>1600</v>
      </c>
      <c r="H31" s="12">
        <v>1</v>
      </c>
      <c r="I31" s="12">
        <v>0</v>
      </c>
    </row>
    <row r="32" spans="1:9" x14ac:dyDescent="0.3">
      <c r="A32" s="1">
        <v>43861</v>
      </c>
      <c r="B32">
        <v>0</v>
      </c>
      <c r="C32">
        <v>662</v>
      </c>
      <c r="D32">
        <v>0</v>
      </c>
      <c r="E32">
        <f>60 *8</f>
        <v>480</v>
      </c>
      <c r="F32">
        <v>717</v>
      </c>
      <c r="G32" s="12">
        <f>250*4.25</f>
        <v>1062.5</v>
      </c>
      <c r="H32" s="12">
        <v>1</v>
      </c>
      <c r="I32" s="12">
        <v>0</v>
      </c>
    </row>
    <row r="33" spans="1:9" x14ac:dyDescent="0.3">
      <c r="A33" s="2">
        <v>43862</v>
      </c>
      <c r="B33" s="3">
        <v>0</v>
      </c>
      <c r="C33" s="3">
        <v>729</v>
      </c>
      <c r="D33" s="3">
        <v>0</v>
      </c>
      <c r="E33" s="3">
        <v>0</v>
      </c>
      <c r="F33" s="3">
        <v>1432</v>
      </c>
      <c r="G33" s="3">
        <f>250*5.5</f>
        <v>1375</v>
      </c>
      <c r="H33" s="3">
        <v>1</v>
      </c>
      <c r="I33" s="3">
        <v>0</v>
      </c>
    </row>
    <row r="34" spans="1:9" x14ac:dyDescent="0.3">
      <c r="A34" s="2">
        <v>43863</v>
      </c>
      <c r="B34" s="3">
        <v>0</v>
      </c>
      <c r="C34" s="3">
        <v>797</v>
      </c>
      <c r="D34" s="3">
        <v>0</v>
      </c>
      <c r="E34" s="3">
        <v>0</v>
      </c>
      <c r="F34" s="3">
        <v>1567</v>
      </c>
      <c r="G34" s="3">
        <f>250*5.8</f>
        <v>1450</v>
      </c>
      <c r="H34" s="3">
        <v>1</v>
      </c>
      <c r="I34" s="3">
        <v>0</v>
      </c>
    </row>
    <row r="35" spans="1:9" x14ac:dyDescent="0.3">
      <c r="A35" s="1">
        <v>43864</v>
      </c>
      <c r="B35">
        <v>0</v>
      </c>
      <c r="C35">
        <v>648</v>
      </c>
      <c r="D35">
        <v>0</v>
      </c>
      <c r="E35">
        <f>60 *8</f>
        <v>480</v>
      </c>
      <c r="F35">
        <v>1045</v>
      </c>
      <c r="G35" s="12">
        <f>250*6.3</f>
        <v>1575</v>
      </c>
      <c r="H35" s="12">
        <v>1</v>
      </c>
      <c r="I35" s="12">
        <v>0</v>
      </c>
    </row>
    <row r="36" spans="1:9" x14ac:dyDescent="0.3">
      <c r="A36" s="1">
        <v>43865</v>
      </c>
      <c r="B36">
        <v>0</v>
      </c>
      <c r="C36">
        <v>658</v>
      </c>
      <c r="D36">
        <v>0</v>
      </c>
      <c r="E36">
        <f>60 *8</f>
        <v>480</v>
      </c>
      <c r="F36">
        <v>489</v>
      </c>
      <c r="G36" s="12">
        <f>250*3.75</f>
        <v>937.5</v>
      </c>
      <c r="H36" s="12">
        <v>1</v>
      </c>
      <c r="I36" s="12">
        <v>0</v>
      </c>
    </row>
    <row r="37" spans="1:9" x14ac:dyDescent="0.3">
      <c r="A37" s="1">
        <v>43866</v>
      </c>
      <c r="B37">
        <v>0</v>
      </c>
      <c r="C37">
        <v>727</v>
      </c>
      <c r="D37">
        <v>0</v>
      </c>
      <c r="E37">
        <f>60 *8</f>
        <v>480</v>
      </c>
      <c r="F37">
        <v>1005</v>
      </c>
      <c r="G37" s="12">
        <f>250*5</f>
        <v>1250</v>
      </c>
      <c r="H37" s="12">
        <v>1</v>
      </c>
      <c r="I37" s="12">
        <v>0</v>
      </c>
    </row>
    <row r="38" spans="1:9" x14ac:dyDescent="0.3">
      <c r="A38" s="1">
        <v>43867</v>
      </c>
      <c r="B38">
        <v>0</v>
      </c>
      <c r="C38">
        <v>654</v>
      </c>
      <c r="D38">
        <v>0</v>
      </c>
      <c r="E38">
        <f>60 *8</f>
        <v>480</v>
      </c>
      <c r="F38">
        <v>738</v>
      </c>
      <c r="G38" s="12">
        <f>250*7.9</f>
        <v>1975</v>
      </c>
      <c r="H38" s="12">
        <v>1</v>
      </c>
      <c r="I38" s="12">
        <v>0</v>
      </c>
    </row>
    <row r="39" spans="1:9" x14ac:dyDescent="0.3">
      <c r="A39" s="1">
        <v>43868</v>
      </c>
      <c r="B39">
        <v>25</v>
      </c>
      <c r="C39">
        <v>475</v>
      </c>
      <c r="D39">
        <v>0</v>
      </c>
      <c r="E39">
        <f>60 *8</f>
        <v>480</v>
      </c>
      <c r="F39">
        <v>406</v>
      </c>
      <c r="G39" s="12">
        <f>250*6.5</f>
        <v>1625</v>
      </c>
      <c r="H39" s="12">
        <v>1</v>
      </c>
      <c r="I39" s="12">
        <v>1</v>
      </c>
    </row>
    <row r="40" spans="1:9" x14ac:dyDescent="0.3">
      <c r="A40" s="2">
        <v>43869</v>
      </c>
      <c r="B40" s="3">
        <v>20</v>
      </c>
      <c r="C40" s="3">
        <v>849</v>
      </c>
      <c r="D40" s="3">
        <v>0</v>
      </c>
      <c r="E40" s="3">
        <v>0</v>
      </c>
      <c r="F40" s="3">
        <v>538</v>
      </c>
      <c r="G40" s="3">
        <f>250*6.3</f>
        <v>1575</v>
      </c>
      <c r="H40" s="3">
        <v>1</v>
      </c>
      <c r="I40" s="3">
        <v>0</v>
      </c>
    </row>
    <row r="41" spans="1:9" x14ac:dyDescent="0.3">
      <c r="A41" s="2">
        <v>43870</v>
      </c>
      <c r="B41" s="3">
        <v>32</v>
      </c>
      <c r="C41" s="3">
        <v>611</v>
      </c>
      <c r="D41" s="3">
        <v>238</v>
      </c>
      <c r="E41" s="3">
        <v>0</v>
      </c>
      <c r="F41" s="3">
        <v>538</v>
      </c>
      <c r="G41" s="3">
        <f>250*5.9</f>
        <v>1475</v>
      </c>
      <c r="H41" s="3">
        <v>1</v>
      </c>
      <c r="I41" s="3">
        <v>1</v>
      </c>
    </row>
    <row r="42" spans="1:9" x14ac:dyDescent="0.3">
      <c r="A42" s="1">
        <v>43871</v>
      </c>
      <c r="B42">
        <v>0</v>
      </c>
      <c r="C42">
        <v>199</v>
      </c>
      <c r="D42">
        <v>119</v>
      </c>
      <c r="E42">
        <f>60 *8</f>
        <v>480</v>
      </c>
      <c r="F42">
        <v>0</v>
      </c>
      <c r="G42" s="12">
        <f>250*12.3</f>
        <v>3075</v>
      </c>
      <c r="H42" s="12">
        <v>1</v>
      </c>
      <c r="I42" s="12">
        <v>0</v>
      </c>
    </row>
    <row r="43" spans="1:9" x14ac:dyDescent="0.3">
      <c r="A43" s="1">
        <v>43872</v>
      </c>
      <c r="B43">
        <v>0</v>
      </c>
      <c r="C43">
        <v>274</v>
      </c>
      <c r="D43">
        <v>166</v>
      </c>
      <c r="E43">
        <f>60 *8</f>
        <v>480</v>
      </c>
      <c r="F43">
        <v>0</v>
      </c>
      <c r="G43" s="12">
        <f>250*9</f>
        <v>2250</v>
      </c>
      <c r="H43" s="12">
        <v>1</v>
      </c>
      <c r="I43" s="12">
        <v>0</v>
      </c>
    </row>
    <row r="44" spans="1:9" x14ac:dyDescent="0.3">
      <c r="A44" s="1">
        <v>43873</v>
      </c>
      <c r="B44">
        <v>65</v>
      </c>
      <c r="C44">
        <v>356</v>
      </c>
      <c r="D44">
        <v>142</v>
      </c>
      <c r="E44">
        <f>60 *8</f>
        <v>480</v>
      </c>
      <c r="F44">
        <v>0</v>
      </c>
      <c r="G44" s="12">
        <f>250*11.5</f>
        <v>2875</v>
      </c>
      <c r="H44" s="12">
        <v>1</v>
      </c>
      <c r="I44" s="12">
        <v>1</v>
      </c>
    </row>
    <row r="45" spans="1:9" x14ac:dyDescent="0.3">
      <c r="A45" s="1">
        <v>43874</v>
      </c>
      <c r="B45">
        <v>60</v>
      </c>
      <c r="C45">
        <v>388</v>
      </c>
      <c r="D45">
        <v>177</v>
      </c>
      <c r="E45">
        <f>60 *8</f>
        <v>480</v>
      </c>
      <c r="F45">
        <v>0</v>
      </c>
      <c r="G45" s="12">
        <f>250*6</f>
        <v>1500</v>
      </c>
      <c r="H45" s="12">
        <v>1</v>
      </c>
      <c r="I45" s="12">
        <v>1</v>
      </c>
    </row>
    <row r="46" spans="1:9" x14ac:dyDescent="0.3">
      <c r="A46" s="1">
        <v>43875</v>
      </c>
      <c r="B46">
        <v>59</v>
      </c>
      <c r="C46">
        <v>453</v>
      </c>
      <c r="D46">
        <v>0</v>
      </c>
      <c r="E46">
        <v>120</v>
      </c>
      <c r="F46">
        <v>392</v>
      </c>
      <c r="G46" s="12">
        <f>250*3.75</f>
        <v>937.5</v>
      </c>
      <c r="H46" s="12">
        <v>1</v>
      </c>
      <c r="I46" s="12">
        <v>0</v>
      </c>
    </row>
    <row r="47" spans="1:9" x14ac:dyDescent="0.3">
      <c r="A47" s="2">
        <v>43876</v>
      </c>
      <c r="B47" s="3">
        <v>0</v>
      </c>
      <c r="C47" s="3">
        <v>568</v>
      </c>
      <c r="D47" s="3">
        <v>0</v>
      </c>
      <c r="E47" s="3">
        <v>0</v>
      </c>
      <c r="F47" s="3">
        <v>0</v>
      </c>
      <c r="G47" s="3">
        <f>250*7.75</f>
        <v>1937.5</v>
      </c>
      <c r="H47" s="3">
        <v>1</v>
      </c>
      <c r="I47" s="3">
        <v>0</v>
      </c>
    </row>
    <row r="48" spans="1:9" x14ac:dyDescent="0.3">
      <c r="A48" s="2">
        <v>43877</v>
      </c>
      <c r="B48" s="3">
        <v>30</v>
      </c>
      <c r="C48" s="3">
        <v>422</v>
      </c>
      <c r="D48" s="3">
        <v>233</v>
      </c>
      <c r="E48" s="3">
        <v>0</v>
      </c>
      <c r="F48" s="3">
        <v>1974</v>
      </c>
      <c r="G48" s="3">
        <f>250*12.3</f>
        <v>3075</v>
      </c>
      <c r="H48" s="3">
        <v>1</v>
      </c>
      <c r="I48" s="3">
        <v>0</v>
      </c>
    </row>
    <row r="49" spans="1:9" x14ac:dyDescent="0.3">
      <c r="A49" s="1">
        <v>43878</v>
      </c>
      <c r="B49">
        <v>0</v>
      </c>
      <c r="C49">
        <v>363</v>
      </c>
      <c r="D49">
        <v>196</v>
      </c>
      <c r="E49">
        <v>0</v>
      </c>
      <c r="F49">
        <v>2340</v>
      </c>
      <c r="G49" s="12">
        <f>250*10.5</f>
        <v>2625</v>
      </c>
      <c r="H49" s="12">
        <v>0</v>
      </c>
      <c r="I49" s="12">
        <v>0</v>
      </c>
    </row>
    <row r="50" spans="1:9" x14ac:dyDescent="0.3">
      <c r="A50" s="1">
        <v>43879</v>
      </c>
      <c r="B50">
        <v>64</v>
      </c>
      <c r="C50">
        <v>427</v>
      </c>
      <c r="D50">
        <v>115</v>
      </c>
      <c r="E50">
        <f>60 *8</f>
        <v>480</v>
      </c>
      <c r="F50">
        <v>0</v>
      </c>
      <c r="G50" s="12">
        <f>250*9.3</f>
        <v>2325</v>
      </c>
      <c r="H50" s="12">
        <v>0</v>
      </c>
      <c r="I50" s="12">
        <v>1</v>
      </c>
    </row>
    <row r="51" spans="1:9" x14ac:dyDescent="0.3">
      <c r="A51" s="1">
        <v>43880</v>
      </c>
      <c r="B51">
        <v>95</v>
      </c>
      <c r="C51">
        <v>360</v>
      </c>
      <c r="D51">
        <v>163</v>
      </c>
      <c r="E51">
        <f>60 *8</f>
        <v>480</v>
      </c>
      <c r="F51">
        <v>0</v>
      </c>
      <c r="G51" s="12">
        <f>250*14</f>
        <v>3500</v>
      </c>
      <c r="H51" s="12">
        <v>0</v>
      </c>
      <c r="I51" s="12">
        <v>0</v>
      </c>
    </row>
    <row r="52" spans="1:9" x14ac:dyDescent="0.3">
      <c r="A52" s="1">
        <v>43881</v>
      </c>
      <c r="B52">
        <v>0</v>
      </c>
      <c r="C52">
        <v>268</v>
      </c>
      <c r="D52">
        <v>60</v>
      </c>
      <c r="E52">
        <f>60 *8</f>
        <v>480</v>
      </c>
      <c r="F52">
        <v>582</v>
      </c>
      <c r="G52" s="12">
        <f>250*12</f>
        <v>3000</v>
      </c>
      <c r="H52" s="12">
        <v>0</v>
      </c>
      <c r="I52" s="12">
        <v>0</v>
      </c>
    </row>
    <row r="53" spans="1:9" x14ac:dyDescent="0.3">
      <c r="A53" s="1">
        <v>43882</v>
      </c>
      <c r="B53">
        <v>91</v>
      </c>
      <c r="C53">
        <v>507</v>
      </c>
      <c r="D53">
        <v>0</v>
      </c>
      <c r="E53">
        <f>60 *8</f>
        <v>480</v>
      </c>
      <c r="F53">
        <v>0</v>
      </c>
      <c r="G53" s="12">
        <f>250*8</f>
        <v>2000</v>
      </c>
      <c r="H53" s="12">
        <v>0</v>
      </c>
      <c r="I53" s="12">
        <v>1</v>
      </c>
    </row>
    <row r="54" spans="1:9" x14ac:dyDescent="0.3">
      <c r="A54" s="2">
        <v>43883</v>
      </c>
      <c r="B54" s="3">
        <v>30</v>
      </c>
      <c r="C54" s="3">
        <v>431</v>
      </c>
      <c r="D54" s="3">
        <v>0</v>
      </c>
      <c r="E54" s="3">
        <v>0</v>
      </c>
      <c r="F54" s="3">
        <v>0</v>
      </c>
      <c r="G54" s="3">
        <f>250*9.6</f>
        <v>2400</v>
      </c>
      <c r="H54" s="3">
        <v>0</v>
      </c>
      <c r="I54" s="3">
        <v>1</v>
      </c>
    </row>
    <row r="55" spans="1:9" x14ac:dyDescent="0.3">
      <c r="A55" s="2">
        <v>43884</v>
      </c>
      <c r="B55" s="3">
        <v>0</v>
      </c>
      <c r="C55" s="3">
        <v>388</v>
      </c>
      <c r="D55" s="3">
        <v>218</v>
      </c>
      <c r="E55" s="3">
        <v>0</v>
      </c>
      <c r="F55" s="3">
        <v>765</v>
      </c>
      <c r="G55" s="3">
        <f>250*7.25</f>
        <v>1812.5</v>
      </c>
      <c r="H55" s="3">
        <v>0</v>
      </c>
      <c r="I55" s="3">
        <v>0</v>
      </c>
    </row>
    <row r="56" spans="1:9" x14ac:dyDescent="0.3">
      <c r="A56" s="1">
        <v>43885</v>
      </c>
      <c r="B56">
        <v>0</v>
      </c>
      <c r="C56">
        <v>501</v>
      </c>
      <c r="D56">
        <v>0</v>
      </c>
      <c r="E56">
        <f>60 *8</f>
        <v>480</v>
      </c>
      <c r="F56">
        <v>468</v>
      </c>
      <c r="G56" s="12">
        <f>250*8.6</f>
        <v>2150</v>
      </c>
      <c r="H56" s="12">
        <v>0</v>
      </c>
      <c r="I56" s="12">
        <v>0</v>
      </c>
    </row>
    <row r="57" spans="1:9" x14ac:dyDescent="0.3">
      <c r="A57" s="1">
        <v>43886</v>
      </c>
      <c r="B57">
        <v>96</v>
      </c>
      <c r="C57">
        <v>395</v>
      </c>
      <c r="D57">
        <v>163</v>
      </c>
      <c r="E57">
        <f>60 *8</f>
        <v>480</v>
      </c>
      <c r="F57">
        <v>0</v>
      </c>
      <c r="G57" s="12">
        <f>250*8.5</f>
        <v>2125</v>
      </c>
      <c r="H57" s="12">
        <v>0</v>
      </c>
      <c r="I57" s="12">
        <v>1</v>
      </c>
    </row>
    <row r="58" spans="1:9" x14ac:dyDescent="0.3">
      <c r="A58" s="1">
        <v>43887</v>
      </c>
      <c r="B58">
        <v>0</v>
      </c>
      <c r="C58">
        <v>333</v>
      </c>
      <c r="D58">
        <v>48</v>
      </c>
      <c r="E58">
        <f>60 *8</f>
        <v>480</v>
      </c>
      <c r="F58">
        <v>984</v>
      </c>
      <c r="G58" s="12">
        <f>250*10.7</f>
        <v>2675</v>
      </c>
      <c r="H58" s="12">
        <v>0</v>
      </c>
      <c r="I58" s="12">
        <v>0</v>
      </c>
    </row>
    <row r="59" spans="1:9" x14ac:dyDescent="0.3">
      <c r="A59" s="1">
        <v>43888</v>
      </c>
      <c r="B59">
        <v>60</v>
      </c>
      <c r="C59">
        <v>491</v>
      </c>
      <c r="D59">
        <v>137</v>
      </c>
      <c r="E59">
        <f>60 *8</f>
        <v>480</v>
      </c>
      <c r="F59">
        <v>0</v>
      </c>
      <c r="G59" s="12">
        <f>250*11</f>
        <v>2750</v>
      </c>
      <c r="H59" s="12">
        <v>0</v>
      </c>
      <c r="I59" s="12">
        <v>1</v>
      </c>
    </row>
    <row r="60" spans="1:9" x14ac:dyDescent="0.3">
      <c r="A60" s="1">
        <v>43889</v>
      </c>
      <c r="B60">
        <v>88</v>
      </c>
      <c r="C60">
        <v>571</v>
      </c>
      <c r="D60">
        <v>0</v>
      </c>
      <c r="E60">
        <f>60 *8</f>
        <v>480</v>
      </c>
      <c r="F60">
        <v>509</v>
      </c>
      <c r="G60" s="12">
        <f>250*5.8</f>
        <v>1450</v>
      </c>
      <c r="H60" s="12">
        <v>0</v>
      </c>
      <c r="I60" s="12">
        <v>1</v>
      </c>
    </row>
    <row r="61" spans="1:9" s="3" customFormat="1" x14ac:dyDescent="0.3">
      <c r="A61" s="2">
        <v>43890</v>
      </c>
      <c r="B61" s="3">
        <v>0</v>
      </c>
      <c r="C61" s="3">
        <v>613</v>
      </c>
      <c r="D61" s="3">
        <v>0</v>
      </c>
      <c r="E61" s="3">
        <v>0</v>
      </c>
      <c r="F61" s="3">
        <v>1356</v>
      </c>
      <c r="G61" s="3">
        <f>250*6.6</f>
        <v>1650</v>
      </c>
      <c r="H61" s="3">
        <v>0</v>
      </c>
      <c r="I61" s="3">
        <v>0</v>
      </c>
    </row>
    <row r="62" spans="1:9" x14ac:dyDescent="0.3">
      <c r="B62" s="5">
        <f>AVERAGE(B2:B61)</f>
        <v>35.31666666666667</v>
      </c>
      <c r="C62" t="s">
        <v>49</v>
      </c>
    </row>
    <row r="64" spans="1:9" x14ac:dyDescent="0.3">
      <c r="B64" s="5">
        <f>STDEV(B2:B61)</f>
        <v>50.768831912752439</v>
      </c>
      <c r="C64" t="s">
        <v>50</v>
      </c>
    </row>
    <row r="65" spans="1:8" x14ac:dyDescent="0.3">
      <c r="B65" t="s">
        <v>104</v>
      </c>
    </row>
    <row r="66" spans="1:8" x14ac:dyDescent="0.3">
      <c r="A66" s="2">
        <v>43891</v>
      </c>
      <c r="B66" s="3">
        <v>60</v>
      </c>
      <c r="C66" s="3">
        <v>582</v>
      </c>
      <c r="D66" s="3">
        <v>226</v>
      </c>
      <c r="E66" s="3">
        <v>0</v>
      </c>
      <c r="F66" s="3">
        <v>0</v>
      </c>
      <c r="G66" s="3">
        <v>2325</v>
      </c>
      <c r="H66" s="3">
        <v>0</v>
      </c>
    </row>
    <row r="67" spans="1:8" x14ac:dyDescent="0.3">
      <c r="A67" s="1">
        <v>43892</v>
      </c>
      <c r="B67">
        <v>60</v>
      </c>
      <c r="C67">
        <v>319</v>
      </c>
      <c r="D67">
        <v>0</v>
      </c>
      <c r="E67">
        <v>120</v>
      </c>
      <c r="F67">
        <v>0</v>
      </c>
      <c r="G67">
        <v>3500</v>
      </c>
      <c r="H67">
        <v>0</v>
      </c>
    </row>
    <row r="68" spans="1:8" x14ac:dyDescent="0.3">
      <c r="A68" s="1">
        <v>43893</v>
      </c>
      <c r="B68">
        <v>121</v>
      </c>
      <c r="C68">
        <v>392</v>
      </c>
      <c r="D68">
        <v>239</v>
      </c>
      <c r="E68">
        <f>60 *8</f>
        <v>480</v>
      </c>
      <c r="F68">
        <v>0</v>
      </c>
      <c r="G68">
        <v>3000</v>
      </c>
      <c r="H68">
        <v>0</v>
      </c>
    </row>
    <row r="69" spans="1:8" x14ac:dyDescent="0.3">
      <c r="A69" s="1">
        <v>43894</v>
      </c>
      <c r="B69">
        <v>189</v>
      </c>
      <c r="C69">
        <v>230</v>
      </c>
      <c r="D69">
        <v>214</v>
      </c>
      <c r="E69">
        <f>60 *8</f>
        <v>480</v>
      </c>
      <c r="F69">
        <v>296</v>
      </c>
      <c r="G69">
        <v>2437.5</v>
      </c>
      <c r="H69">
        <v>0</v>
      </c>
    </row>
    <row r="70" spans="1:8" x14ac:dyDescent="0.3">
      <c r="A70" s="1">
        <v>43895</v>
      </c>
      <c r="B70">
        <v>124</v>
      </c>
      <c r="C70">
        <v>549</v>
      </c>
      <c r="D70">
        <v>98</v>
      </c>
      <c r="E70">
        <f>60 *8</f>
        <v>480</v>
      </c>
      <c r="F70">
        <v>0</v>
      </c>
      <c r="G70">
        <v>2750</v>
      </c>
      <c r="H70">
        <v>0</v>
      </c>
    </row>
    <row r="71" spans="1:8" x14ac:dyDescent="0.3">
      <c r="A71" s="1">
        <v>43896</v>
      </c>
      <c r="B71">
        <v>60</v>
      </c>
      <c r="C71">
        <v>481</v>
      </c>
      <c r="D71">
        <v>0</v>
      </c>
      <c r="E71">
        <f>60 *8</f>
        <v>480</v>
      </c>
      <c r="F71">
        <v>0</v>
      </c>
      <c r="G71">
        <v>2000</v>
      </c>
      <c r="H71">
        <v>0</v>
      </c>
    </row>
    <row r="72" spans="1:8" x14ac:dyDescent="0.3">
      <c r="A72" s="2">
        <v>43897</v>
      </c>
      <c r="B72" s="3">
        <v>95</v>
      </c>
      <c r="C72" s="3">
        <v>511</v>
      </c>
      <c r="D72" s="3">
        <v>0</v>
      </c>
      <c r="E72" s="3">
        <v>0</v>
      </c>
      <c r="F72" s="3">
        <v>0</v>
      </c>
      <c r="G72" s="3">
        <v>1575</v>
      </c>
      <c r="H72" s="3">
        <v>0</v>
      </c>
    </row>
    <row r="73" spans="1:8" x14ac:dyDescent="0.3">
      <c r="A73" s="2">
        <v>43898</v>
      </c>
      <c r="B73" s="3">
        <v>0</v>
      </c>
      <c r="C73" s="3">
        <v>313</v>
      </c>
      <c r="D73" s="3">
        <v>0</v>
      </c>
      <c r="E73" s="3">
        <v>0</v>
      </c>
      <c r="F73" s="3">
        <v>1345</v>
      </c>
      <c r="G73" s="3">
        <v>2400</v>
      </c>
      <c r="H73" s="3">
        <v>0</v>
      </c>
    </row>
    <row r="74" spans="1:8" x14ac:dyDescent="0.3">
      <c r="A74" s="1">
        <v>43899</v>
      </c>
      <c r="B74">
        <v>118</v>
      </c>
      <c r="C74">
        <v>493</v>
      </c>
      <c r="E74">
        <v>480</v>
      </c>
      <c r="F74">
        <v>196</v>
      </c>
      <c r="G74">
        <v>3075</v>
      </c>
      <c r="H74">
        <v>0</v>
      </c>
    </row>
    <row r="75" spans="1:8" x14ac:dyDescent="0.3">
      <c r="A75" s="1">
        <v>43900</v>
      </c>
      <c r="B75">
        <v>53</v>
      </c>
      <c r="C75">
        <v>436</v>
      </c>
      <c r="D75">
        <v>66</v>
      </c>
      <c r="E75">
        <v>480</v>
      </c>
      <c r="F75">
        <v>0</v>
      </c>
      <c r="G75">
        <v>2500</v>
      </c>
      <c r="H75">
        <v>0</v>
      </c>
    </row>
    <row r="76" spans="1:8" x14ac:dyDescent="0.3">
      <c r="A76" s="1">
        <v>43901</v>
      </c>
      <c r="B76">
        <v>122</v>
      </c>
      <c r="C76">
        <v>303</v>
      </c>
      <c r="E76">
        <v>240</v>
      </c>
      <c r="F76">
        <v>486</v>
      </c>
      <c r="G76">
        <v>3500</v>
      </c>
      <c r="H76">
        <v>0</v>
      </c>
    </row>
    <row r="77" spans="1:8" x14ac:dyDescent="0.3">
      <c r="A77" s="1">
        <v>43902</v>
      </c>
      <c r="B77">
        <v>69</v>
      </c>
      <c r="C77">
        <v>374</v>
      </c>
      <c r="D77">
        <v>93</v>
      </c>
      <c r="E77">
        <v>480</v>
      </c>
      <c r="F77">
        <v>0</v>
      </c>
      <c r="G77">
        <v>3250</v>
      </c>
      <c r="H77">
        <v>0</v>
      </c>
    </row>
    <row r="78" spans="1:8" x14ac:dyDescent="0.3">
      <c r="B78">
        <f>AVERAGE(B66:B77)</f>
        <v>89.25</v>
      </c>
      <c r="C78" t="s">
        <v>49</v>
      </c>
    </row>
    <row r="80" spans="1:8" x14ac:dyDescent="0.3">
      <c r="B80" s="5">
        <f>STDEV(B66:B77)</f>
        <v>48.947327905524212</v>
      </c>
      <c r="C80" t="s">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385A6-0AB2-4576-B531-76F4096A3A6B}">
  <sheetPr>
    <tabColor rgb="FFFF0000"/>
  </sheetPr>
  <dimension ref="A2:K82"/>
  <sheetViews>
    <sheetView topLeftCell="A53" workbookViewId="0">
      <selection activeCell="C77" sqref="C77"/>
    </sheetView>
  </sheetViews>
  <sheetFormatPr defaultColWidth="22.88671875" defaultRowHeight="14.4" x14ac:dyDescent="0.3"/>
  <cols>
    <col min="1" max="1" width="9.5546875" bestFit="1" customWidth="1"/>
    <col min="2" max="2" width="58.44140625" bestFit="1" customWidth="1"/>
    <col min="3" max="4" width="58.44140625" customWidth="1"/>
    <col min="5" max="5" width="26.88671875" bestFit="1" customWidth="1"/>
    <col min="6" max="6" width="23.109375" bestFit="1" customWidth="1"/>
    <col min="7" max="7" width="21.5546875" customWidth="1"/>
    <col min="8" max="8" width="27.6640625" bestFit="1" customWidth="1"/>
    <col min="9" max="9" width="22.88671875" customWidth="1"/>
    <col min="10" max="10" width="27.6640625" bestFit="1" customWidth="1"/>
  </cols>
  <sheetData>
    <row r="2" spans="1:11" x14ac:dyDescent="0.3">
      <c r="A2" s="17" t="s">
        <v>0</v>
      </c>
      <c r="B2" s="17" t="s">
        <v>42</v>
      </c>
      <c r="C2" s="10"/>
      <c r="D2" s="10"/>
      <c r="E2" t="s">
        <v>144</v>
      </c>
      <c r="F2" t="s">
        <v>145</v>
      </c>
      <c r="G2" t="s">
        <v>143</v>
      </c>
    </row>
    <row r="3" spans="1:11" x14ac:dyDescent="0.3">
      <c r="A3" s="1">
        <v>43831</v>
      </c>
      <c r="B3">
        <v>0</v>
      </c>
      <c r="E3">
        <v>35.316699999999997</v>
      </c>
      <c r="F3">
        <v>50.768799999999999</v>
      </c>
      <c r="G3" s="5">
        <f t="shared" ref="G3:G35" si="0">_xlfn.NORM.DIST(B3,$E$3,$F$3,TRUE)</f>
        <v>0.24332782117919877</v>
      </c>
      <c r="H3" t="s">
        <v>6</v>
      </c>
    </row>
    <row r="4" spans="1:11" x14ac:dyDescent="0.3">
      <c r="A4" s="1">
        <v>43832</v>
      </c>
      <c r="B4">
        <v>0</v>
      </c>
      <c r="G4" s="5">
        <f t="shared" si="0"/>
        <v>0.24332782117919877</v>
      </c>
      <c r="H4" t="s">
        <v>6</v>
      </c>
    </row>
    <row r="5" spans="1:11" x14ac:dyDescent="0.3">
      <c r="A5" s="1">
        <v>43833</v>
      </c>
      <c r="B5">
        <v>0</v>
      </c>
      <c r="F5" t="s">
        <v>6</v>
      </c>
      <c r="G5" s="5">
        <f t="shared" si="0"/>
        <v>0.24332782117919877</v>
      </c>
    </row>
    <row r="6" spans="1:11" x14ac:dyDescent="0.3">
      <c r="A6" s="2">
        <v>43834</v>
      </c>
      <c r="B6" s="3">
        <v>0</v>
      </c>
      <c r="C6" s="3"/>
      <c r="D6" s="3"/>
      <c r="G6" s="5">
        <f t="shared" si="0"/>
        <v>0.24332782117919877</v>
      </c>
      <c r="H6" t="s">
        <v>6</v>
      </c>
    </row>
    <row r="7" spans="1:11" x14ac:dyDescent="0.3">
      <c r="A7" s="2">
        <v>43835</v>
      </c>
      <c r="B7" s="3">
        <v>0</v>
      </c>
      <c r="C7" s="3"/>
      <c r="D7" s="3"/>
      <c r="G7" s="5">
        <f t="shared" si="0"/>
        <v>0.24332782117919877</v>
      </c>
    </row>
    <row r="8" spans="1:11" x14ac:dyDescent="0.3">
      <c r="A8" s="1">
        <v>43839</v>
      </c>
      <c r="B8">
        <v>0</v>
      </c>
      <c r="G8" s="5">
        <f t="shared" si="0"/>
        <v>0.24332782117919877</v>
      </c>
      <c r="I8" t="s">
        <v>6</v>
      </c>
    </row>
    <row r="9" spans="1:11" x14ac:dyDescent="0.3">
      <c r="A9" s="1"/>
      <c r="G9" s="5"/>
    </row>
    <row r="10" spans="1:11" x14ac:dyDescent="0.3">
      <c r="A10" s="1">
        <v>43840</v>
      </c>
      <c r="B10">
        <v>0</v>
      </c>
      <c r="F10" t="s">
        <v>6</v>
      </c>
      <c r="G10" s="5">
        <f t="shared" si="0"/>
        <v>0.24332782117919877</v>
      </c>
      <c r="I10" t="s">
        <v>6</v>
      </c>
      <c r="J10" t="s">
        <v>6</v>
      </c>
    </row>
    <row r="11" spans="1:11" x14ac:dyDescent="0.3">
      <c r="A11" s="1">
        <v>43843</v>
      </c>
      <c r="B11">
        <v>0</v>
      </c>
      <c r="G11" s="5">
        <f t="shared" si="0"/>
        <v>0.24332782117919877</v>
      </c>
      <c r="I11" t="s">
        <v>6</v>
      </c>
      <c r="J11" t="s">
        <v>6</v>
      </c>
      <c r="K11" t="s">
        <v>6</v>
      </c>
    </row>
    <row r="12" spans="1:11" ht="48" customHeight="1" x14ac:dyDescent="0.3">
      <c r="A12" s="1">
        <v>43846</v>
      </c>
      <c r="B12">
        <v>0</v>
      </c>
      <c r="G12" s="5">
        <f t="shared" si="0"/>
        <v>0.24332782117919877</v>
      </c>
      <c r="H12" s="72" t="s">
        <v>6</v>
      </c>
      <c r="I12" s="72"/>
    </row>
    <row r="13" spans="1:11" x14ac:dyDescent="0.3">
      <c r="A13" s="1">
        <v>43847</v>
      </c>
      <c r="B13">
        <v>0</v>
      </c>
      <c r="G13" s="5">
        <f t="shared" si="0"/>
        <v>0.24332782117919877</v>
      </c>
      <c r="H13" t="s">
        <v>6</v>
      </c>
    </row>
    <row r="14" spans="1:11" x14ac:dyDescent="0.3">
      <c r="A14" s="2">
        <v>43848</v>
      </c>
      <c r="B14" s="3">
        <v>0</v>
      </c>
      <c r="C14" s="3"/>
      <c r="D14" s="3"/>
      <c r="G14" s="5">
        <f t="shared" si="0"/>
        <v>0.24332782117919877</v>
      </c>
      <c r="H14" t="s">
        <v>6</v>
      </c>
    </row>
    <row r="15" spans="1:11" x14ac:dyDescent="0.3">
      <c r="A15" s="2">
        <v>43849</v>
      </c>
      <c r="B15" s="3">
        <v>0</v>
      </c>
      <c r="C15" s="3"/>
      <c r="D15" s="3"/>
      <c r="G15" s="5">
        <f t="shared" si="0"/>
        <v>0.24332782117919877</v>
      </c>
      <c r="H15" t="s">
        <v>6</v>
      </c>
    </row>
    <row r="16" spans="1:11" x14ac:dyDescent="0.3">
      <c r="A16" s="1">
        <v>43853</v>
      </c>
      <c r="B16">
        <v>0</v>
      </c>
      <c r="G16" s="5">
        <f t="shared" si="0"/>
        <v>0.24332782117919877</v>
      </c>
      <c r="H16" t="s">
        <v>6</v>
      </c>
      <c r="I16" t="s">
        <v>6</v>
      </c>
    </row>
    <row r="17" spans="1:9" x14ac:dyDescent="0.3">
      <c r="A17" s="1">
        <v>43858</v>
      </c>
      <c r="B17">
        <v>0</v>
      </c>
      <c r="G17" s="5">
        <f t="shared" si="0"/>
        <v>0.24332782117919877</v>
      </c>
      <c r="H17" t="s">
        <v>6</v>
      </c>
      <c r="I17" t="s">
        <v>6</v>
      </c>
    </row>
    <row r="18" spans="1:9" x14ac:dyDescent="0.3">
      <c r="A18" s="1">
        <v>43859</v>
      </c>
      <c r="B18">
        <v>0</v>
      </c>
      <c r="G18" s="5">
        <f t="shared" si="0"/>
        <v>0.24332782117919877</v>
      </c>
      <c r="H18" t="s">
        <v>6</v>
      </c>
    </row>
    <row r="19" spans="1:9" x14ac:dyDescent="0.3">
      <c r="A19" s="1">
        <v>43860</v>
      </c>
      <c r="B19">
        <v>0</v>
      </c>
      <c r="G19" s="5">
        <f t="shared" si="0"/>
        <v>0.24332782117919877</v>
      </c>
      <c r="H19" t="s">
        <v>6</v>
      </c>
    </row>
    <row r="20" spans="1:9" x14ac:dyDescent="0.3">
      <c r="A20" s="1">
        <v>43861</v>
      </c>
      <c r="B20">
        <v>0</v>
      </c>
      <c r="G20" s="5">
        <f t="shared" si="0"/>
        <v>0.24332782117919877</v>
      </c>
      <c r="H20" t="s">
        <v>6</v>
      </c>
    </row>
    <row r="21" spans="1:9" x14ac:dyDescent="0.3">
      <c r="A21" s="2">
        <v>43862</v>
      </c>
      <c r="B21" s="3">
        <v>0</v>
      </c>
      <c r="C21" s="3"/>
      <c r="D21" s="3"/>
      <c r="G21" s="5">
        <f t="shared" si="0"/>
        <v>0.24332782117919877</v>
      </c>
      <c r="H21" t="s">
        <v>6</v>
      </c>
    </row>
    <row r="22" spans="1:9" x14ac:dyDescent="0.3">
      <c r="A22" s="2">
        <v>43863</v>
      </c>
      <c r="B22" s="3">
        <v>0</v>
      </c>
      <c r="C22" s="3"/>
      <c r="D22" s="3"/>
      <c r="G22" s="5">
        <f t="shared" si="0"/>
        <v>0.24332782117919877</v>
      </c>
      <c r="H22" t="s">
        <v>6</v>
      </c>
    </row>
    <row r="23" spans="1:9" x14ac:dyDescent="0.3">
      <c r="A23" s="1">
        <v>43864</v>
      </c>
      <c r="B23">
        <v>0</v>
      </c>
      <c r="G23" s="5">
        <f t="shared" si="0"/>
        <v>0.24332782117919877</v>
      </c>
      <c r="H23" t="s">
        <v>6</v>
      </c>
    </row>
    <row r="24" spans="1:9" x14ac:dyDescent="0.3">
      <c r="A24" s="1">
        <v>43865</v>
      </c>
      <c r="B24">
        <v>0</v>
      </c>
      <c r="G24" s="5">
        <f t="shared" si="0"/>
        <v>0.24332782117919877</v>
      </c>
      <c r="H24" t="s">
        <v>6</v>
      </c>
    </row>
    <row r="25" spans="1:9" x14ac:dyDescent="0.3">
      <c r="A25" s="1">
        <v>43866</v>
      </c>
      <c r="B25">
        <v>0</v>
      </c>
      <c r="G25" s="5">
        <f t="shared" si="0"/>
        <v>0.24332782117919877</v>
      </c>
      <c r="H25" t="s">
        <v>6</v>
      </c>
    </row>
    <row r="26" spans="1:9" x14ac:dyDescent="0.3">
      <c r="A26" s="1">
        <v>43867</v>
      </c>
      <c r="B26">
        <v>0</v>
      </c>
      <c r="G26" s="5">
        <f t="shared" si="0"/>
        <v>0.24332782117919877</v>
      </c>
      <c r="H26" t="s">
        <v>6</v>
      </c>
    </row>
    <row r="27" spans="1:9" x14ac:dyDescent="0.3">
      <c r="A27" s="1">
        <v>43871</v>
      </c>
      <c r="B27">
        <v>0</v>
      </c>
      <c r="G27" s="5">
        <f t="shared" si="0"/>
        <v>0.24332782117919877</v>
      </c>
      <c r="H27" t="s">
        <v>6</v>
      </c>
    </row>
    <row r="28" spans="1:9" x14ac:dyDescent="0.3">
      <c r="A28" s="1">
        <v>43872</v>
      </c>
      <c r="B28">
        <v>0</v>
      </c>
      <c r="G28" s="5">
        <f t="shared" si="0"/>
        <v>0.24332782117919877</v>
      </c>
      <c r="H28" t="s">
        <v>6</v>
      </c>
    </row>
    <row r="29" spans="1:9" x14ac:dyDescent="0.3">
      <c r="A29" s="2">
        <v>43876</v>
      </c>
      <c r="B29" s="3">
        <v>0</v>
      </c>
      <c r="C29" s="3"/>
      <c r="D29" s="3"/>
      <c r="G29" s="5">
        <f t="shared" si="0"/>
        <v>0.24332782117919877</v>
      </c>
      <c r="H29" t="s">
        <v>6</v>
      </c>
    </row>
    <row r="30" spans="1:9" x14ac:dyDescent="0.3">
      <c r="A30" s="1">
        <v>43878</v>
      </c>
      <c r="B30">
        <v>0</v>
      </c>
      <c r="G30" s="5">
        <f t="shared" si="0"/>
        <v>0.24332782117919877</v>
      </c>
      <c r="H30" t="s">
        <v>6</v>
      </c>
    </row>
    <row r="31" spans="1:9" x14ac:dyDescent="0.3">
      <c r="A31" s="1">
        <v>43881</v>
      </c>
      <c r="B31">
        <v>0</v>
      </c>
      <c r="G31" s="5">
        <f t="shared" si="0"/>
        <v>0.24332782117919877</v>
      </c>
      <c r="H31" t="s">
        <v>6</v>
      </c>
    </row>
    <row r="32" spans="1:9" x14ac:dyDescent="0.3">
      <c r="A32" s="2">
        <v>43884</v>
      </c>
      <c r="B32" s="3">
        <v>0</v>
      </c>
      <c r="C32" s="3"/>
      <c r="D32" s="3"/>
      <c r="G32" s="5">
        <f t="shared" si="0"/>
        <v>0.24332782117919877</v>
      </c>
      <c r="H32" t="s">
        <v>6</v>
      </c>
    </row>
    <row r="33" spans="1:8" x14ac:dyDescent="0.3">
      <c r="A33" s="1">
        <v>43885</v>
      </c>
      <c r="B33">
        <v>0</v>
      </c>
      <c r="G33" s="5">
        <f t="shared" si="0"/>
        <v>0.24332782117919877</v>
      </c>
      <c r="H33" t="s">
        <v>6</v>
      </c>
    </row>
    <row r="34" spans="1:8" x14ac:dyDescent="0.3">
      <c r="A34" s="1">
        <v>43887</v>
      </c>
      <c r="B34">
        <v>0</v>
      </c>
      <c r="G34" s="5">
        <f t="shared" si="0"/>
        <v>0.24332782117919877</v>
      </c>
      <c r="H34" t="s">
        <v>6</v>
      </c>
    </row>
    <row r="35" spans="1:8" x14ac:dyDescent="0.3">
      <c r="A35" s="2">
        <v>43890</v>
      </c>
      <c r="B35" s="3">
        <v>0</v>
      </c>
      <c r="C35" s="3"/>
      <c r="D35" s="3"/>
      <c r="F35" t="s">
        <v>6</v>
      </c>
      <c r="G35" s="5">
        <f t="shared" si="0"/>
        <v>0.24332782117919877</v>
      </c>
      <c r="H35" t="s">
        <v>6</v>
      </c>
    </row>
    <row r="37" spans="1:8" x14ac:dyDescent="0.3">
      <c r="B37" t="s">
        <v>108</v>
      </c>
      <c r="F37" t="s">
        <v>6</v>
      </c>
    </row>
    <row r="39" spans="1:8" x14ac:dyDescent="0.3">
      <c r="B39" t="s">
        <v>186</v>
      </c>
      <c r="F39" t="s">
        <v>6</v>
      </c>
    </row>
    <row r="40" spans="1:8" x14ac:dyDescent="0.3">
      <c r="B40" t="s">
        <v>51</v>
      </c>
      <c r="F40" t="s">
        <v>6</v>
      </c>
    </row>
    <row r="41" spans="1:8" x14ac:dyDescent="0.3">
      <c r="B41" t="s">
        <v>52</v>
      </c>
      <c r="F41" t="s">
        <v>6</v>
      </c>
    </row>
    <row r="42" spans="1:8" x14ac:dyDescent="0.3">
      <c r="B42" t="s">
        <v>6</v>
      </c>
      <c r="F42" t="s">
        <v>6</v>
      </c>
    </row>
    <row r="43" spans="1:8" x14ac:dyDescent="0.3">
      <c r="B43" t="s">
        <v>9</v>
      </c>
    </row>
    <row r="44" spans="1:8" x14ac:dyDescent="0.3">
      <c r="B44" t="b">
        <v>1</v>
      </c>
    </row>
    <row r="45" spans="1:8" x14ac:dyDescent="0.3">
      <c r="B45" t="s">
        <v>185</v>
      </c>
    </row>
    <row r="48" spans="1:8" x14ac:dyDescent="0.3">
      <c r="B48" t="s">
        <v>109</v>
      </c>
    </row>
    <row r="49" spans="1:9" x14ac:dyDescent="0.3">
      <c r="B49" s="34">
        <v>0.48619033737255957</v>
      </c>
      <c r="C49" s="34"/>
      <c r="D49" s="34"/>
      <c r="E49" t="s">
        <v>187</v>
      </c>
    </row>
    <row r="50" spans="1:9" x14ac:dyDescent="0.3">
      <c r="B50" t="s">
        <v>188</v>
      </c>
    </row>
    <row r="51" spans="1:9" x14ac:dyDescent="0.3">
      <c r="B51">
        <f>_xlfn.NORM.DIST(60,35.3167,50.7688,TRUE)</f>
        <v>0.68658388920820768</v>
      </c>
    </row>
    <row r="54" spans="1:9" x14ac:dyDescent="0.3">
      <c r="A54" s="2">
        <v>43891</v>
      </c>
      <c r="B54" s="3">
        <v>60</v>
      </c>
      <c r="C54" s="3"/>
      <c r="D54" s="3"/>
      <c r="E54">
        <v>89.25</v>
      </c>
      <c r="F54">
        <v>48.947299999999998</v>
      </c>
      <c r="G54" s="5">
        <f t="shared" ref="G54:G66" si="1">_xlfn.NORM.DIST(B54,$E$54,$F$54,TRUE)</f>
        <v>0.27505961218258923</v>
      </c>
      <c r="I54" s="64" t="s">
        <v>6</v>
      </c>
    </row>
    <row r="55" spans="1:9" x14ac:dyDescent="0.3">
      <c r="A55" s="2">
        <v>43898</v>
      </c>
      <c r="B55" s="3">
        <v>0</v>
      </c>
      <c r="C55" s="3"/>
      <c r="D55" s="3"/>
      <c r="G55" s="5">
        <f t="shared" si="1"/>
        <v>3.4122198716181044E-2</v>
      </c>
    </row>
    <row r="56" spans="1:9" x14ac:dyDescent="0.3">
      <c r="A56" s="1">
        <v>43900</v>
      </c>
      <c r="B56">
        <v>53</v>
      </c>
      <c r="G56" s="5">
        <f t="shared" si="1"/>
        <v>0.22947029871842967</v>
      </c>
    </row>
    <row r="57" spans="1:9" x14ac:dyDescent="0.3">
      <c r="A57" s="1">
        <v>43892</v>
      </c>
      <c r="B57">
        <v>60</v>
      </c>
      <c r="F57" t="s">
        <v>6</v>
      </c>
      <c r="G57" s="5">
        <f t="shared" si="1"/>
        <v>0.27505961218258923</v>
      </c>
    </row>
    <row r="58" spans="1:9" x14ac:dyDescent="0.3">
      <c r="A58" s="1">
        <v>43896</v>
      </c>
      <c r="B58">
        <v>60</v>
      </c>
      <c r="G58" s="5">
        <f t="shared" si="1"/>
        <v>0.27505961218258923</v>
      </c>
    </row>
    <row r="59" spans="1:9" x14ac:dyDescent="0.3">
      <c r="A59" s="1">
        <v>43902</v>
      </c>
      <c r="B59">
        <v>69</v>
      </c>
      <c r="G59" s="5">
        <f t="shared" si="1"/>
        <v>0.3395431576725052</v>
      </c>
    </row>
    <row r="60" spans="1:9" x14ac:dyDescent="0.3">
      <c r="A60" s="2">
        <v>43897</v>
      </c>
      <c r="B60" s="3">
        <v>95</v>
      </c>
      <c r="C60" s="3"/>
      <c r="D60" s="3"/>
      <c r="G60" s="5">
        <f t="shared" si="1"/>
        <v>0.54675749254195838</v>
      </c>
    </row>
    <row r="61" spans="1:9" x14ac:dyDescent="0.3">
      <c r="A61" s="2"/>
      <c r="B61" s="3"/>
      <c r="C61" s="3"/>
      <c r="D61" s="3"/>
      <c r="G61" s="5"/>
    </row>
    <row r="62" spans="1:9" x14ac:dyDescent="0.3">
      <c r="A62" s="1">
        <v>43899</v>
      </c>
      <c r="B62">
        <v>118</v>
      </c>
      <c r="G62" s="5">
        <f t="shared" si="1"/>
        <v>0.72152117673829319</v>
      </c>
    </row>
    <row r="63" spans="1:9" x14ac:dyDescent="0.3">
      <c r="A63" s="1">
        <v>43893</v>
      </c>
      <c r="B63">
        <v>121</v>
      </c>
      <c r="G63" s="5">
        <f t="shared" si="1"/>
        <v>0.74171989011015071</v>
      </c>
    </row>
    <row r="64" spans="1:9" x14ac:dyDescent="0.3">
      <c r="A64" s="1">
        <v>43901</v>
      </c>
      <c r="B64">
        <v>122</v>
      </c>
      <c r="G64" s="5">
        <f t="shared" si="1"/>
        <v>0.74827999513198828</v>
      </c>
    </row>
    <row r="65" spans="1:7" x14ac:dyDescent="0.3">
      <c r="A65" s="1">
        <v>43895</v>
      </c>
      <c r="B65">
        <v>124</v>
      </c>
      <c r="F65" t="s">
        <v>6</v>
      </c>
      <c r="G65" s="5">
        <f t="shared" si="1"/>
        <v>0.76113156939933124</v>
      </c>
    </row>
    <row r="66" spans="1:7" x14ac:dyDescent="0.3">
      <c r="A66" s="1">
        <v>43894</v>
      </c>
      <c r="B66">
        <v>189</v>
      </c>
      <c r="F66" t="s">
        <v>6</v>
      </c>
      <c r="G66" s="5">
        <f t="shared" si="1"/>
        <v>0.97922033650225127</v>
      </c>
    </row>
    <row r="67" spans="1:7" x14ac:dyDescent="0.3">
      <c r="G67" t="s">
        <v>6</v>
      </c>
    </row>
    <row r="68" spans="1:7" x14ac:dyDescent="0.3">
      <c r="F68" t="s">
        <v>6</v>
      </c>
    </row>
    <row r="69" spans="1:7" x14ac:dyDescent="0.3">
      <c r="B69" t="s">
        <v>108</v>
      </c>
      <c r="F69" t="s">
        <v>6</v>
      </c>
    </row>
    <row r="70" spans="1:7" x14ac:dyDescent="0.3">
      <c r="B70" t="s">
        <v>6</v>
      </c>
    </row>
    <row r="71" spans="1:7" x14ac:dyDescent="0.3">
      <c r="B71" t="s">
        <v>189</v>
      </c>
      <c r="F71" t="s">
        <v>6</v>
      </c>
    </row>
    <row r="72" spans="1:7" x14ac:dyDescent="0.3">
      <c r="B72" t="s">
        <v>105</v>
      </c>
      <c r="F72" t="s">
        <v>6</v>
      </c>
    </row>
    <row r="73" spans="1:7" x14ac:dyDescent="0.3">
      <c r="B73" t="s">
        <v>106</v>
      </c>
    </row>
    <row r="74" spans="1:7" x14ac:dyDescent="0.3">
      <c r="B74" t="s">
        <v>107</v>
      </c>
      <c r="F74" t="s">
        <v>6</v>
      </c>
    </row>
    <row r="75" spans="1:7" x14ac:dyDescent="0.3">
      <c r="B75" t="s">
        <v>53</v>
      </c>
      <c r="F75" t="s">
        <v>6</v>
      </c>
    </row>
    <row r="76" spans="1:7" x14ac:dyDescent="0.3">
      <c r="B76" t="s">
        <v>9</v>
      </c>
      <c r="E76" t="s">
        <v>6</v>
      </c>
      <c r="G76" t="s">
        <v>6</v>
      </c>
    </row>
    <row r="77" spans="1:7" x14ac:dyDescent="0.3">
      <c r="B77" t="b">
        <v>1</v>
      </c>
      <c r="G77" t="s">
        <v>6</v>
      </c>
    </row>
    <row r="78" spans="1:7" x14ac:dyDescent="0.3">
      <c r="G78" t="s">
        <v>6</v>
      </c>
    </row>
    <row r="79" spans="1:7" x14ac:dyDescent="0.3">
      <c r="B79" t="s">
        <v>110</v>
      </c>
      <c r="G79" t="s">
        <v>6</v>
      </c>
    </row>
    <row r="80" spans="1:7" x14ac:dyDescent="0.3">
      <c r="B80">
        <f>( 60 - 89.25)/48.9473</f>
        <v>-0.59758148049024151</v>
      </c>
      <c r="G80" t="s">
        <v>6</v>
      </c>
    </row>
    <row r="81" spans="2:2" x14ac:dyDescent="0.3">
      <c r="B81">
        <f>_xlfn.NORM.DIST(60,89.25,48.9473,TRUE)</f>
        <v>0.27505961218258923</v>
      </c>
    </row>
    <row r="82" spans="2:2" x14ac:dyDescent="0.3">
      <c r="B82" t="s">
        <v>111</v>
      </c>
    </row>
  </sheetData>
  <mergeCells count="1">
    <mergeCell ref="H12:I12"/>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BA9F9-9F80-4482-83E2-9876CB79BAB1}">
  <dimension ref="B2:H50"/>
  <sheetViews>
    <sheetView workbookViewId="0">
      <selection activeCell="L23" sqref="L23"/>
    </sheetView>
  </sheetViews>
  <sheetFormatPr defaultRowHeight="14.4" x14ac:dyDescent="0.3"/>
  <cols>
    <col min="2" max="2" width="26.33203125" customWidth="1"/>
    <col min="3" max="3" width="25" customWidth="1"/>
    <col min="6" max="6" width="48.6640625" bestFit="1" customWidth="1"/>
    <col min="7" max="7" width="8.6640625" bestFit="1" customWidth="1"/>
  </cols>
  <sheetData>
    <row r="2" spans="2:8" x14ac:dyDescent="0.3">
      <c r="B2" s="73" t="s">
        <v>182</v>
      </c>
      <c r="C2" s="73"/>
    </row>
    <row r="3" spans="2:8" x14ac:dyDescent="0.3">
      <c r="B3" s="73" t="s">
        <v>183</v>
      </c>
      <c r="C3" s="73"/>
    </row>
    <row r="4" spans="2:8" x14ac:dyDescent="0.3">
      <c r="B4" s="33" t="s">
        <v>158</v>
      </c>
      <c r="C4" s="68">
        <v>0.05</v>
      </c>
      <c r="F4" t="s">
        <v>201</v>
      </c>
    </row>
    <row r="5" spans="2:8" x14ac:dyDescent="0.3">
      <c r="B5" s="34" t="s">
        <v>154</v>
      </c>
      <c r="C5" s="68">
        <v>60</v>
      </c>
    </row>
    <row r="6" spans="2:8" x14ac:dyDescent="0.3">
      <c r="B6" s="34" t="s">
        <v>155</v>
      </c>
      <c r="C6" s="68">
        <v>35.316699999999997</v>
      </c>
      <c r="F6" t="s">
        <v>202</v>
      </c>
      <c r="G6">
        <v>-24.683299999999999</v>
      </c>
    </row>
    <row r="7" spans="2:8" x14ac:dyDescent="0.3">
      <c r="B7" s="34" t="s">
        <v>156</v>
      </c>
      <c r="C7" s="68">
        <v>50.768799999999999</v>
      </c>
      <c r="F7" t="s">
        <v>203</v>
      </c>
      <c r="G7">
        <v>6.5541999999999998</v>
      </c>
      <c r="H7">
        <v>-3.766</v>
      </c>
    </row>
    <row r="8" spans="2:8" x14ac:dyDescent="0.3">
      <c r="B8" s="34" t="s">
        <v>194</v>
      </c>
      <c r="C8" s="68">
        <v>60</v>
      </c>
    </row>
    <row r="9" spans="2:8" x14ac:dyDescent="0.3">
      <c r="B9" s="34" t="s">
        <v>208</v>
      </c>
      <c r="C9" s="68">
        <v>-3.766</v>
      </c>
      <c r="F9" t="s">
        <v>190</v>
      </c>
    </row>
    <row r="10" spans="2:8" x14ac:dyDescent="0.3">
      <c r="B10" s="34" t="s">
        <v>157</v>
      </c>
      <c r="C10" s="68" t="s">
        <v>209</v>
      </c>
      <c r="F10" t="s">
        <v>191</v>
      </c>
    </row>
    <row r="11" spans="2:8" x14ac:dyDescent="0.3">
      <c r="B11" s="34" t="s">
        <v>192</v>
      </c>
      <c r="C11" s="68" t="s">
        <v>210</v>
      </c>
    </row>
    <row r="12" spans="2:8" ht="67.2" customHeight="1" x14ac:dyDescent="0.3">
      <c r="B12" s="74" t="s">
        <v>184</v>
      </c>
      <c r="C12" s="74"/>
    </row>
    <row r="27" spans="6:6" x14ac:dyDescent="0.3">
      <c r="F27" s="69" t="s">
        <v>182</v>
      </c>
    </row>
    <row r="28" spans="6:6" x14ac:dyDescent="0.3">
      <c r="F28" s="69" t="s">
        <v>200</v>
      </c>
    </row>
    <row r="29" spans="6:6" x14ac:dyDescent="0.3">
      <c r="F29" s="69" t="s">
        <v>168</v>
      </c>
    </row>
    <row r="30" spans="6:6" x14ac:dyDescent="0.3">
      <c r="F30" s="69" t="s">
        <v>105</v>
      </c>
    </row>
    <row r="31" spans="6:6" x14ac:dyDescent="0.3">
      <c r="F31" s="69" t="s">
        <v>166</v>
      </c>
    </row>
    <row r="32" spans="6:6" x14ac:dyDescent="0.3">
      <c r="F32" s="69" t="s">
        <v>167</v>
      </c>
    </row>
    <row r="33" spans="2:6" x14ac:dyDescent="0.3">
      <c r="F33" s="69" t="s">
        <v>193</v>
      </c>
    </row>
    <row r="34" spans="2:6" x14ac:dyDescent="0.3">
      <c r="F34" s="69" t="s">
        <v>206</v>
      </c>
    </row>
    <row r="35" spans="2:6" x14ac:dyDescent="0.3">
      <c r="F35" s="69" t="s">
        <v>204</v>
      </c>
    </row>
    <row r="36" spans="2:6" x14ac:dyDescent="0.3">
      <c r="F36" s="69" t="s">
        <v>205</v>
      </c>
    </row>
    <row r="37" spans="2:6" ht="57.6" x14ac:dyDescent="0.3">
      <c r="F37" s="70" t="s">
        <v>207</v>
      </c>
    </row>
    <row r="38" spans="2:6" ht="15" thickBot="1" x14ac:dyDescent="0.35"/>
    <row r="39" spans="2:6" ht="15" thickTop="1" x14ac:dyDescent="0.3">
      <c r="C39" s="12" t="s">
        <v>6</v>
      </c>
      <c r="F39" s="65" t="s">
        <v>182</v>
      </c>
    </row>
    <row r="40" spans="2:6" x14ac:dyDescent="0.3">
      <c r="B40" s="4" t="s">
        <v>196</v>
      </c>
      <c r="C40" s="12" t="s">
        <v>6</v>
      </c>
      <c r="F40" s="66" t="s">
        <v>183</v>
      </c>
    </row>
    <row r="41" spans="2:6" x14ac:dyDescent="0.3">
      <c r="B41" s="4" t="s">
        <v>195</v>
      </c>
      <c r="C41" s="4" t="s">
        <v>197</v>
      </c>
      <c r="D41" t="s">
        <v>6</v>
      </c>
      <c r="F41" s="66" t="s">
        <v>168</v>
      </c>
    </row>
    <row r="42" spans="2:6" x14ac:dyDescent="0.3">
      <c r="B42" s="4" t="s">
        <v>6</v>
      </c>
      <c r="C42" s="4" t="s">
        <v>198</v>
      </c>
      <c r="D42">
        <v>2.0699999999999998</v>
      </c>
      <c r="F42" s="66" t="s">
        <v>105</v>
      </c>
    </row>
    <row r="43" spans="2:6" x14ac:dyDescent="0.3">
      <c r="B43" s="4" t="s">
        <v>199</v>
      </c>
      <c r="F43" s="66" t="s">
        <v>166</v>
      </c>
    </row>
    <row r="44" spans="2:6" x14ac:dyDescent="0.3">
      <c r="F44" s="66" t="s">
        <v>167</v>
      </c>
    </row>
    <row r="45" spans="2:6" x14ac:dyDescent="0.3">
      <c r="F45" s="66" t="s">
        <v>193</v>
      </c>
    </row>
    <row r="46" spans="2:6" x14ac:dyDescent="0.3">
      <c r="F46" s="66" t="s">
        <v>206</v>
      </c>
    </row>
    <row r="47" spans="2:6" x14ac:dyDescent="0.3">
      <c r="F47" s="66" t="s">
        <v>204</v>
      </c>
    </row>
    <row r="48" spans="2:6" x14ac:dyDescent="0.3">
      <c r="F48" s="66" t="s">
        <v>205</v>
      </c>
    </row>
    <row r="49" spans="6:6" ht="58.2" thickBot="1" x14ac:dyDescent="0.35">
      <c r="F49" s="71" t="s">
        <v>207</v>
      </c>
    </row>
    <row r="50" spans="6:6" ht="15" thickTop="1" x14ac:dyDescent="0.3"/>
  </sheetData>
  <mergeCells count="3">
    <mergeCell ref="B2:C2"/>
    <mergeCell ref="B3:C3"/>
    <mergeCell ref="B12:C1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F9DA4-ED91-41C4-ACDA-C6F4EB140734}">
  <dimension ref="B2:L62"/>
  <sheetViews>
    <sheetView tabSelected="1" workbookViewId="0">
      <selection activeCell="B36" sqref="B36"/>
    </sheetView>
  </sheetViews>
  <sheetFormatPr defaultRowHeight="14.4" x14ac:dyDescent="0.3"/>
  <cols>
    <col min="2" max="2" width="16.33203125" customWidth="1"/>
    <col min="3" max="3" width="14" bestFit="1" customWidth="1"/>
    <col min="4" max="4" width="12.88671875" bestFit="1" customWidth="1"/>
    <col min="5" max="5" width="16.33203125" bestFit="1" customWidth="1"/>
    <col min="11" max="11" width="9.5546875" bestFit="1" customWidth="1"/>
    <col min="12" max="12" width="14.6640625" style="12" bestFit="1" customWidth="1"/>
  </cols>
  <sheetData>
    <row r="2" spans="2:12" x14ac:dyDescent="0.3">
      <c r="B2" t="s">
        <v>13</v>
      </c>
      <c r="I2" s="77" t="s">
        <v>16</v>
      </c>
      <c r="J2" s="77"/>
      <c r="K2" t="s">
        <v>0</v>
      </c>
      <c r="L2" t="s">
        <v>43</v>
      </c>
    </row>
    <row r="3" spans="2:12" x14ac:dyDescent="0.3">
      <c r="B3" t="s">
        <v>14</v>
      </c>
      <c r="I3" t="s">
        <v>17</v>
      </c>
      <c r="J3" t="s">
        <v>6</v>
      </c>
      <c r="K3" s="1">
        <v>43831</v>
      </c>
      <c r="L3">
        <v>372</v>
      </c>
    </row>
    <row r="4" spans="2:12" ht="15" thickBot="1" x14ac:dyDescent="0.35">
      <c r="I4" t="s">
        <v>18</v>
      </c>
      <c r="J4">
        <f>(2-1) * (3-1)</f>
        <v>2</v>
      </c>
      <c r="K4" s="1">
        <v>43832</v>
      </c>
      <c r="L4">
        <v>405</v>
      </c>
    </row>
    <row r="5" spans="2:12" ht="15" thickTop="1" x14ac:dyDescent="0.3">
      <c r="B5" s="75" t="s">
        <v>10</v>
      </c>
      <c r="C5" s="76"/>
      <c r="D5" s="53"/>
      <c r="E5" s="53"/>
      <c r="F5" s="54"/>
      <c r="K5" s="1">
        <v>43833</v>
      </c>
      <c r="L5">
        <v>582</v>
      </c>
    </row>
    <row r="6" spans="2:12" x14ac:dyDescent="0.3">
      <c r="B6" s="55"/>
      <c r="C6" s="10"/>
      <c r="D6" s="10"/>
      <c r="E6" s="10"/>
      <c r="F6" s="56"/>
      <c r="K6" s="2">
        <v>43834</v>
      </c>
      <c r="L6" s="3">
        <v>621</v>
      </c>
    </row>
    <row r="7" spans="2:12" x14ac:dyDescent="0.3">
      <c r="B7" s="57"/>
      <c r="C7" s="7" t="s">
        <v>211</v>
      </c>
      <c r="D7" s="7" t="s">
        <v>54</v>
      </c>
      <c r="E7" s="7" t="s">
        <v>212</v>
      </c>
      <c r="F7" s="58"/>
      <c r="K7" s="2">
        <v>43835</v>
      </c>
      <c r="L7" s="3">
        <v>322</v>
      </c>
    </row>
    <row r="8" spans="2:12" x14ac:dyDescent="0.3">
      <c r="B8" s="44" t="s">
        <v>11</v>
      </c>
      <c r="C8" s="11">
        <v>27</v>
      </c>
      <c r="D8" s="9">
        <v>2</v>
      </c>
      <c r="E8" s="11">
        <v>14</v>
      </c>
      <c r="F8" s="51">
        <f>SUM(C8:E8)</f>
        <v>43</v>
      </c>
      <c r="K8" s="1">
        <v>43836</v>
      </c>
      <c r="L8">
        <v>418</v>
      </c>
    </row>
    <row r="9" spans="2:12" x14ac:dyDescent="0.3">
      <c r="B9" s="44" t="s">
        <v>12</v>
      </c>
      <c r="C9" s="9">
        <v>4</v>
      </c>
      <c r="D9" s="9">
        <v>0</v>
      </c>
      <c r="E9" s="9">
        <v>13</v>
      </c>
      <c r="F9" s="51">
        <f>SUM(C9:E9)</f>
        <v>17</v>
      </c>
      <c r="K9" s="1">
        <v>43837</v>
      </c>
      <c r="L9">
        <v>456</v>
      </c>
    </row>
    <row r="10" spans="2:12" ht="15" thickBot="1" x14ac:dyDescent="0.35">
      <c r="B10" s="46" t="s">
        <v>180</v>
      </c>
      <c r="C10" s="59">
        <f>SUM(C8:C9)</f>
        <v>31</v>
      </c>
      <c r="D10" s="59">
        <f>SUM(D8:D9)</f>
        <v>2</v>
      </c>
      <c r="E10" s="59">
        <f>SUM(E8:E9)</f>
        <v>27</v>
      </c>
      <c r="F10" s="52">
        <f>SUM(F8:F9)</f>
        <v>60</v>
      </c>
      <c r="K10" s="1">
        <v>43838</v>
      </c>
      <c r="L10">
        <v>438</v>
      </c>
    </row>
    <row r="11" spans="2:12" ht="15.6" thickTop="1" thickBot="1" x14ac:dyDescent="0.35">
      <c r="K11" s="1">
        <v>43839</v>
      </c>
      <c r="L11">
        <v>792</v>
      </c>
    </row>
    <row r="12" spans="2:12" ht="15" thickTop="1" x14ac:dyDescent="0.3">
      <c r="B12" s="75" t="s">
        <v>15</v>
      </c>
      <c r="C12" s="76"/>
      <c r="D12" s="53"/>
      <c r="E12" s="53"/>
      <c r="F12" s="54"/>
      <c r="K12" s="1">
        <v>43840</v>
      </c>
      <c r="L12">
        <v>781</v>
      </c>
    </row>
    <row r="13" spans="2:12" x14ac:dyDescent="0.3">
      <c r="B13" s="55"/>
      <c r="C13" s="10"/>
      <c r="D13" s="10"/>
      <c r="E13" s="10"/>
      <c r="F13" s="56"/>
      <c r="K13" s="2">
        <v>43841</v>
      </c>
      <c r="L13" s="3">
        <v>617</v>
      </c>
    </row>
    <row r="14" spans="2:12" x14ac:dyDescent="0.3">
      <c r="B14" s="57"/>
      <c r="C14" s="7" t="s">
        <v>211</v>
      </c>
      <c r="D14" s="7" t="s">
        <v>54</v>
      </c>
      <c r="E14" s="7" t="s">
        <v>212</v>
      </c>
      <c r="F14" s="58"/>
      <c r="K14" s="2">
        <v>43842</v>
      </c>
      <c r="L14" s="3">
        <v>692</v>
      </c>
    </row>
    <row r="15" spans="2:12" x14ac:dyDescent="0.3">
      <c r="B15" s="44" t="s">
        <v>11</v>
      </c>
      <c r="C15" s="15">
        <f>(F8*C10)/F10</f>
        <v>22.216666666666665</v>
      </c>
      <c r="D15" s="14">
        <f>(F8*D10)/F10</f>
        <v>1.4333333333333333</v>
      </c>
      <c r="E15" s="11">
        <f>(F8*E10)/F10</f>
        <v>19.350000000000001</v>
      </c>
      <c r="F15" s="51"/>
      <c r="K15" s="1">
        <v>43843</v>
      </c>
      <c r="L15">
        <v>479</v>
      </c>
    </row>
    <row r="16" spans="2:12" x14ac:dyDescent="0.3">
      <c r="B16" s="44" t="s">
        <v>12</v>
      </c>
      <c r="C16" s="14">
        <f>(F9*C10)/F10</f>
        <v>8.7833333333333332</v>
      </c>
      <c r="D16" s="14">
        <f>(F9*D10)/F10</f>
        <v>0.56666666666666665</v>
      </c>
      <c r="E16" s="9">
        <f>(F9*E10)/F10</f>
        <v>7.65</v>
      </c>
      <c r="F16" s="51"/>
      <c r="K16" s="1">
        <v>43844</v>
      </c>
      <c r="L16">
        <v>463</v>
      </c>
    </row>
    <row r="17" spans="2:12" ht="15" thickBot="1" x14ac:dyDescent="0.35">
      <c r="B17" s="46" t="s">
        <v>6</v>
      </c>
      <c r="C17" s="59"/>
      <c r="D17" s="59"/>
      <c r="E17" s="59"/>
      <c r="F17" s="52"/>
      <c r="K17" s="1">
        <v>43845</v>
      </c>
      <c r="L17">
        <v>355</v>
      </c>
    </row>
    <row r="18" spans="2:12" ht="15.6" thickTop="1" thickBot="1" x14ac:dyDescent="0.35">
      <c r="K18" s="1">
        <v>43846</v>
      </c>
      <c r="L18">
        <v>273</v>
      </c>
    </row>
    <row r="19" spans="2:12" ht="15" thickTop="1" x14ac:dyDescent="0.3">
      <c r="B19" s="42" t="s">
        <v>19</v>
      </c>
      <c r="C19" s="60" t="s">
        <v>22</v>
      </c>
      <c r="D19" s="60" t="s">
        <v>20</v>
      </c>
      <c r="E19" s="60" t="s">
        <v>21</v>
      </c>
      <c r="F19" s="43"/>
      <c r="K19" s="1">
        <v>43847</v>
      </c>
      <c r="L19">
        <v>324</v>
      </c>
    </row>
    <row r="20" spans="2:12" x14ac:dyDescent="0.3">
      <c r="B20" s="44" t="s">
        <v>213</v>
      </c>
      <c r="C20" s="9">
        <v>27</v>
      </c>
      <c r="D20" s="9">
        <v>22.22</v>
      </c>
      <c r="E20" s="14">
        <f t="shared" ref="E20:E25" si="0">((C20-D20)^2)/D20</f>
        <v>1.0282808280828089</v>
      </c>
      <c r="F20" s="51"/>
      <c r="K20" s="2">
        <v>43848</v>
      </c>
      <c r="L20" s="3">
        <v>512</v>
      </c>
    </row>
    <row r="21" spans="2:12" x14ac:dyDescent="0.3">
      <c r="B21" s="44" t="s">
        <v>214</v>
      </c>
      <c r="C21" s="9">
        <v>2</v>
      </c>
      <c r="D21" s="9">
        <v>1.43</v>
      </c>
      <c r="E21" s="14">
        <f t="shared" si="0"/>
        <v>0.22720279720279726</v>
      </c>
      <c r="F21" s="51"/>
      <c r="K21" s="2">
        <v>43849</v>
      </c>
      <c r="L21" s="3">
        <v>618</v>
      </c>
    </row>
    <row r="22" spans="2:12" x14ac:dyDescent="0.3">
      <c r="B22" s="44" t="s">
        <v>215</v>
      </c>
      <c r="C22" s="9">
        <v>14</v>
      </c>
      <c r="D22" s="9">
        <v>19.350000000000001</v>
      </c>
      <c r="E22" s="14">
        <f t="shared" si="0"/>
        <v>1.4791989664082694</v>
      </c>
      <c r="F22" s="51"/>
      <c r="K22" s="1">
        <v>43850</v>
      </c>
      <c r="L22">
        <v>363</v>
      </c>
    </row>
    <row r="23" spans="2:12" x14ac:dyDescent="0.3">
      <c r="B23" s="44" t="s">
        <v>216</v>
      </c>
      <c r="C23" s="9">
        <v>4</v>
      </c>
      <c r="D23" s="9">
        <v>8.7799999999999994</v>
      </c>
      <c r="E23" s="14">
        <f t="shared" si="0"/>
        <v>2.6023234624145783</v>
      </c>
      <c r="F23" s="51"/>
      <c r="K23" s="1">
        <v>43851</v>
      </c>
      <c r="L23">
        <v>351</v>
      </c>
    </row>
    <row r="24" spans="2:12" x14ac:dyDescent="0.3">
      <c r="B24" s="44" t="s">
        <v>217</v>
      </c>
      <c r="C24" s="9">
        <v>0</v>
      </c>
      <c r="D24" s="9">
        <v>0.56999999999999995</v>
      </c>
      <c r="E24" s="9">
        <f t="shared" si="0"/>
        <v>0.56999999999999995</v>
      </c>
      <c r="F24" s="51"/>
      <c r="K24" s="1">
        <v>43852</v>
      </c>
      <c r="L24">
        <v>338</v>
      </c>
    </row>
    <row r="25" spans="2:12" x14ac:dyDescent="0.3">
      <c r="B25" s="44" t="s">
        <v>218</v>
      </c>
      <c r="C25" s="9">
        <v>13</v>
      </c>
      <c r="D25" s="9">
        <v>7.65</v>
      </c>
      <c r="E25" s="14">
        <f t="shared" si="0"/>
        <v>3.7415032679738554</v>
      </c>
      <c r="F25" s="51"/>
      <c r="K25" s="1">
        <v>43853</v>
      </c>
      <c r="L25">
        <v>286</v>
      </c>
    </row>
    <row r="26" spans="2:12" ht="15" thickBot="1" x14ac:dyDescent="0.35">
      <c r="B26" s="46" t="s">
        <v>23</v>
      </c>
      <c r="C26" s="59">
        <f>SUM(C20:C25)</f>
        <v>60</v>
      </c>
      <c r="D26" s="59"/>
      <c r="E26" s="61">
        <f>SUM(E20:E25)</f>
        <v>9.6485093220823082</v>
      </c>
      <c r="F26" s="52" t="s">
        <v>24</v>
      </c>
      <c r="K26" s="1">
        <v>43854</v>
      </c>
      <c r="L26">
        <v>371</v>
      </c>
    </row>
    <row r="27" spans="2:12" ht="15" thickTop="1" x14ac:dyDescent="0.3">
      <c r="K27" s="2">
        <v>43855</v>
      </c>
      <c r="L27" s="3">
        <v>541</v>
      </c>
    </row>
    <row r="28" spans="2:12" x14ac:dyDescent="0.3">
      <c r="B28" t="s">
        <v>9</v>
      </c>
      <c r="K28" s="2">
        <v>43856</v>
      </c>
      <c r="L28" s="3">
        <v>665</v>
      </c>
    </row>
    <row r="29" spans="2:12" x14ac:dyDescent="0.3">
      <c r="E29">
        <f>_xlfn.CHISQ.TEST(C8:E9,C15:E16)</f>
        <v>8.0416777346878354E-3</v>
      </c>
      <c r="K29" s="1">
        <v>43857</v>
      </c>
      <c r="L29">
        <v>481</v>
      </c>
    </row>
    <row r="30" spans="2:12" x14ac:dyDescent="0.3">
      <c r="B30" t="s">
        <v>25</v>
      </c>
      <c r="C30">
        <f>_xlfn.CHISQ.DIST.RT(9.65,2)</f>
        <v>8.026553870395154E-3</v>
      </c>
      <c r="K30" s="1">
        <v>43858</v>
      </c>
      <c r="L30">
        <v>429</v>
      </c>
    </row>
    <row r="31" spans="2:12" x14ac:dyDescent="0.3">
      <c r="K31" s="1">
        <v>43859</v>
      </c>
      <c r="L31">
        <v>604</v>
      </c>
    </row>
    <row r="32" spans="2:12" x14ac:dyDescent="0.3">
      <c r="B32" t="s">
        <v>26</v>
      </c>
      <c r="C32" t="s">
        <v>219</v>
      </c>
      <c r="K32" s="1">
        <v>43860</v>
      </c>
      <c r="L32">
        <v>563</v>
      </c>
    </row>
    <row r="33" spans="2:12" x14ac:dyDescent="0.3">
      <c r="B33" t="s">
        <v>220</v>
      </c>
      <c r="K33" s="1">
        <v>43861</v>
      </c>
      <c r="L33">
        <v>662</v>
      </c>
    </row>
    <row r="34" spans="2:12" x14ac:dyDescent="0.3">
      <c r="B34" t="s">
        <v>221</v>
      </c>
      <c r="K34" s="2">
        <v>43862</v>
      </c>
      <c r="L34" s="3">
        <v>729</v>
      </c>
    </row>
    <row r="35" spans="2:12" x14ac:dyDescent="0.3">
      <c r="B35" t="s">
        <v>222</v>
      </c>
      <c r="K35" s="2">
        <v>43863</v>
      </c>
      <c r="L35" s="3">
        <v>797</v>
      </c>
    </row>
    <row r="36" spans="2:12" x14ac:dyDescent="0.3">
      <c r="K36" s="1">
        <v>43864</v>
      </c>
      <c r="L36">
        <v>648</v>
      </c>
    </row>
    <row r="37" spans="2:12" x14ac:dyDescent="0.3">
      <c r="K37" s="1">
        <v>43865</v>
      </c>
      <c r="L37">
        <v>658</v>
      </c>
    </row>
    <row r="38" spans="2:12" x14ac:dyDescent="0.3">
      <c r="K38" s="1">
        <v>43866</v>
      </c>
      <c r="L38">
        <v>727</v>
      </c>
    </row>
    <row r="39" spans="2:12" x14ac:dyDescent="0.3">
      <c r="K39" s="1">
        <v>43867</v>
      </c>
      <c r="L39">
        <v>654</v>
      </c>
    </row>
    <row r="40" spans="2:12" x14ac:dyDescent="0.3">
      <c r="K40" s="1">
        <v>43868</v>
      </c>
      <c r="L40">
        <v>475</v>
      </c>
    </row>
    <row r="41" spans="2:12" x14ac:dyDescent="0.3">
      <c r="K41" s="2">
        <v>43869</v>
      </c>
      <c r="L41" s="3">
        <v>849</v>
      </c>
    </row>
    <row r="42" spans="2:12" x14ac:dyDescent="0.3">
      <c r="K42" s="2">
        <v>43870</v>
      </c>
      <c r="L42" s="3">
        <v>611</v>
      </c>
    </row>
    <row r="43" spans="2:12" x14ac:dyDescent="0.3">
      <c r="K43" s="1">
        <v>43871</v>
      </c>
      <c r="L43">
        <v>199</v>
      </c>
    </row>
    <row r="44" spans="2:12" x14ac:dyDescent="0.3">
      <c r="K44" s="1">
        <v>43872</v>
      </c>
      <c r="L44">
        <v>274</v>
      </c>
    </row>
    <row r="45" spans="2:12" x14ac:dyDescent="0.3">
      <c r="K45" s="1">
        <v>43873</v>
      </c>
      <c r="L45">
        <v>356</v>
      </c>
    </row>
    <row r="46" spans="2:12" x14ac:dyDescent="0.3">
      <c r="K46" s="1">
        <v>43874</v>
      </c>
      <c r="L46">
        <v>388</v>
      </c>
    </row>
    <row r="47" spans="2:12" x14ac:dyDescent="0.3">
      <c r="K47" s="1">
        <v>43875</v>
      </c>
      <c r="L47">
        <v>453</v>
      </c>
    </row>
    <row r="48" spans="2:12" x14ac:dyDescent="0.3">
      <c r="K48" s="2">
        <v>43876</v>
      </c>
      <c r="L48" s="3">
        <v>568</v>
      </c>
    </row>
    <row r="49" spans="11:12" x14ac:dyDescent="0.3">
      <c r="K49" s="2">
        <v>43877</v>
      </c>
      <c r="L49" s="3">
        <v>422</v>
      </c>
    </row>
    <row r="50" spans="11:12" x14ac:dyDescent="0.3">
      <c r="K50" s="1">
        <v>43878</v>
      </c>
      <c r="L50">
        <v>363</v>
      </c>
    </row>
    <row r="51" spans="11:12" x14ac:dyDescent="0.3">
      <c r="K51" s="1">
        <v>43879</v>
      </c>
      <c r="L51">
        <v>427</v>
      </c>
    </row>
    <row r="52" spans="11:12" x14ac:dyDescent="0.3">
      <c r="K52" s="1">
        <v>43880</v>
      </c>
      <c r="L52">
        <v>360</v>
      </c>
    </row>
    <row r="53" spans="11:12" x14ac:dyDescent="0.3">
      <c r="K53" s="1">
        <v>43881</v>
      </c>
      <c r="L53">
        <v>268</v>
      </c>
    </row>
    <row r="54" spans="11:12" x14ac:dyDescent="0.3">
      <c r="K54" s="1">
        <v>43882</v>
      </c>
      <c r="L54">
        <v>507</v>
      </c>
    </row>
    <row r="55" spans="11:12" x14ac:dyDescent="0.3">
      <c r="K55" s="2">
        <v>43883</v>
      </c>
      <c r="L55" s="3">
        <v>431</v>
      </c>
    </row>
    <row r="56" spans="11:12" x14ac:dyDescent="0.3">
      <c r="K56" s="2">
        <v>43884</v>
      </c>
      <c r="L56" s="3">
        <v>388</v>
      </c>
    </row>
    <row r="57" spans="11:12" x14ac:dyDescent="0.3">
      <c r="K57" s="1">
        <v>43885</v>
      </c>
      <c r="L57">
        <v>501</v>
      </c>
    </row>
    <row r="58" spans="11:12" x14ac:dyDescent="0.3">
      <c r="K58" s="1">
        <v>43886</v>
      </c>
      <c r="L58">
        <v>395</v>
      </c>
    </row>
    <row r="59" spans="11:12" x14ac:dyDescent="0.3">
      <c r="K59" s="1">
        <v>43887</v>
      </c>
      <c r="L59">
        <v>333</v>
      </c>
    </row>
    <row r="60" spans="11:12" x14ac:dyDescent="0.3">
      <c r="K60" s="1">
        <v>43888</v>
      </c>
      <c r="L60">
        <v>491</v>
      </c>
    </row>
    <row r="61" spans="11:12" x14ac:dyDescent="0.3">
      <c r="K61" s="1">
        <v>43889</v>
      </c>
      <c r="L61">
        <v>571</v>
      </c>
    </row>
    <row r="62" spans="11:12" x14ac:dyDescent="0.3">
      <c r="K62" s="2">
        <v>43890</v>
      </c>
      <c r="L62" s="3">
        <v>613</v>
      </c>
    </row>
  </sheetData>
  <mergeCells count="3">
    <mergeCell ref="B5:C5"/>
    <mergeCell ref="B12:C12"/>
    <mergeCell ref="I2:J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4484F-75A1-406E-B461-FCD3D10E28EF}">
  <dimension ref="B1:L40"/>
  <sheetViews>
    <sheetView workbookViewId="0">
      <selection activeCell="G18" sqref="G18"/>
    </sheetView>
  </sheetViews>
  <sheetFormatPr defaultRowHeight="14.4" x14ac:dyDescent="0.3"/>
  <cols>
    <col min="2" max="2" width="31.88671875" customWidth="1"/>
    <col min="3" max="3" width="19.33203125" bestFit="1" customWidth="1"/>
    <col min="11" max="12" width="20.109375" bestFit="1" customWidth="1"/>
  </cols>
  <sheetData>
    <row r="1" spans="2:12" ht="15" thickBot="1" x14ac:dyDescent="0.35"/>
    <row r="2" spans="2:12" ht="15.6" thickTop="1" thickBot="1" x14ac:dyDescent="0.35">
      <c r="B2" s="42" t="s">
        <v>55</v>
      </c>
      <c r="C2" s="43" t="s">
        <v>56</v>
      </c>
      <c r="K2" s="35" t="s">
        <v>55</v>
      </c>
      <c r="L2" s="36" t="s">
        <v>28</v>
      </c>
    </row>
    <row r="3" spans="2:12" ht="15" thickBot="1" x14ac:dyDescent="0.35">
      <c r="B3" s="44" t="s">
        <v>27</v>
      </c>
      <c r="C3" s="51" t="s">
        <v>9</v>
      </c>
      <c r="D3" t="s">
        <v>6</v>
      </c>
      <c r="E3" s="5">
        <f>SQRT(60)</f>
        <v>7.745966692414834</v>
      </c>
      <c r="K3" s="37" t="s">
        <v>56</v>
      </c>
      <c r="L3" s="38" t="s">
        <v>29</v>
      </c>
    </row>
    <row r="4" spans="2:12" ht="15" thickBot="1" x14ac:dyDescent="0.35">
      <c r="B4" s="82" t="s">
        <v>30</v>
      </c>
      <c r="C4" s="83"/>
      <c r="G4" s="5" t="s">
        <v>6</v>
      </c>
      <c r="K4" s="80" t="s">
        <v>27</v>
      </c>
      <c r="L4" s="81"/>
    </row>
    <row r="5" spans="2:12" ht="46.2" customHeight="1" thickBot="1" x14ac:dyDescent="0.35">
      <c r="B5" s="44" t="s">
        <v>28</v>
      </c>
      <c r="C5" s="51" t="s">
        <v>29</v>
      </c>
      <c r="K5" s="78" t="s">
        <v>159</v>
      </c>
      <c r="L5" s="79"/>
    </row>
    <row r="6" spans="2:12" ht="15" thickTop="1" x14ac:dyDescent="0.3">
      <c r="B6" s="44" t="s">
        <v>114</v>
      </c>
      <c r="C6" s="51" t="s">
        <v>119</v>
      </c>
      <c r="K6" t="s">
        <v>6</v>
      </c>
    </row>
    <row r="7" spans="2:12" x14ac:dyDescent="0.3">
      <c r="B7" s="44" t="s">
        <v>57</v>
      </c>
      <c r="C7" s="51" t="s">
        <v>121</v>
      </c>
      <c r="G7" s="5" t="s">
        <v>6</v>
      </c>
      <c r="K7" s="30" t="s">
        <v>159</v>
      </c>
    </row>
    <row r="8" spans="2:12" x14ac:dyDescent="0.3">
      <c r="B8" s="44" t="s">
        <v>58</v>
      </c>
      <c r="C8" s="51"/>
    </row>
    <row r="9" spans="2:12" x14ac:dyDescent="0.3">
      <c r="B9" s="44" t="s">
        <v>118</v>
      </c>
      <c r="C9" s="51"/>
      <c r="H9" s="5">
        <f>_xlfn.CONFIDENCE.NORM(0.05,50.7688,60)</f>
        <v>12.846042784531521</v>
      </c>
    </row>
    <row r="10" spans="2:12" x14ac:dyDescent="0.3">
      <c r="B10" s="44" t="s">
        <v>120</v>
      </c>
      <c r="C10" s="51"/>
    </row>
    <row r="11" spans="2:12" ht="28.2" customHeight="1" thickBot="1" x14ac:dyDescent="0.35">
      <c r="B11" s="84" t="s">
        <v>159</v>
      </c>
      <c r="C11" s="85"/>
    </row>
    <row r="12" spans="2:12" ht="15" thickTop="1" x14ac:dyDescent="0.3">
      <c r="B12" t="s">
        <v>6</v>
      </c>
    </row>
    <row r="13" spans="2:12" x14ac:dyDescent="0.3">
      <c r="B13" t="s">
        <v>6</v>
      </c>
    </row>
    <row r="14" spans="2:12" x14ac:dyDescent="0.3">
      <c r="B14" t="s">
        <v>6</v>
      </c>
    </row>
    <row r="15" spans="2:12" x14ac:dyDescent="0.3">
      <c r="B15" t="s">
        <v>6</v>
      </c>
    </row>
    <row r="17" spans="2:7" x14ac:dyDescent="0.3">
      <c r="B17" t="s">
        <v>119</v>
      </c>
    </row>
    <row r="18" spans="2:7" x14ac:dyDescent="0.3">
      <c r="B18" t="s">
        <v>121</v>
      </c>
    </row>
    <row r="20" spans="2:7" x14ac:dyDescent="0.3">
      <c r="B20" t="s">
        <v>130</v>
      </c>
    </row>
    <row r="23" spans="2:7" x14ac:dyDescent="0.3">
      <c r="B23" t="s">
        <v>112</v>
      </c>
    </row>
    <row r="24" spans="2:7" x14ac:dyDescent="0.3">
      <c r="B24" t="s">
        <v>115</v>
      </c>
    </row>
    <row r="25" spans="2:7" x14ac:dyDescent="0.3">
      <c r="B25" t="s">
        <v>113</v>
      </c>
    </row>
    <row r="26" spans="2:7" x14ac:dyDescent="0.3">
      <c r="B26" t="s">
        <v>9</v>
      </c>
    </row>
    <row r="27" spans="2:7" x14ac:dyDescent="0.3">
      <c r="B27" t="s">
        <v>30</v>
      </c>
    </row>
    <row r="29" spans="2:7" x14ac:dyDescent="0.3">
      <c r="B29" t="s">
        <v>116</v>
      </c>
      <c r="E29">
        <v>2.2010000000000001</v>
      </c>
    </row>
    <row r="30" spans="2:7" x14ac:dyDescent="0.3">
      <c r="B30" t="s">
        <v>117</v>
      </c>
    </row>
    <row r="32" spans="2:7" x14ac:dyDescent="0.3">
      <c r="B32" t="s">
        <v>122</v>
      </c>
      <c r="G32">
        <f>_xlfn.CONFIDENCE.T(0.05,48.9473,12)</f>
        <v>31.099630696679011</v>
      </c>
    </row>
    <row r="33" spans="2:2" x14ac:dyDescent="0.3">
      <c r="B33" t="s">
        <v>123</v>
      </c>
    </row>
    <row r="34" spans="2:2" x14ac:dyDescent="0.3">
      <c r="B34" t="s">
        <v>124</v>
      </c>
    </row>
    <row r="35" spans="2:2" x14ac:dyDescent="0.3">
      <c r="B35" t="s">
        <v>125</v>
      </c>
    </row>
    <row r="36" spans="2:2" x14ac:dyDescent="0.3">
      <c r="B36" t="s">
        <v>126</v>
      </c>
    </row>
    <row r="38" spans="2:2" x14ac:dyDescent="0.3">
      <c r="B38" t="s">
        <v>128</v>
      </c>
    </row>
    <row r="39" spans="2:2" x14ac:dyDescent="0.3">
      <c r="B39" t="s">
        <v>127</v>
      </c>
    </row>
    <row r="40" spans="2:2" x14ac:dyDescent="0.3">
      <c r="B40" t="s">
        <v>129</v>
      </c>
    </row>
  </sheetData>
  <mergeCells count="4">
    <mergeCell ref="K5:L5"/>
    <mergeCell ref="K4:L4"/>
    <mergeCell ref="B4:C4"/>
    <mergeCell ref="B11:C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BF942-1379-4BBA-8FC9-4872F9CBA3F2}">
  <dimension ref="B1:F13"/>
  <sheetViews>
    <sheetView workbookViewId="0">
      <selection activeCell="H22" sqref="H22"/>
    </sheetView>
  </sheetViews>
  <sheetFormatPr defaultRowHeight="14.4" x14ac:dyDescent="0.3"/>
  <cols>
    <col min="2" max="2" width="22.88671875" bestFit="1" customWidth="1"/>
  </cols>
  <sheetData>
    <row r="1" spans="2:6" ht="15" thickBot="1" x14ac:dyDescent="0.35"/>
    <row r="2" spans="2:6" ht="15" thickTop="1" x14ac:dyDescent="0.3">
      <c r="B2" s="39" t="s">
        <v>31</v>
      </c>
    </row>
    <row r="3" spans="2:6" x14ac:dyDescent="0.3">
      <c r="B3" s="40" t="s">
        <v>59</v>
      </c>
    </row>
    <row r="4" spans="2:6" x14ac:dyDescent="0.3">
      <c r="B4" s="40" t="s">
        <v>181</v>
      </c>
      <c r="C4" t="s">
        <v>6</v>
      </c>
    </row>
    <row r="5" spans="2:6" x14ac:dyDescent="0.3">
      <c r="B5" s="40" t="s">
        <v>32</v>
      </c>
    </row>
    <row r="6" spans="2:6" x14ac:dyDescent="0.3">
      <c r="B6" s="40" t="s">
        <v>60</v>
      </c>
    </row>
    <row r="7" spans="2:6" x14ac:dyDescent="0.3">
      <c r="B7" s="40" t="s">
        <v>61</v>
      </c>
      <c r="E7" s="5" t="s">
        <v>6</v>
      </c>
    </row>
    <row r="8" spans="2:6" x14ac:dyDescent="0.3">
      <c r="B8" s="40" t="s">
        <v>62</v>
      </c>
    </row>
    <row r="9" spans="2:6" ht="15" thickBot="1" x14ac:dyDescent="0.35">
      <c r="B9" s="41" t="s">
        <v>63</v>
      </c>
    </row>
    <row r="10" spans="2:6" ht="15" thickTop="1" x14ac:dyDescent="0.3"/>
    <row r="11" spans="2:6" x14ac:dyDescent="0.3">
      <c r="B11" t="s">
        <v>6</v>
      </c>
    </row>
    <row r="13" spans="2:6" x14ac:dyDescent="0.3">
      <c r="F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Sheet2</vt:lpstr>
      <vt:lpstr>SQL</vt:lpstr>
      <vt:lpstr>data</vt:lpstr>
      <vt:lpstr>mean-stdev</vt:lpstr>
      <vt:lpstr>norm dist</vt:lpstr>
      <vt:lpstr>hyp</vt:lpstr>
      <vt:lpstr>chi square</vt:lpstr>
      <vt:lpstr>confidence interval</vt:lpstr>
      <vt:lpstr>sample size</vt:lpstr>
      <vt:lpstr>mult regression</vt:lpstr>
      <vt:lpstr>correlation</vt:lpstr>
      <vt:lpstr>Control Chart</vt:lpstr>
      <vt:lpstr>data2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Johnson, Kelsey A</dc:creator>
  <cp:lastModifiedBy>Kelsey Johnson</cp:lastModifiedBy>
  <dcterms:created xsi:type="dcterms:W3CDTF">2020-01-23T16:57:42Z</dcterms:created>
  <dcterms:modified xsi:type="dcterms:W3CDTF">2020-03-17T16:32:18Z</dcterms:modified>
</cp:coreProperties>
</file>