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codeName="DieseArbeitsmappe" defaultThemeVersion="124226"/>
  <xr:revisionPtr revIDLastSave="244" documentId="11_C7762B7B6A07D3F23AC21CBB52D160E3C504F07F" xr6:coauthVersionLast="40" xr6:coauthVersionMax="40" xr10:uidLastSave="{8DC3526A-5A14-44A2-B839-F019BDD828FA}"/>
  <bookViews>
    <workbookView xWindow="240" yWindow="105" windowWidth="14805" windowHeight="8010" activeTab="1" xr2:uid="{00000000-000D-0000-FFFF-FFFF00000000}"/>
  </bookViews>
  <sheets>
    <sheet name="LICENSE" sheetId="2" r:id="rId1"/>
    <sheet name="Technologies" sheetId="1" r:id="rId2"/>
    <sheet name="storage" sheetId="4" r:id="rId3"/>
    <sheet name="reservoir" sheetId="10" r:id="rId4"/>
    <sheet name="Sources" sheetId="15" r:id="rId5"/>
    <sheet name="spatial" sheetId="8" r:id="rId6"/>
    <sheet name="Factor Derivation (ks)" sheetId="16" r:id="rId7"/>
  </sheets>
  <definedNames>
    <definedName name="_xlnm._FilterDatabase" localSheetId="4" hidden="1">Sources!$B$2:$J$2</definedName>
    <definedName name="_xlnm._FilterDatabase" localSheetId="2" hidden="1">storage!$A$5:$M$69</definedName>
    <definedName name="_xlnm._FilterDatabase" localSheetId="1" hidden="1">Technologies!$A$5:$U$114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" l="1"/>
  <c r="G6" i="4"/>
  <c r="F6" i="4" l="1"/>
  <c r="F10" i="4"/>
  <c r="E14" i="16" l="1"/>
  <c r="F14" i="16" s="1"/>
  <c r="G14" i="16" s="1"/>
  <c r="H14" i="16" s="1"/>
  <c r="E12" i="16"/>
  <c r="F12" i="16" s="1"/>
  <c r="G12" i="16" s="1"/>
  <c r="H12" i="16" s="1"/>
  <c r="E11" i="16"/>
  <c r="F11" i="16" s="1"/>
  <c r="G11" i="16" s="1"/>
  <c r="H11" i="16" s="1"/>
  <c r="E8" i="16"/>
  <c r="F8" i="16" s="1"/>
  <c r="G8" i="16" s="1"/>
  <c r="H8" i="16" s="1"/>
  <c r="M7" i="16"/>
  <c r="F7" i="16"/>
  <c r="G7" i="16" s="1"/>
  <c r="H7" i="16" s="1"/>
  <c r="E7" i="16"/>
  <c r="F6" i="16"/>
  <c r="G6" i="16" s="1"/>
  <c r="H6" i="16" s="1"/>
  <c r="E6" i="16"/>
  <c r="E5" i="16"/>
  <c r="F5" i="16" s="1"/>
  <c r="G5" i="16" s="1"/>
  <c r="H5" i="16" s="1"/>
  <c r="F4" i="16"/>
  <c r="G4" i="16" s="1"/>
  <c r="H4" i="16" s="1"/>
  <c r="E4" i="16"/>
  <c r="G17" i="1"/>
  <c r="G15" i="1"/>
  <c r="G7" i="1"/>
  <c r="G14" i="1"/>
  <c r="G8" i="1"/>
  <c r="G9" i="1"/>
  <c r="G11" i="1"/>
  <c r="G10" i="1"/>
  <c r="I14" i="1"/>
  <c r="I10" i="1"/>
  <c r="I9" i="1"/>
  <c r="I8" i="1"/>
  <c r="I7" i="1"/>
  <c r="J17" i="1"/>
  <c r="J15" i="1"/>
  <c r="J14" i="1"/>
  <c r="J11" i="1"/>
  <c r="J10" i="1"/>
  <c r="J9" i="1"/>
  <c r="J8" i="1"/>
  <c r="J7" i="1"/>
  <c r="J11" i="16" l="1"/>
  <c r="K11" i="16" s="1"/>
  <c r="L11" i="16" s="1"/>
  <c r="N11" i="16"/>
  <c r="O11" i="16" s="1"/>
  <c r="P11" i="16" s="1"/>
  <c r="J5" i="16"/>
  <c r="K5" i="16" s="1"/>
  <c r="L5" i="16" s="1"/>
  <c r="N5" i="16"/>
  <c r="O5" i="16" s="1"/>
  <c r="P5" i="16" s="1"/>
  <c r="J6" i="16"/>
  <c r="K6" i="16" s="1"/>
  <c r="L6" i="16" s="1"/>
  <c r="N6" i="16"/>
  <c r="O6" i="16" s="1"/>
  <c r="P6" i="16" s="1"/>
  <c r="J12" i="16"/>
  <c r="K12" i="16" s="1"/>
  <c r="L12" i="16" s="1"/>
  <c r="N12" i="16"/>
  <c r="O12" i="16" s="1"/>
  <c r="P12" i="16" s="1"/>
  <c r="N7" i="16"/>
  <c r="O7" i="16" s="1"/>
  <c r="P7" i="16" s="1"/>
  <c r="J7" i="16"/>
  <c r="K7" i="16" s="1"/>
  <c r="L7" i="16" s="1"/>
  <c r="N4" i="16"/>
  <c r="O4" i="16" s="1"/>
  <c r="P4" i="16" s="1"/>
  <c r="J4" i="16"/>
  <c r="K4" i="16" s="1"/>
  <c r="L4" i="16" s="1"/>
  <c r="N14" i="16"/>
  <c r="O14" i="16" s="1"/>
  <c r="P14" i="16" s="1"/>
  <c r="J14" i="16"/>
  <c r="K14" i="16" s="1"/>
  <c r="L14" i="16" s="1"/>
  <c r="N8" i="16"/>
  <c r="O8" i="16" s="1"/>
  <c r="P8" i="16" s="1"/>
  <c r="J8" i="16"/>
  <c r="K8" i="16" s="1"/>
  <c r="L8" i="16" s="1"/>
  <c r="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tc={7D5F782A-BFAD-4A23-9A8B-EFFB75E97AC6}</author>
  </authors>
  <commentList>
    <comment ref="N14" authorId="0" shapeId="0" xr:uid="{7D5F782A-BFAD-4A23-9A8B-EFFB75E97AC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Manjimup 40MW biomass plant planned, insufficient plantation feedstock for any larger plants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tc={1ACDF8AD-9DB3-4582-9062-FE98FC0A1E8B}</author>
    <author>tc={67E37AEB-6E6A-4755-8BED-74A256BBCF92}</author>
    <author>tc={3BF7A549-85C9-4428-B00A-D13E4DB4915A}</author>
    <author>tc={E52569AD-E238-4ADB-99DB-862DE90C6781}</author>
  </authors>
  <commentList>
    <comment ref="F6" authorId="0" shapeId="0" xr:uid="{1ACDF8AD-9DB3-4582-9062-FE98FC0A1E8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Gencost 2018 p. 7 (GHD, 2018)</t>
      </text>
    </comment>
    <comment ref="G6" authorId="1" shapeId="0" xr:uid="{67E37AEB-6E6A-4755-8BED-74A256BBCF92}">
      <text>
        <t>[Threaded comment]
Your version of Excel allows you to read this threaded comment; however, any edits to it will get removed if the file is opened in a newer version of Excel. Learn more: https://go.microsoft.com/fwlink/?linkid=870924
Comment:
    Gencost 2018 p. 7 (GHD, 2018)</t>
      </text>
    </comment>
    <comment ref="F10" authorId="2" shapeId="0" xr:uid="{3BF7A549-85C9-4428-B00A-D13E4DB4915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Gencost 2018 p. 7 (Blakers, 2017)</t>
      </text>
    </comment>
    <comment ref="G10" authorId="3" shapeId="0" xr:uid="{E52569AD-E238-4ADB-99DB-862DE90C678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Gencost 2018 p. 7 (Blakers, 2017)</t>
      </text>
    </comment>
  </commentList>
</comments>
</file>

<file path=xl/sharedStrings.xml><?xml version="1.0" encoding="utf-8"?>
<sst xmlns="http://schemas.openxmlformats.org/spreadsheetml/2006/main" count="419" uniqueCount="259">
  <si>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</si>
  <si>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</si>
  <si>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</si>
  <si>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</si>
  <si>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</si>
  <si>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</si>
  <si>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</si>
  <si>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</si>
  <si>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</si>
  <si>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</si>
  <si>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</si>
  <si>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</si>
  <si>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</si>
  <si>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nuc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</si>
  <si>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</si>
  <si>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</si>
  <si>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</si>
  <si>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</si>
  <si>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</si>
  <si>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</si>
  <si>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</si>
  <si>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</si>
  <si>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</si>
  <si>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</si>
  <si>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</si>
  <si>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</si>
  <si>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</si>
  <si>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</si>
  <si>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</si>
  <si>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</si>
  <si>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</si>
  <si>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</si>
  <si>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</si>
  <si>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</si>
  <si>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</si>
  <si>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</si>
  <si>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</si>
  <si>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</si>
  <si>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</si>
  <si>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>VDE (2012a)</t>
  </si>
  <si>
    <t>curtailment_costs</t>
  </si>
  <si>
    <t>Storage</t>
  </si>
  <si>
    <t>mc</t>
  </si>
  <si>
    <t>Sto2</t>
  </si>
  <si>
    <t>Sto3</t>
  </si>
  <si>
    <t>Sto4</t>
  </si>
  <si>
    <t>Sto6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</si>
  <si>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</si>
  <si>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</si>
  <si>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</si>
  <si>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</si>
  <si>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</si>
  <si>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</si>
  <si>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</si>
  <si>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</si>
  <si>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</si>
  <si>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</si>
  <si>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</si>
  <si>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</si>
  <si>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</si>
  <si>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</si>
  <si>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</si>
  <si>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Frontier (2014)</t>
  </si>
  <si>
    <t>Kasten and Hacker (2014)</t>
  </si>
  <si>
    <t>nondis</t>
  </si>
  <si>
    <t>dis</t>
  </si>
  <si>
    <t>con</t>
  </si>
  <si>
    <t>pv</t>
  </si>
  <si>
    <t>link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</si>
  <si>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</si>
  <si>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</si>
  <si>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</si>
  <si>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</si>
  <si>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</si>
  <si>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</si>
  <si>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</si>
  <si>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</si>
  <si>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</si>
  <si>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</si>
  <si>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</si>
  <si>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</si>
  <si>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Minimum reservoir filling level</t>
  </si>
  <si>
    <t>level_min</t>
  </si>
  <si>
    <t>OCGT</t>
  </si>
  <si>
    <t>oil</t>
  </si>
  <si>
    <t>other</t>
  </si>
  <si>
    <t>l1</t>
  </si>
  <si>
    <t>l2</t>
  </si>
  <si>
    <t>l3</t>
  </si>
  <si>
    <t>fixed_capacities_power</t>
  </si>
  <si>
    <t>fixed_capacities_ntc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</si>
  <si>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</si>
  <si>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</si>
  <si>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</si>
  <si>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</si>
  <si>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</si>
  <si>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</si>
  <si>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</si>
  <si>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</si>
  <si>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</si>
  <si>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</si>
  <si>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</si>
  <si>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</si>
  <si>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</si>
  <si>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</si>
  <si>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</si>
  <si>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</si>
  <si>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</si>
  <si>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</si>
  <si>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</si>
  <si>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</si>
  <si>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</si>
  <si>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</si>
  <si>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</si>
  <si>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</si>
  <si>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</si>
  <si>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</si>
  <si>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</si>
  <si>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</si>
  <si>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</si>
  <si>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</si>
  <si>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 xml:space="preserve">Efficiency 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</si>
  <si>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</si>
  <si>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</si>
  <si>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</si>
  <si>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</si>
  <si>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</si>
  <si>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</si>
  <si>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</si>
  <si>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</si>
  <si>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</si>
  <si>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</si>
  <si>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</si>
  <si>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</si>
  <si>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</si>
  <si>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</si>
  <si>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</si>
  <si>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</si>
  <si>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</si>
  <si>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</si>
  <si>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</si>
  <si>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</si>
  <si>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</si>
  <si>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</si>
  <si>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</si>
  <si>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</si>
  <si>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</si>
  <si>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</si>
  <si>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</si>
  <si>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</si>
  <si>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</si>
  <si>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</si>
  <si>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</si>
  <si>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</si>
  <si>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</si>
  <si>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</si>
  <si>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</si>
  <si>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</si>
  <si>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</si>
  <si>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</si>
  <si>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</si>
  <si>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</si>
  <si>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</si>
  <si>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</si>
  <si>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</si>
  <si>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</si>
  <si>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</si>
  <si>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</si>
  <si>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</si>
  <si>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</si>
  <si>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</si>
  <si>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</si>
  <si>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</si>
  <si>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</si>
  <si>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</si>
  <si>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</si>
  <si>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</si>
  <si>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</si>
  <si>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</si>
  <si>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</si>
  <si>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</si>
  <si>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</si>
  <si>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</si>
  <si>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</si>
  <si>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</si>
  <si>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</si>
  <si>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</si>
  <si>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</si>
  <si>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</si>
  <si>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</si>
  <si>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</si>
  <si>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</si>
  <si>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</si>
  <si>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</si>
  <si>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</si>
  <si>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</si>
  <si>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</si>
  <si>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Potentials for 2020 according to Scholz (2012); includes run-of-river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</si>
  <si>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</si>
  <si>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</si>
  <si>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</si>
  <si>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</si>
  <si>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</si>
  <si>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Old German sources</t>
  </si>
  <si>
    <t>WA</t>
  </si>
  <si>
    <t>N2</t>
  </si>
  <si>
    <t>N3</t>
  </si>
  <si>
    <t>N4</t>
  </si>
  <si>
    <t>Note: currently not used, only one node</t>
  </si>
  <si>
    <t>exogenous_bound</t>
  </si>
  <si>
    <t>exogenous_bound_power</t>
  </si>
  <si>
    <t>exogenous_bound_energy</t>
  </si>
  <si>
    <t>not used</t>
  </si>
  <si>
    <t>Gas turbine, combined cycle "yes"</t>
  </si>
  <si>
    <t>Gas turbine, combined cycle "no" + steam turbines + reciprocating</t>
  </si>
  <si>
    <t>Some remarks</t>
  </si>
  <si>
    <t>first shot: https://en.wikipedia.org/wiki/List_of_power_stations_in_Western_Australia</t>
  </si>
  <si>
    <t>can we neglect hydroelectric?</t>
  </si>
  <si>
    <t>can we neglect biomass? If not, is there an energy cap?</t>
  </si>
  <si>
    <t>AEMO: there seem to be many Diesel / distillate generators?</t>
  </si>
  <si>
    <t>relevant? Distillate?</t>
  </si>
  <si>
    <t>central PV - adjust cost data etc.</t>
  </si>
  <si>
    <t>what are reasonable lower bounds for wind and (central) PV?</t>
  </si>
  <si>
    <t>these are batteries</t>
  </si>
  <si>
    <t>this is pumped hydro</t>
  </si>
  <si>
    <t>this is long-term storage</t>
  </si>
  <si>
    <t>CSIRO (2018)</t>
  </si>
  <si>
    <t>CSIRO (2018), 2018 prices (4 degree)</t>
  </si>
  <si>
    <t>CSIRO (2018), 2020 prices (4 degree)</t>
  </si>
  <si>
    <t>[AUD/MWh]</t>
  </si>
  <si>
    <t>[AUD/MW]</t>
  </si>
  <si>
    <t>[AUD/MWh_th]</t>
  </si>
  <si>
    <t>[AUD/t]</t>
  </si>
  <si>
    <t>Thermal Efficiency</t>
  </si>
  <si>
    <t>Capacity Factor</t>
  </si>
  <si>
    <t>Generator Capacity (MW)</t>
  </si>
  <si>
    <t>Annual Energy (MWh)</t>
  </si>
  <si>
    <t>Fuel Energy (MWh)</t>
  </si>
  <si>
    <t>Fuel Energy (TWh)</t>
  </si>
  <si>
    <t>Fuel Energy (PJ)</t>
  </si>
  <si>
    <t>Emissions Factor (ktCO2e/PJ)</t>
  </si>
  <si>
    <t>Emissions (ktCO2e)</t>
  </si>
  <si>
    <t>Emissions (tCO2e)</t>
  </si>
  <si>
    <t>Carbon Content (t/MWh)</t>
  </si>
  <si>
    <t>Fuel Cost ($/GJ)</t>
  </si>
  <si>
    <t>Fuel Energy (GJ)</t>
  </si>
  <si>
    <t>Fuel Cost ($)</t>
  </si>
  <si>
    <t>Fuel Cost ($/MWh)</t>
  </si>
  <si>
    <t>Data from GenCost 2018, Apx Table B.3: Data assumptions for LCOE calculations for 2020</t>
  </si>
  <si>
    <t>yes</t>
  </si>
  <si>
    <t>not relevant</t>
  </si>
  <si>
    <t>up to 40MW</t>
  </si>
  <si>
    <t>done</t>
  </si>
  <si>
    <t xml:space="preserve">wind, </t>
  </si>
  <si>
    <t xml:space="preserve">pv, </t>
  </si>
  <si>
    <t>many distillate generators, but rarely used (&lt;0.5% contribution), ok to disregard</t>
  </si>
  <si>
    <t>Sto1-lib</t>
  </si>
  <si>
    <t>Sto5-phes</t>
  </si>
  <si>
    <t>Sto7-h2?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</si>
</sst>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&quot;$&quot;* #,##0_-;\-&quot;$&quot;* #,##0_-;_-&quot;$&quot;* &quot;-&quot;??_-;_-@_-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2" fillId="3" borderId="2" xfId="0" applyFont="1" applyFill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165" fontId="6" fillId="0" borderId="0" xfId="2" applyNumberFormat="1" applyFont="1" applyAlignment="1"/>
    <xf numFmtId="165" fontId="6" fillId="0" borderId="0" xfId="2" applyNumberFormat="1" applyFont="1" applyFill="1" applyAlignme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3" fontId="0" fillId="0" borderId="0" xfId="0" applyNumberFormat="1"/>
    <xf numFmtId="166" fontId="0" fillId="0" borderId="0" xfId="3" applyNumberFormat="1" applyFont="1"/>
    <xf numFmtId="0" fontId="8" fillId="0" borderId="0" xfId="0" applyFont="1"/>
    <xf numFmtId="0" fontId="1" fillId="0" borderId="0" xfId="0" applyFont="1" applyAlignment="1"/>
    <xf numFmtId="0" fontId="9" fillId="0" borderId="0" xfId="0" applyFont="1" applyAlignment="1">
      <alignment horizontal="center" textRotation="90"/>
    </xf>
    <xf numFmtId="0" fontId="9" fillId="0" borderId="0" xfId="0" applyFont="1"/>
    <xf numFmtId="44" fontId="9" fillId="0" borderId="0" xfId="3" applyFont="1"/>
    <xf numFmtId="0" fontId="10" fillId="0" borderId="0" xfId="0" applyFont="1" applyAlignment="1">
      <alignment horizontal="center" textRotation="90"/>
    </xf>
    <xf numFmtId="9" fontId="10" fillId="0" borderId="0" xfId="4" applyFont="1" applyAlignment="1">
      <alignment horizontal="center"/>
    </xf>
    <xf numFmtId="0" fontId="10" fillId="0" borderId="0" xfId="0" applyFont="1"/>
    <xf numFmtId="44" fontId="10" fillId="3" borderId="0" xfId="3" applyFont="1" applyFill="1"/>
    <xf numFmtId="44" fontId="10" fillId="0" borderId="0" xfId="3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0" xfId="0" applyFont="1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4" dT="2019-01-30T04:53:43.99" personId="{00000000-0000-0000-0000-000000000000}" id="{7D5F782A-BFAD-4A23-9A8B-EFFB75E97AC6}">
    <text>Manjimup 40MW biomass plant planned, insufficient plantation feedstock for any larger plants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19-02-04T05:00:27.57" personId="{00000000-0000-0000-0000-000000000000}" id="{1ACDF8AD-9DB3-4582-9062-FE98FC0A1E8B}">
    <text>Gencost 2018 p. 7 (GHD, 2018)</text>
  </threadedComment>
  <threadedComment ref="G6" dT="2019-02-04T05:07:49.13" personId="{00000000-0000-0000-0000-000000000000}" id="{67E37AEB-6E6A-4755-8BED-74A256BBCF92}">
    <text>Gencost 2018 p. 7 (GHD, 2018)</text>
  </threadedComment>
  <threadedComment ref="F10" dT="2019-02-04T03:39:49.52" personId="{00000000-0000-0000-0000-000000000000}" id="{3BF7A549-85C9-4428-B00A-D13E4DB4915A}">
    <text>Gencost 2018 p. 7 (Blakers, 2017)</text>
  </threadedComment>
  <threadedComment ref="G10" dT="2019-02-04T05:08:03.34" personId="{00000000-0000-0000-0000-000000000000}" id="{E52569AD-E238-4ADB-99DB-862DE90C6781}">
    <text>Gencost 2018 p. 7 (Blakers, 2017)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2"/>
  <sheetViews>
    <sheetView workbookViewId="0">
      <selection activeCell="A31" sqref="A31"/>
    </sheetView>
  </sheetViews>
  <sheetFormatPr defaultColWidth="10.7109375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X114"/>
  <sheetViews>
    <sheetView tabSelected="1" zoomScaleNormal="100" workbookViewId="0">
      <pane xSplit="3" topLeftCell="Q1" activePane="topRight" state="frozen"/>
      <selection pane="topRight" activeCell="T14" sqref="T14"/>
    </sheetView>
  </sheetViews>
  <sheetFormatPr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37" customWidth="1"/>
    <col min="10" max="11" width="15" style="37" customWidth="1"/>
    <col min="12" max="13" width="15" style="5" customWidth="1"/>
    <col min="14" max="15" width="15.28515625" style="59" customWidth="1"/>
    <col min="16" max="18" width="18.28515625" style="5" customWidth="1"/>
    <col min="19" max="20" width="17.28515625" style="37" customWidth="1"/>
    <col min="21" max="22" width="17.28515625" style="5" customWidth="1"/>
    <col min="23" max="16384" width="9.140625" style="1"/>
  </cols>
  <sheetData>
    <row r="1" spans="1:24" s="8" customFormat="1" ht="55.5" customHeight="1" x14ac:dyDescent="0.25">
      <c r="A1" s="8" t="s">
        <v>25</v>
      </c>
      <c r="D1" s="21"/>
      <c r="E1" s="35" t="s">
        <v>227</v>
      </c>
      <c r="F1" s="35" t="s">
        <v>226</v>
      </c>
      <c r="G1" s="35" t="s">
        <v>227</v>
      </c>
      <c r="H1" s="35" t="s">
        <v>228</v>
      </c>
      <c r="I1" s="35" t="s">
        <v>228</v>
      </c>
      <c r="J1" s="35" t="s">
        <v>228</v>
      </c>
      <c r="K1" s="35" t="s">
        <v>226</v>
      </c>
      <c r="L1" s="8" t="s">
        <v>37</v>
      </c>
      <c r="M1" s="8" t="s">
        <v>38</v>
      </c>
      <c r="N1" s="58" t="s">
        <v>38</v>
      </c>
      <c r="O1" s="58" t="s">
        <v>38</v>
      </c>
      <c r="P1" s="8" t="s">
        <v>38</v>
      </c>
      <c r="Q1" s="8" t="s">
        <v>38</v>
      </c>
      <c r="R1" s="8" t="s">
        <v>39</v>
      </c>
      <c r="S1" s="35" t="s">
        <v>228</v>
      </c>
      <c r="T1" s="35" t="s">
        <v>228</v>
      </c>
      <c r="U1" s="8" t="s">
        <v>38</v>
      </c>
      <c r="V1" s="8" t="s">
        <v>38</v>
      </c>
      <c r="X1" s="32" t="s">
        <v>216</v>
      </c>
    </row>
    <row r="2" spans="1:24" s="8" customFormat="1" ht="55.5" customHeight="1" x14ac:dyDescent="0.25">
      <c r="A2" s="8" t="s">
        <v>26</v>
      </c>
      <c r="B2" s="8" t="s">
        <v>114</v>
      </c>
      <c r="C2" s="8" t="s">
        <v>115</v>
      </c>
      <c r="D2" s="21" t="s">
        <v>116</v>
      </c>
      <c r="E2" s="36" t="s">
        <v>93</v>
      </c>
      <c r="F2" s="36" t="s">
        <v>92</v>
      </c>
      <c r="G2" s="35" t="s">
        <v>31</v>
      </c>
      <c r="H2" s="35" t="s">
        <v>5</v>
      </c>
      <c r="I2" s="35" t="s">
        <v>29</v>
      </c>
      <c r="J2" s="35" t="s">
        <v>30</v>
      </c>
      <c r="K2" s="35" t="s">
        <v>34</v>
      </c>
      <c r="L2" s="8" t="s">
        <v>94</v>
      </c>
      <c r="M2" s="8" t="s">
        <v>95</v>
      </c>
      <c r="N2" s="58" t="s">
        <v>96</v>
      </c>
      <c r="O2" s="58" t="s">
        <v>97</v>
      </c>
      <c r="P2" s="8" t="s">
        <v>98</v>
      </c>
      <c r="Q2" s="8" t="s">
        <v>99</v>
      </c>
      <c r="R2" s="8" t="s">
        <v>100</v>
      </c>
      <c r="S2" s="35" t="s">
        <v>101</v>
      </c>
      <c r="T2" s="35" t="s">
        <v>102</v>
      </c>
      <c r="U2" s="8" t="s">
        <v>103</v>
      </c>
      <c r="V2" s="8" t="s">
        <v>91</v>
      </c>
      <c r="X2" s="32" t="s">
        <v>215</v>
      </c>
    </row>
    <row r="3" spans="1:24" x14ac:dyDescent="0.2">
      <c r="X3" s="33"/>
    </row>
    <row r="4" spans="1:24" x14ac:dyDescent="0.2">
      <c r="A4" s="1" t="s">
        <v>27</v>
      </c>
      <c r="E4" s="37" t="s">
        <v>108</v>
      </c>
      <c r="F4" s="37" t="s">
        <v>107</v>
      </c>
      <c r="G4" s="37" t="s">
        <v>230</v>
      </c>
      <c r="H4" s="37" t="s">
        <v>229</v>
      </c>
      <c r="I4" s="37" t="s">
        <v>229</v>
      </c>
      <c r="J4" s="37" t="s">
        <v>230</v>
      </c>
      <c r="K4" s="37" t="s">
        <v>110</v>
      </c>
      <c r="L4" s="5" t="s">
        <v>110</v>
      </c>
      <c r="M4" s="5" t="s">
        <v>1</v>
      </c>
      <c r="N4" s="59" t="s">
        <v>111</v>
      </c>
      <c r="O4" s="59" t="s">
        <v>112</v>
      </c>
      <c r="P4" s="5" t="s">
        <v>230</v>
      </c>
      <c r="Q4" s="5" t="s">
        <v>230</v>
      </c>
      <c r="R4" s="5" t="s">
        <v>113</v>
      </c>
      <c r="S4" s="37" t="s">
        <v>231</v>
      </c>
      <c r="T4" s="37" t="s">
        <v>232</v>
      </c>
      <c r="U4" s="5" t="s">
        <v>229</v>
      </c>
      <c r="V4" s="5" t="s">
        <v>111</v>
      </c>
      <c r="X4" s="33"/>
    </row>
    <row r="5" spans="1:24" s="3" customFormat="1" x14ac:dyDescent="0.2">
      <c r="A5" s="3" t="s">
        <v>47</v>
      </c>
      <c r="B5" s="3" t="s">
        <v>20</v>
      </c>
      <c r="C5" s="3" t="s">
        <v>2</v>
      </c>
      <c r="D5" s="4" t="s">
        <v>3</v>
      </c>
      <c r="E5" s="38" t="s">
        <v>4</v>
      </c>
      <c r="F5" s="38" t="s">
        <v>21</v>
      </c>
      <c r="G5" s="38" t="s">
        <v>22</v>
      </c>
      <c r="H5" s="38" t="s">
        <v>23</v>
      </c>
      <c r="I5" s="38" t="s">
        <v>28</v>
      </c>
      <c r="J5" s="38" t="s">
        <v>32</v>
      </c>
      <c r="K5" s="38" t="s">
        <v>33</v>
      </c>
      <c r="L5" s="6" t="s">
        <v>35</v>
      </c>
      <c r="M5" s="6" t="s">
        <v>36</v>
      </c>
      <c r="N5" s="60" t="s">
        <v>6</v>
      </c>
      <c r="O5" s="60" t="s">
        <v>7</v>
      </c>
      <c r="P5" s="6" t="s">
        <v>8</v>
      </c>
      <c r="Q5" s="6" t="s">
        <v>9</v>
      </c>
      <c r="R5" s="6" t="s">
        <v>61</v>
      </c>
      <c r="S5" s="38" t="s">
        <v>10</v>
      </c>
      <c r="T5" s="38" t="s">
        <v>78</v>
      </c>
      <c r="U5" s="6" t="s">
        <v>40</v>
      </c>
      <c r="V5" s="6" t="s">
        <v>209</v>
      </c>
      <c r="X5" s="34"/>
    </row>
    <row r="6" spans="1:24" x14ac:dyDescent="0.2">
      <c r="A6" s="1" t="s">
        <v>204</v>
      </c>
      <c r="B6" s="1" t="s">
        <v>11</v>
      </c>
      <c r="C6" s="1" t="s">
        <v>12</v>
      </c>
      <c r="D6" s="2" t="s">
        <v>64</v>
      </c>
      <c r="E6" s="39"/>
      <c r="F6" s="37">
        <v>0</v>
      </c>
      <c r="N6" s="59">
        <v>0</v>
      </c>
      <c r="O6" s="59">
        <v>0</v>
      </c>
      <c r="Q6" s="5">
        <v>0</v>
      </c>
      <c r="R6" s="5">
        <v>0</v>
      </c>
      <c r="S6" s="37">
        <v>0</v>
      </c>
      <c r="T6" s="37">
        <v>0</v>
      </c>
      <c r="U6" s="5">
        <v>0</v>
      </c>
      <c r="V6" s="5">
        <v>0</v>
      </c>
      <c r="W6" s="1" t="s">
        <v>249</v>
      </c>
      <c r="X6" s="33" t="s">
        <v>217</v>
      </c>
    </row>
    <row r="7" spans="1:24" x14ac:dyDescent="0.2">
      <c r="A7" s="1" t="s">
        <v>204</v>
      </c>
      <c r="B7" s="1" t="s">
        <v>13</v>
      </c>
      <c r="C7" s="1" t="s">
        <v>66</v>
      </c>
      <c r="D7" s="2" t="s">
        <v>65</v>
      </c>
      <c r="E7" s="39">
        <v>0.45</v>
      </c>
      <c r="F7" s="37">
        <v>0</v>
      </c>
      <c r="G7" s="37">
        <f>200*1000</f>
        <v>200000</v>
      </c>
      <c r="H7" s="37">
        <v>0</v>
      </c>
      <c r="I7" s="37">
        <f>20</f>
        <v>20</v>
      </c>
      <c r="J7" s="42">
        <f>16000*1000</f>
        <v>16000000</v>
      </c>
      <c r="K7" s="37">
        <v>60</v>
      </c>
      <c r="M7" s="5">
        <v>0.04</v>
      </c>
      <c r="N7" s="59">
        <v>1000000</v>
      </c>
      <c r="O7" s="59">
        <v>0</v>
      </c>
      <c r="P7" s="5">
        <v>50</v>
      </c>
      <c r="Q7" s="5">
        <v>50</v>
      </c>
      <c r="R7" s="5">
        <v>0.04</v>
      </c>
      <c r="S7" s="37">
        <v>0</v>
      </c>
      <c r="T7" s="40">
        <v>0</v>
      </c>
      <c r="U7" s="5">
        <v>0</v>
      </c>
      <c r="V7" s="5">
        <v>0</v>
      </c>
      <c r="X7" s="33"/>
    </row>
    <row r="8" spans="1:24" x14ac:dyDescent="0.2">
      <c r="A8" s="1" t="s">
        <v>204</v>
      </c>
      <c r="B8" s="1" t="s">
        <v>14</v>
      </c>
      <c r="C8" s="1" t="s">
        <v>66</v>
      </c>
      <c r="D8" s="2" t="s">
        <v>65</v>
      </c>
      <c r="E8" s="39">
        <v>0.32</v>
      </c>
      <c r="F8" s="37">
        <v>0.95625000000000004</v>
      </c>
      <c r="G8" s="37">
        <f>69*1000</f>
        <v>69000</v>
      </c>
      <c r="H8" s="37">
        <v>0</v>
      </c>
      <c r="I8" s="37">
        <f>5.3</f>
        <v>5.3</v>
      </c>
      <c r="J8" s="42">
        <f>5011*1000</f>
        <v>5011000</v>
      </c>
      <c r="K8" s="37">
        <v>25</v>
      </c>
      <c r="M8" s="5">
        <v>0.04</v>
      </c>
      <c r="N8" s="59">
        <v>0</v>
      </c>
      <c r="O8" s="59">
        <v>0</v>
      </c>
      <c r="P8" s="5">
        <v>30</v>
      </c>
      <c r="Q8" s="5">
        <v>30</v>
      </c>
      <c r="R8" s="5">
        <v>0.04</v>
      </c>
      <c r="S8" s="40">
        <v>6.75</v>
      </c>
      <c r="T8" s="40">
        <v>16.899999999999999</v>
      </c>
      <c r="U8" s="5">
        <v>0</v>
      </c>
      <c r="V8" s="5">
        <v>0</v>
      </c>
      <c r="X8" s="33"/>
    </row>
    <row r="9" spans="1:24" x14ac:dyDescent="0.2">
      <c r="A9" s="1" t="s">
        <v>204</v>
      </c>
      <c r="B9" s="1" t="s">
        <v>15</v>
      </c>
      <c r="C9" s="1" t="s">
        <v>66</v>
      </c>
      <c r="D9" s="2" t="s">
        <v>65</v>
      </c>
      <c r="E9" s="39">
        <v>0.4</v>
      </c>
      <c r="F9" s="37">
        <v>0.79199999999999993</v>
      </c>
      <c r="G9" s="37">
        <f>53.2*1000</f>
        <v>53200</v>
      </c>
      <c r="H9" s="37">
        <v>0</v>
      </c>
      <c r="I9" s="37">
        <f>4.2</f>
        <v>4.2</v>
      </c>
      <c r="J9" s="42">
        <f>3247*1000</f>
        <v>3247000</v>
      </c>
      <c r="K9" s="37">
        <v>25</v>
      </c>
      <c r="M9" s="5">
        <v>0.04</v>
      </c>
      <c r="N9" s="59">
        <v>1000000</v>
      </c>
      <c r="O9" s="59">
        <v>8760000000</v>
      </c>
      <c r="P9" s="5">
        <v>30</v>
      </c>
      <c r="Q9" s="5">
        <v>30</v>
      </c>
      <c r="R9" s="5">
        <v>0.06</v>
      </c>
      <c r="S9" s="40">
        <v>25.2</v>
      </c>
      <c r="T9" s="40">
        <v>16.899999999999999</v>
      </c>
      <c r="U9" s="5">
        <v>0</v>
      </c>
      <c r="V9" s="5">
        <v>2317</v>
      </c>
      <c r="X9" s="33"/>
    </row>
    <row r="10" spans="1:24" x14ac:dyDescent="0.2">
      <c r="A10" s="1" t="s">
        <v>204</v>
      </c>
      <c r="B10" s="1" t="s">
        <v>16</v>
      </c>
      <c r="C10" s="1" t="s">
        <v>66</v>
      </c>
      <c r="D10" s="2" t="s">
        <v>65</v>
      </c>
      <c r="E10" s="39">
        <v>0.48</v>
      </c>
      <c r="F10" s="37">
        <v>0.39075000000000004</v>
      </c>
      <c r="G10" s="37">
        <f>10.5*1000</f>
        <v>10500</v>
      </c>
      <c r="H10" s="37">
        <v>0</v>
      </c>
      <c r="I10" s="37">
        <f>7.4</f>
        <v>7.4</v>
      </c>
      <c r="J10" s="42">
        <f>1274*1000</f>
        <v>1274000</v>
      </c>
      <c r="K10" s="37">
        <v>25</v>
      </c>
      <c r="M10" s="5">
        <v>0.04</v>
      </c>
      <c r="N10" s="59">
        <v>1000000</v>
      </c>
      <c r="O10" s="59">
        <v>8760000000</v>
      </c>
      <c r="P10" s="5">
        <v>20</v>
      </c>
      <c r="Q10" s="5">
        <v>20</v>
      </c>
      <c r="R10" s="5">
        <v>0.08</v>
      </c>
      <c r="S10" s="40">
        <v>43.5</v>
      </c>
      <c r="T10" s="40">
        <v>16.899999999999999</v>
      </c>
      <c r="U10" s="5">
        <v>0</v>
      </c>
      <c r="V10" s="5">
        <v>1326</v>
      </c>
      <c r="W10" s="1" t="s">
        <v>249</v>
      </c>
      <c r="X10" s="33" t="s">
        <v>213</v>
      </c>
    </row>
    <row r="11" spans="1:24" x14ac:dyDescent="0.2">
      <c r="A11" s="1" t="s">
        <v>204</v>
      </c>
      <c r="B11" s="1" t="s">
        <v>83</v>
      </c>
      <c r="C11" s="1" t="s">
        <v>66</v>
      </c>
      <c r="D11" s="2" t="s">
        <v>65</v>
      </c>
      <c r="E11" s="39">
        <v>0.31</v>
      </c>
      <c r="F11" s="37">
        <v>0.61664516129032254</v>
      </c>
      <c r="G11" s="37">
        <f>4.2*1000</f>
        <v>4200</v>
      </c>
      <c r="H11" s="37">
        <v>0</v>
      </c>
      <c r="I11" s="37">
        <v>10.5</v>
      </c>
      <c r="J11" s="42">
        <f>891*1000</f>
        <v>891000</v>
      </c>
      <c r="K11" s="37">
        <v>25</v>
      </c>
      <c r="M11" s="5">
        <v>0.04</v>
      </c>
      <c r="N11" s="59">
        <v>1000000</v>
      </c>
      <c r="O11" s="59">
        <v>8760000000</v>
      </c>
      <c r="P11" s="5">
        <v>15</v>
      </c>
      <c r="Q11" s="5">
        <v>15</v>
      </c>
      <c r="R11" s="5">
        <v>0.15</v>
      </c>
      <c r="S11" s="40">
        <v>67.354838709677409</v>
      </c>
      <c r="T11" s="40">
        <v>16.899999999999999</v>
      </c>
      <c r="U11" s="5">
        <v>0</v>
      </c>
      <c r="V11" s="5">
        <f>2656+409+103</f>
        <v>3168</v>
      </c>
      <c r="W11" s="1" t="s">
        <v>249</v>
      </c>
      <c r="X11" s="33" t="s">
        <v>214</v>
      </c>
    </row>
    <row r="12" spans="1:24" x14ac:dyDescent="0.2">
      <c r="A12" s="1" t="s">
        <v>204</v>
      </c>
      <c r="B12" s="61" t="s">
        <v>84</v>
      </c>
      <c r="C12" s="1" t="s">
        <v>66</v>
      </c>
      <c r="D12" s="2" t="s">
        <v>65</v>
      </c>
      <c r="E12" s="39"/>
      <c r="J12" s="42"/>
      <c r="K12" s="37">
        <v>25</v>
      </c>
      <c r="M12" s="5">
        <v>0.04</v>
      </c>
      <c r="N12" s="59">
        <v>0</v>
      </c>
      <c r="O12" s="59">
        <v>0</v>
      </c>
      <c r="P12" s="5">
        <v>15</v>
      </c>
      <c r="Q12" s="5">
        <v>15</v>
      </c>
      <c r="R12" s="5">
        <v>0.15</v>
      </c>
      <c r="S12" s="40"/>
      <c r="T12" s="40">
        <v>16.899999999999999</v>
      </c>
      <c r="U12" s="5">
        <v>0</v>
      </c>
      <c r="V12" s="5">
        <v>0</v>
      </c>
      <c r="W12" s="1" t="s">
        <v>255</v>
      </c>
      <c r="X12" s="33" t="s">
        <v>219</v>
      </c>
    </row>
    <row r="13" spans="1:24" x14ac:dyDescent="0.2">
      <c r="A13" s="1" t="s">
        <v>204</v>
      </c>
      <c r="B13" s="61" t="s">
        <v>85</v>
      </c>
      <c r="C13" s="1" t="s">
        <v>66</v>
      </c>
      <c r="D13" s="2" t="s">
        <v>65</v>
      </c>
      <c r="E13" s="39"/>
      <c r="J13" s="42"/>
      <c r="K13" s="37">
        <v>25</v>
      </c>
      <c r="M13" s="5">
        <v>0.04</v>
      </c>
      <c r="N13" s="59">
        <v>0</v>
      </c>
      <c r="O13" s="59">
        <v>0</v>
      </c>
      <c r="P13" s="5">
        <v>30</v>
      </c>
      <c r="Q13" s="5">
        <v>30</v>
      </c>
      <c r="R13" s="5">
        <v>0.04</v>
      </c>
      <c r="S13" s="40"/>
      <c r="T13" s="40">
        <v>16.899999999999999</v>
      </c>
      <c r="U13" s="5">
        <v>0</v>
      </c>
      <c r="V13" s="5">
        <v>0</v>
      </c>
      <c r="W13" s="1" t="s">
        <v>250</v>
      </c>
      <c r="X13" s="33" t="s">
        <v>220</v>
      </c>
    </row>
    <row r="14" spans="1:24" x14ac:dyDescent="0.2">
      <c r="A14" s="1" t="s">
        <v>204</v>
      </c>
      <c r="B14" s="1" t="s">
        <v>17</v>
      </c>
      <c r="C14" s="1" t="s">
        <v>12</v>
      </c>
      <c r="D14" s="2" t="s">
        <v>65</v>
      </c>
      <c r="E14" s="39">
        <v>0.23</v>
      </c>
      <c r="F14" s="37">
        <v>0</v>
      </c>
      <c r="G14" s="37">
        <f>131.6*1000</f>
        <v>131600</v>
      </c>
      <c r="H14" s="37">
        <v>0</v>
      </c>
      <c r="I14" s="37">
        <f>8.4</f>
        <v>8.4</v>
      </c>
      <c r="J14" s="42">
        <f>12523*1000</f>
        <v>12523000</v>
      </c>
      <c r="K14" s="37">
        <v>25</v>
      </c>
      <c r="M14" s="5">
        <v>0.04</v>
      </c>
      <c r="N14" s="59">
        <v>40</v>
      </c>
      <c r="O14" s="59">
        <v>8760000000</v>
      </c>
      <c r="P14" s="5">
        <v>25</v>
      </c>
      <c r="Q14" s="5">
        <v>25</v>
      </c>
      <c r="R14" s="5">
        <v>0.15</v>
      </c>
      <c r="S14" s="37">
        <v>7.8260869565217392</v>
      </c>
      <c r="T14" s="40">
        <v>0</v>
      </c>
      <c r="U14" s="5">
        <v>0</v>
      </c>
      <c r="V14" s="5">
        <v>0</v>
      </c>
      <c r="W14" s="1" t="s">
        <v>251</v>
      </c>
      <c r="X14" s="33" t="s">
        <v>218</v>
      </c>
    </row>
    <row r="15" spans="1:24" x14ac:dyDescent="0.2">
      <c r="A15" s="1" t="s">
        <v>204</v>
      </c>
      <c r="B15" s="1" t="s">
        <v>18</v>
      </c>
      <c r="C15" s="1" t="s">
        <v>12</v>
      </c>
      <c r="D15" s="2" t="s">
        <v>64</v>
      </c>
      <c r="E15" s="39">
        <v>1</v>
      </c>
      <c r="F15" s="37">
        <v>0</v>
      </c>
      <c r="G15" s="40">
        <f>36*1000</f>
        <v>36000</v>
      </c>
      <c r="H15" s="37">
        <v>0</v>
      </c>
      <c r="I15" s="37">
        <v>2.7</v>
      </c>
      <c r="J15" s="43">
        <f>1982*1000</f>
        <v>1982000</v>
      </c>
      <c r="K15" s="40">
        <v>25</v>
      </c>
      <c r="L15" s="12"/>
      <c r="M15" s="5">
        <v>0.04</v>
      </c>
      <c r="N15" s="59">
        <v>1000000</v>
      </c>
      <c r="O15" s="59">
        <v>8760000000</v>
      </c>
      <c r="P15" s="5">
        <v>0</v>
      </c>
      <c r="Q15" s="5">
        <v>0</v>
      </c>
      <c r="S15" s="37">
        <v>0</v>
      </c>
      <c r="T15" s="40">
        <v>0</v>
      </c>
      <c r="U15" s="5">
        <v>0</v>
      </c>
      <c r="V15" s="30">
        <v>0</v>
      </c>
      <c r="X15" s="33"/>
    </row>
    <row r="16" spans="1:24" x14ac:dyDescent="0.2">
      <c r="A16" s="1" t="s">
        <v>204</v>
      </c>
      <c r="B16" s="1" t="s">
        <v>19</v>
      </c>
      <c r="C16" s="1" t="s">
        <v>12</v>
      </c>
      <c r="D16" s="2" t="s">
        <v>64</v>
      </c>
      <c r="E16" s="39"/>
      <c r="G16" s="40"/>
      <c r="J16" s="43"/>
      <c r="K16" s="40">
        <v>25</v>
      </c>
      <c r="L16" s="12"/>
      <c r="M16" s="5">
        <v>0.04</v>
      </c>
      <c r="N16" s="59">
        <v>0</v>
      </c>
      <c r="O16" s="59">
        <v>8760000000</v>
      </c>
      <c r="P16" s="5">
        <v>0</v>
      </c>
      <c r="Q16" s="5">
        <v>0</v>
      </c>
      <c r="T16" s="40">
        <v>0</v>
      </c>
      <c r="U16" s="5">
        <v>0</v>
      </c>
      <c r="V16" s="30">
        <v>0</v>
      </c>
      <c r="X16" s="33"/>
    </row>
    <row r="17" spans="1:24" x14ac:dyDescent="0.2">
      <c r="A17" s="1" t="s">
        <v>204</v>
      </c>
      <c r="B17" s="1" t="s">
        <v>67</v>
      </c>
      <c r="C17" s="1" t="s">
        <v>12</v>
      </c>
      <c r="D17" s="2" t="s">
        <v>64</v>
      </c>
      <c r="E17" s="39">
        <v>1</v>
      </c>
      <c r="F17" s="37">
        <v>0</v>
      </c>
      <c r="G17" s="40">
        <f>14.4*1000</f>
        <v>14400</v>
      </c>
      <c r="H17" s="37">
        <v>0</v>
      </c>
      <c r="I17" s="37">
        <v>0</v>
      </c>
      <c r="J17" s="43">
        <f>1349*1000</f>
        <v>1349000</v>
      </c>
      <c r="K17" s="40">
        <v>25</v>
      </c>
      <c r="L17" s="12"/>
      <c r="M17" s="5">
        <v>0.04</v>
      </c>
      <c r="N17" s="59">
        <v>1000000</v>
      </c>
      <c r="O17" s="59">
        <v>8760000000</v>
      </c>
      <c r="P17" s="5">
        <v>0</v>
      </c>
      <c r="Q17" s="5">
        <v>0</v>
      </c>
      <c r="S17" s="37">
        <v>0</v>
      </c>
      <c r="T17" s="40">
        <v>0</v>
      </c>
      <c r="U17" s="5">
        <v>0</v>
      </c>
      <c r="V17" s="30">
        <v>0</v>
      </c>
      <c r="W17" s="1" t="s">
        <v>252</v>
      </c>
      <c r="X17" s="33" t="s">
        <v>221</v>
      </c>
    </row>
    <row r="18" spans="1:24" x14ac:dyDescent="0.2">
      <c r="E18" s="39"/>
      <c r="J18" s="42"/>
    </row>
    <row r="19" spans="1:24" x14ac:dyDescent="0.2">
      <c r="E19" s="39"/>
      <c r="J19" s="42"/>
      <c r="W19" s="1" t="s">
        <v>253</v>
      </c>
      <c r="X19" s="49" t="s">
        <v>222</v>
      </c>
    </row>
    <row r="20" spans="1:24" x14ac:dyDescent="0.2">
      <c r="E20" s="39"/>
      <c r="J20" s="42"/>
      <c r="W20" s="1" t="s">
        <v>254</v>
      </c>
    </row>
    <row r="21" spans="1:24" x14ac:dyDescent="0.2">
      <c r="E21" s="39"/>
      <c r="J21" s="42"/>
    </row>
    <row r="22" spans="1:24" x14ac:dyDescent="0.2">
      <c r="E22" s="39"/>
      <c r="J22" s="42"/>
    </row>
    <row r="23" spans="1:24" x14ac:dyDescent="0.2">
      <c r="E23" s="39"/>
      <c r="I23" s="41"/>
      <c r="J23" s="42"/>
    </row>
    <row r="24" spans="1:24" x14ac:dyDescent="0.2">
      <c r="E24" s="39"/>
      <c r="I24" s="41"/>
      <c r="J24" s="42"/>
      <c r="K24" s="42"/>
    </row>
    <row r="25" spans="1:24" x14ac:dyDescent="0.2">
      <c r="E25" s="39"/>
      <c r="I25" s="41"/>
      <c r="J25" s="42"/>
      <c r="K25" s="42"/>
    </row>
    <row r="26" spans="1:24" x14ac:dyDescent="0.2">
      <c r="E26" s="39"/>
      <c r="I26" s="41"/>
      <c r="J26" s="42"/>
      <c r="K26" s="42"/>
    </row>
    <row r="27" spans="1:24" x14ac:dyDescent="0.2">
      <c r="E27" s="39"/>
      <c r="I27" s="41"/>
      <c r="J27" s="42"/>
      <c r="K27" s="42"/>
    </row>
    <row r="28" spans="1:24" x14ac:dyDescent="0.2">
      <c r="E28" s="39"/>
      <c r="I28" s="41"/>
      <c r="J28" s="42"/>
      <c r="K28" s="42"/>
    </row>
    <row r="29" spans="1:24" x14ac:dyDescent="0.2">
      <c r="E29" s="39"/>
      <c r="I29" s="41"/>
      <c r="J29" s="42"/>
      <c r="K29" s="42"/>
    </row>
    <row r="30" spans="1:24" x14ac:dyDescent="0.2">
      <c r="E30" s="39"/>
      <c r="I30" s="41"/>
      <c r="J30" s="42"/>
      <c r="K30" s="42"/>
    </row>
    <row r="31" spans="1:24" x14ac:dyDescent="0.2">
      <c r="E31" s="39"/>
      <c r="I31" s="41"/>
      <c r="J31" s="42"/>
      <c r="K31" s="42"/>
    </row>
    <row r="32" spans="1:24" x14ac:dyDescent="0.2">
      <c r="E32" s="39"/>
      <c r="I32" s="41"/>
      <c r="J32" s="43"/>
      <c r="K32" s="43"/>
    </row>
    <row r="33" spans="5:11" x14ac:dyDescent="0.2">
      <c r="E33" s="39"/>
      <c r="I33" s="41"/>
      <c r="J33" s="43"/>
      <c r="K33" s="43"/>
    </row>
    <row r="34" spans="5:11" x14ac:dyDescent="0.2">
      <c r="E34" s="39"/>
      <c r="I34" s="41"/>
      <c r="J34" s="43"/>
      <c r="K34" s="43"/>
    </row>
    <row r="35" spans="5:11" x14ac:dyDescent="0.2">
      <c r="E35" s="39"/>
    </row>
    <row r="36" spans="5:11" x14ac:dyDescent="0.2">
      <c r="E36" s="39"/>
    </row>
    <row r="37" spans="5:11" x14ac:dyDescent="0.2">
      <c r="E37" s="39"/>
    </row>
    <row r="38" spans="5:11" x14ac:dyDescent="0.2">
      <c r="E38" s="39"/>
    </row>
    <row r="39" spans="5:11" x14ac:dyDescent="0.2">
      <c r="E39" s="39"/>
    </row>
    <row r="40" spans="5:11" x14ac:dyDescent="0.2">
      <c r="E40" s="39"/>
    </row>
    <row r="41" spans="5:11" x14ac:dyDescent="0.2">
      <c r="E41" s="39"/>
    </row>
    <row r="42" spans="5:11" x14ac:dyDescent="0.2">
      <c r="E42" s="39"/>
    </row>
    <row r="43" spans="5:11" x14ac:dyDescent="0.2">
      <c r="E43" s="39"/>
    </row>
    <row r="44" spans="5:11" x14ac:dyDescent="0.2">
      <c r="E44" s="39"/>
    </row>
    <row r="45" spans="5:11" x14ac:dyDescent="0.2">
      <c r="E45" s="39"/>
    </row>
    <row r="46" spans="5:11" x14ac:dyDescent="0.2">
      <c r="E46" s="39"/>
    </row>
    <row r="47" spans="5:11" x14ac:dyDescent="0.2">
      <c r="E47" s="39"/>
    </row>
    <row r="48" spans="5:11" x14ac:dyDescent="0.2">
      <c r="E48" s="39"/>
    </row>
    <row r="49" spans="5:5" x14ac:dyDescent="0.2">
      <c r="E49" s="39"/>
    </row>
    <row r="50" spans="5:5" x14ac:dyDescent="0.2">
      <c r="E50" s="39"/>
    </row>
    <row r="51" spans="5:5" x14ac:dyDescent="0.2">
      <c r="E51" s="39"/>
    </row>
    <row r="52" spans="5:5" x14ac:dyDescent="0.2">
      <c r="E52" s="39"/>
    </row>
    <row r="53" spans="5:5" x14ac:dyDescent="0.2">
      <c r="E53" s="39"/>
    </row>
    <row r="54" spans="5:5" x14ac:dyDescent="0.2">
      <c r="E54" s="39"/>
    </row>
    <row r="55" spans="5:5" x14ac:dyDescent="0.2">
      <c r="E55" s="39"/>
    </row>
    <row r="56" spans="5:5" x14ac:dyDescent="0.2">
      <c r="E56" s="39"/>
    </row>
    <row r="57" spans="5:5" x14ac:dyDescent="0.2">
      <c r="E57" s="39"/>
    </row>
    <row r="58" spans="5:5" x14ac:dyDescent="0.2">
      <c r="E58" s="39"/>
    </row>
    <row r="59" spans="5:5" x14ac:dyDescent="0.2">
      <c r="E59" s="39"/>
    </row>
    <row r="60" spans="5:5" x14ac:dyDescent="0.2">
      <c r="E60" s="39"/>
    </row>
    <row r="61" spans="5:5" x14ac:dyDescent="0.2">
      <c r="E61" s="39"/>
    </row>
    <row r="62" spans="5:5" x14ac:dyDescent="0.2">
      <c r="E62" s="39"/>
    </row>
    <row r="63" spans="5:5" x14ac:dyDescent="0.2">
      <c r="E63" s="39"/>
    </row>
    <row r="64" spans="5:5" x14ac:dyDescent="0.2">
      <c r="E64" s="39"/>
    </row>
    <row r="65" spans="5:5" x14ac:dyDescent="0.2">
      <c r="E65" s="39"/>
    </row>
    <row r="66" spans="5:5" x14ac:dyDescent="0.2">
      <c r="E66" s="39"/>
    </row>
    <row r="67" spans="5:5" x14ac:dyDescent="0.2">
      <c r="E67" s="39"/>
    </row>
    <row r="68" spans="5:5" x14ac:dyDescent="0.2">
      <c r="E68" s="39"/>
    </row>
    <row r="69" spans="5:5" x14ac:dyDescent="0.2">
      <c r="E69" s="39"/>
    </row>
    <row r="70" spans="5:5" x14ac:dyDescent="0.2">
      <c r="E70" s="39"/>
    </row>
    <row r="71" spans="5:5" x14ac:dyDescent="0.2">
      <c r="E71" s="39"/>
    </row>
    <row r="72" spans="5:5" x14ac:dyDescent="0.2">
      <c r="E72" s="39"/>
    </row>
    <row r="73" spans="5:5" x14ac:dyDescent="0.2">
      <c r="E73" s="39"/>
    </row>
    <row r="74" spans="5:5" x14ac:dyDescent="0.2">
      <c r="E74" s="39"/>
    </row>
    <row r="75" spans="5:5" x14ac:dyDescent="0.2">
      <c r="E75" s="39"/>
    </row>
    <row r="76" spans="5:5" x14ac:dyDescent="0.2">
      <c r="E76" s="39"/>
    </row>
    <row r="77" spans="5:5" x14ac:dyDescent="0.2">
      <c r="E77" s="39"/>
    </row>
    <row r="78" spans="5:5" x14ac:dyDescent="0.2">
      <c r="E78" s="39"/>
    </row>
    <row r="79" spans="5:5" x14ac:dyDescent="0.2">
      <c r="E79" s="39"/>
    </row>
    <row r="80" spans="5:5" x14ac:dyDescent="0.2">
      <c r="E80" s="39"/>
    </row>
    <row r="81" spans="5:5" x14ac:dyDescent="0.2">
      <c r="E81" s="39"/>
    </row>
    <row r="82" spans="5:5" x14ac:dyDescent="0.2">
      <c r="E82" s="39"/>
    </row>
    <row r="83" spans="5:5" x14ac:dyDescent="0.2">
      <c r="E83" s="39"/>
    </row>
    <row r="84" spans="5:5" x14ac:dyDescent="0.2">
      <c r="E84" s="39"/>
    </row>
    <row r="85" spans="5:5" x14ac:dyDescent="0.2">
      <c r="E85" s="39"/>
    </row>
    <row r="86" spans="5:5" x14ac:dyDescent="0.2">
      <c r="E86" s="39"/>
    </row>
    <row r="87" spans="5:5" x14ac:dyDescent="0.2">
      <c r="E87" s="39"/>
    </row>
    <row r="88" spans="5:5" x14ac:dyDescent="0.2">
      <c r="E88" s="39"/>
    </row>
    <row r="89" spans="5:5" x14ac:dyDescent="0.2">
      <c r="E89" s="39"/>
    </row>
    <row r="90" spans="5:5" x14ac:dyDescent="0.2">
      <c r="E90" s="39"/>
    </row>
    <row r="91" spans="5:5" x14ac:dyDescent="0.2">
      <c r="E91" s="39"/>
    </row>
    <row r="92" spans="5:5" x14ac:dyDescent="0.2">
      <c r="E92" s="39"/>
    </row>
    <row r="93" spans="5:5" x14ac:dyDescent="0.2">
      <c r="E93" s="39"/>
    </row>
    <row r="94" spans="5:5" x14ac:dyDescent="0.2">
      <c r="E94" s="39"/>
    </row>
    <row r="95" spans="5:5" x14ac:dyDescent="0.2">
      <c r="E95" s="39"/>
    </row>
    <row r="96" spans="5:5" x14ac:dyDescent="0.2">
      <c r="E96" s="39"/>
    </row>
    <row r="97" spans="5:5" x14ac:dyDescent="0.2">
      <c r="E97" s="39"/>
    </row>
    <row r="98" spans="5:5" x14ac:dyDescent="0.2">
      <c r="E98" s="39"/>
    </row>
    <row r="99" spans="5:5" x14ac:dyDescent="0.2">
      <c r="E99" s="39"/>
    </row>
    <row r="100" spans="5:5" x14ac:dyDescent="0.2">
      <c r="E100" s="39"/>
    </row>
    <row r="101" spans="5:5" x14ac:dyDescent="0.2">
      <c r="E101" s="39"/>
    </row>
    <row r="102" spans="5:5" x14ac:dyDescent="0.2">
      <c r="E102" s="39"/>
    </row>
    <row r="103" spans="5:5" x14ac:dyDescent="0.2">
      <c r="E103" s="39"/>
    </row>
    <row r="104" spans="5:5" x14ac:dyDescent="0.2">
      <c r="E104" s="39"/>
    </row>
    <row r="105" spans="5:5" x14ac:dyDescent="0.2">
      <c r="E105" s="39"/>
    </row>
    <row r="106" spans="5:5" x14ac:dyDescent="0.2">
      <c r="E106" s="39"/>
    </row>
    <row r="107" spans="5:5" x14ac:dyDescent="0.2">
      <c r="E107" s="39"/>
    </row>
    <row r="108" spans="5:5" x14ac:dyDescent="0.2">
      <c r="E108" s="39"/>
    </row>
    <row r="109" spans="5:5" x14ac:dyDescent="0.2">
      <c r="E109" s="39"/>
    </row>
    <row r="110" spans="5:5" x14ac:dyDescent="0.2">
      <c r="E110" s="39"/>
    </row>
    <row r="111" spans="5:5" x14ac:dyDescent="0.2">
      <c r="E111" s="39"/>
    </row>
    <row r="112" spans="5:5" x14ac:dyDescent="0.2">
      <c r="E112" s="39"/>
    </row>
    <row r="113" spans="5:5" x14ac:dyDescent="0.2">
      <c r="E113" s="39"/>
    </row>
    <row r="114" spans="5:5" x14ac:dyDescent="0.2">
      <c r="E114" s="39"/>
    </row>
  </sheetData>
  <autoFilter ref="A5:U114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Q76"/>
  <sheetViews>
    <sheetView workbookViewId="0">
      <selection activeCell="C40" sqref="C40"/>
    </sheetView>
  </sheetViews>
  <sheetFormatPr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10.4257812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7" s="8" customFormat="1" ht="45.75" customHeight="1" x14ac:dyDescent="0.25">
      <c r="A1" s="8" t="s">
        <v>25</v>
      </c>
      <c r="B1" s="21"/>
      <c r="C1" s="8" t="s">
        <v>48</v>
      </c>
      <c r="D1" s="8" t="s">
        <v>50</v>
      </c>
      <c r="E1" s="8" t="s">
        <v>48</v>
      </c>
      <c r="F1" s="8" t="s">
        <v>50</v>
      </c>
      <c r="G1" s="8" t="s">
        <v>50</v>
      </c>
      <c r="H1" s="8" t="s">
        <v>55</v>
      </c>
      <c r="I1" s="8" t="s">
        <v>38</v>
      </c>
      <c r="J1" s="8" t="s">
        <v>38</v>
      </c>
      <c r="K1" s="8" t="s">
        <v>38</v>
      </c>
      <c r="L1" s="8" t="s">
        <v>38</v>
      </c>
      <c r="M1" s="8" t="s">
        <v>38</v>
      </c>
      <c r="N1" s="8" t="s">
        <v>38</v>
      </c>
      <c r="O1" s="8" t="s">
        <v>38</v>
      </c>
    </row>
    <row r="2" spans="1:17" s="8" customFormat="1" ht="45.75" customHeight="1" x14ac:dyDescent="0.25">
      <c r="A2" s="8" t="s">
        <v>26</v>
      </c>
      <c r="B2" s="21" t="s">
        <v>117</v>
      </c>
      <c r="C2" s="14" t="s">
        <v>104</v>
      </c>
      <c r="D2" s="15" t="s">
        <v>105</v>
      </c>
      <c r="E2" s="8" t="s">
        <v>31</v>
      </c>
      <c r="F2" s="8" t="s">
        <v>51</v>
      </c>
      <c r="G2" s="8" t="s">
        <v>53</v>
      </c>
      <c r="H2" s="8" t="s">
        <v>34</v>
      </c>
      <c r="I2" s="8" t="s">
        <v>95</v>
      </c>
      <c r="J2" s="8" t="s">
        <v>56</v>
      </c>
      <c r="K2" s="8" t="s">
        <v>57</v>
      </c>
      <c r="L2" s="8" t="s">
        <v>59</v>
      </c>
      <c r="M2" s="8" t="s">
        <v>80</v>
      </c>
      <c r="N2" s="8" t="s">
        <v>91</v>
      </c>
      <c r="O2" s="8" t="s">
        <v>91</v>
      </c>
    </row>
    <row r="4" spans="1:17" x14ac:dyDescent="0.2">
      <c r="A4" s="1" t="s">
        <v>27</v>
      </c>
      <c r="C4" s="5" t="s">
        <v>229</v>
      </c>
      <c r="D4" s="5" t="s">
        <v>108</v>
      </c>
      <c r="E4" s="5" t="s">
        <v>230</v>
      </c>
      <c r="F4" s="5" t="s">
        <v>229</v>
      </c>
      <c r="G4" s="5" t="s">
        <v>230</v>
      </c>
      <c r="H4" s="5" t="s">
        <v>110</v>
      </c>
      <c r="I4" s="5" t="s">
        <v>108</v>
      </c>
      <c r="J4" s="5" t="s">
        <v>118</v>
      </c>
      <c r="K4" s="5" t="s">
        <v>111</v>
      </c>
      <c r="L4" s="5" t="s">
        <v>108</v>
      </c>
      <c r="M4" s="13" t="s">
        <v>119</v>
      </c>
      <c r="N4" s="13" t="s">
        <v>111</v>
      </c>
      <c r="O4" s="13" t="s">
        <v>118</v>
      </c>
    </row>
    <row r="5" spans="1:17" s="3" customFormat="1" x14ac:dyDescent="0.2">
      <c r="A5" s="3" t="s">
        <v>47</v>
      </c>
      <c r="B5" s="4" t="s">
        <v>41</v>
      </c>
      <c r="C5" s="6" t="s">
        <v>42</v>
      </c>
      <c r="D5" s="6" t="s">
        <v>49</v>
      </c>
      <c r="E5" s="6" t="s">
        <v>22</v>
      </c>
      <c r="F5" s="6" t="s">
        <v>52</v>
      </c>
      <c r="G5" s="6" t="s">
        <v>54</v>
      </c>
      <c r="H5" s="6" t="s">
        <v>33</v>
      </c>
      <c r="I5" s="6" t="s">
        <v>36</v>
      </c>
      <c r="J5" s="6" t="s">
        <v>7</v>
      </c>
      <c r="K5" s="6" t="s">
        <v>58</v>
      </c>
      <c r="L5" s="6" t="s">
        <v>60</v>
      </c>
      <c r="M5" s="22" t="s">
        <v>79</v>
      </c>
      <c r="N5" s="22" t="s">
        <v>210</v>
      </c>
      <c r="O5" s="22" t="s">
        <v>211</v>
      </c>
    </row>
    <row r="6" spans="1:17" x14ac:dyDescent="0.2">
      <c r="A6" s="1" t="s">
        <v>204</v>
      </c>
      <c r="B6" s="7" t="s">
        <v>256</v>
      </c>
      <c r="C6" s="5">
        <v>0.5</v>
      </c>
      <c r="D6" s="5">
        <v>0.92</v>
      </c>
      <c r="E6" s="5">
        <v>10000</v>
      </c>
      <c r="F6" s="5">
        <f>300*1000</f>
        <v>300000</v>
      </c>
      <c r="G6" s="5">
        <f>600*1000</f>
        <v>600000</v>
      </c>
      <c r="H6" s="5">
        <v>20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  <c r="N6" s="13">
        <v>1</v>
      </c>
      <c r="O6" s="13">
        <v>1</v>
      </c>
      <c r="Q6" s="1" t="s">
        <v>223</v>
      </c>
    </row>
    <row r="7" spans="1:17" x14ac:dyDescent="0.2">
      <c r="A7" s="1" t="s">
        <v>204</v>
      </c>
      <c r="B7" s="7" t="s">
        <v>43</v>
      </c>
      <c r="C7" s="5">
        <v>0.5</v>
      </c>
      <c r="D7" s="5">
        <v>0.84</v>
      </c>
      <c r="E7" s="5">
        <v>10000</v>
      </c>
      <c r="F7" s="5">
        <v>80000</v>
      </c>
      <c r="G7" s="5">
        <v>65000</v>
      </c>
      <c r="H7" s="5">
        <v>15</v>
      </c>
      <c r="I7" s="5">
        <v>0.04</v>
      </c>
      <c r="J7" s="5">
        <v>0</v>
      </c>
      <c r="K7" s="5">
        <v>0</v>
      </c>
      <c r="L7" s="5">
        <v>0.5</v>
      </c>
      <c r="M7" s="13">
        <v>1000</v>
      </c>
      <c r="N7" s="13">
        <v>0</v>
      </c>
      <c r="O7" s="13">
        <v>0</v>
      </c>
    </row>
    <row r="8" spans="1:17" x14ac:dyDescent="0.2">
      <c r="A8" s="1" t="s">
        <v>204</v>
      </c>
      <c r="B8" s="7" t="s">
        <v>44</v>
      </c>
      <c r="C8" s="5">
        <v>0.5</v>
      </c>
      <c r="D8" s="5">
        <v>0.88</v>
      </c>
      <c r="E8" s="5">
        <v>10000</v>
      </c>
      <c r="F8" s="5">
        <v>150000</v>
      </c>
      <c r="G8" s="5">
        <v>65000</v>
      </c>
      <c r="H8" s="5">
        <v>15</v>
      </c>
      <c r="I8" s="5">
        <v>0.04</v>
      </c>
      <c r="J8" s="5">
        <v>0</v>
      </c>
      <c r="K8" s="5">
        <v>0</v>
      </c>
      <c r="L8" s="5">
        <v>0.5</v>
      </c>
      <c r="M8" s="13">
        <v>1000</v>
      </c>
      <c r="N8" s="13">
        <v>0</v>
      </c>
      <c r="O8" s="13">
        <v>0</v>
      </c>
    </row>
    <row r="9" spans="1:17" x14ac:dyDescent="0.2">
      <c r="A9" s="1" t="s">
        <v>204</v>
      </c>
      <c r="B9" s="7" t="s">
        <v>45</v>
      </c>
      <c r="C9" s="5">
        <v>0.5</v>
      </c>
      <c r="D9" s="5">
        <v>0.8</v>
      </c>
      <c r="E9" s="5">
        <v>10000</v>
      </c>
      <c r="F9" s="5">
        <v>150000</v>
      </c>
      <c r="G9" s="5">
        <v>1000000</v>
      </c>
      <c r="H9" s="5">
        <v>25</v>
      </c>
      <c r="I9" s="5">
        <v>0.04</v>
      </c>
      <c r="J9" s="5">
        <v>0</v>
      </c>
      <c r="K9" s="5">
        <v>0</v>
      </c>
      <c r="L9" s="5">
        <v>0.5</v>
      </c>
      <c r="M9" s="13">
        <v>1000</v>
      </c>
      <c r="N9" s="13">
        <v>0</v>
      </c>
      <c r="O9" s="13">
        <v>0</v>
      </c>
    </row>
    <row r="10" spans="1:17" x14ac:dyDescent="0.2">
      <c r="A10" s="1" t="s">
        <v>204</v>
      </c>
      <c r="B10" s="7" t="s">
        <v>257</v>
      </c>
      <c r="C10" s="5">
        <v>0.5</v>
      </c>
      <c r="D10" s="5">
        <v>0.8</v>
      </c>
      <c r="E10" s="5">
        <v>10000</v>
      </c>
      <c r="F10" s="5">
        <f>70*1000</f>
        <v>70000</v>
      </c>
      <c r="G10" s="5">
        <f>800*1000</f>
        <v>800000</v>
      </c>
      <c r="H10" s="5">
        <v>80</v>
      </c>
      <c r="I10" s="5">
        <v>0.04</v>
      </c>
      <c r="J10" s="5">
        <v>100000</v>
      </c>
      <c r="K10" s="5">
        <v>10000</v>
      </c>
      <c r="L10" s="5">
        <v>0.5</v>
      </c>
      <c r="M10" s="13">
        <v>1000</v>
      </c>
      <c r="N10" s="13">
        <v>0</v>
      </c>
      <c r="O10" s="13">
        <v>0</v>
      </c>
      <c r="Q10" s="1" t="s">
        <v>224</v>
      </c>
    </row>
    <row r="11" spans="1:17" x14ac:dyDescent="0.2">
      <c r="A11" s="1" t="s">
        <v>204</v>
      </c>
      <c r="B11" s="7" t="s">
        <v>46</v>
      </c>
      <c r="C11" s="5">
        <v>0.5</v>
      </c>
      <c r="D11" s="5">
        <v>0.73</v>
      </c>
      <c r="E11" s="5">
        <v>10000</v>
      </c>
      <c r="F11" s="5">
        <v>40000</v>
      </c>
      <c r="G11" s="5">
        <v>825000</v>
      </c>
      <c r="H11" s="5">
        <v>30</v>
      </c>
      <c r="I11" s="5">
        <v>0.04</v>
      </c>
      <c r="J11" s="5">
        <v>0</v>
      </c>
      <c r="K11" s="5">
        <v>0</v>
      </c>
      <c r="L11" s="5">
        <v>0.5</v>
      </c>
      <c r="M11" s="13">
        <v>1000</v>
      </c>
      <c r="N11" s="13">
        <v>0</v>
      </c>
      <c r="O11" s="13">
        <v>0</v>
      </c>
    </row>
    <row r="12" spans="1:17" x14ac:dyDescent="0.2">
      <c r="A12" s="1" t="s">
        <v>204</v>
      </c>
      <c r="B12" s="7" t="s">
        <v>258</v>
      </c>
      <c r="C12" s="5">
        <v>0.5</v>
      </c>
      <c r="D12" s="5">
        <v>0.45600000000000002</v>
      </c>
      <c r="E12" s="5">
        <v>10000</v>
      </c>
      <c r="F12" s="5">
        <v>200</v>
      </c>
      <c r="G12" s="5">
        <v>1100000</v>
      </c>
      <c r="H12" s="5">
        <v>22.5</v>
      </c>
      <c r="I12" s="5">
        <v>0.04</v>
      </c>
      <c r="J12" s="5">
        <v>100000</v>
      </c>
      <c r="K12" s="5">
        <v>10000</v>
      </c>
      <c r="L12" s="5">
        <v>0.5</v>
      </c>
      <c r="M12" s="13">
        <v>1000</v>
      </c>
      <c r="Q12" s="1" t="s">
        <v>225</v>
      </c>
    </row>
    <row r="13" spans="1:17" x14ac:dyDescent="0.2">
      <c r="B13" s="7"/>
    </row>
    <row r="14" spans="1:17" x14ac:dyDescent="0.2">
      <c r="B14" s="7"/>
    </row>
    <row r="15" spans="1:17" x14ac:dyDescent="0.2">
      <c r="B15" s="7"/>
    </row>
    <row r="16" spans="1:17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N9"/>
  <sheetViews>
    <sheetView workbookViewId="0">
      <selection activeCell="A8" sqref="A8"/>
    </sheetView>
  </sheetViews>
  <sheetFormatPr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23" t="s">
        <v>25</v>
      </c>
      <c r="B1" s="21"/>
      <c r="C1" s="8" t="s">
        <v>48</v>
      </c>
      <c r="D1" s="8" t="s">
        <v>48</v>
      </c>
      <c r="E1" s="8" t="s">
        <v>24</v>
      </c>
      <c r="F1" s="8" t="s">
        <v>50</v>
      </c>
      <c r="G1" s="8" t="s">
        <v>24</v>
      </c>
      <c r="H1" s="8" t="s">
        <v>24</v>
      </c>
      <c r="I1" s="8" t="s">
        <v>38</v>
      </c>
      <c r="J1" s="8" t="s">
        <v>76</v>
      </c>
      <c r="K1" s="8" t="s">
        <v>77</v>
      </c>
      <c r="L1" s="8" t="s">
        <v>38</v>
      </c>
      <c r="M1" s="8" t="s">
        <v>38</v>
      </c>
      <c r="N1" s="8" t="s">
        <v>38</v>
      </c>
    </row>
    <row r="2" spans="1:14" s="8" customFormat="1" ht="44.25" customHeight="1" x14ac:dyDescent="0.25">
      <c r="A2" s="23" t="s">
        <v>26</v>
      </c>
      <c r="B2" s="21" t="s">
        <v>120</v>
      </c>
      <c r="C2" s="14" t="s">
        <v>72</v>
      </c>
      <c r="D2" s="15" t="s">
        <v>121</v>
      </c>
      <c r="E2" s="8" t="s">
        <v>31</v>
      </c>
      <c r="F2" s="8" t="s">
        <v>51</v>
      </c>
      <c r="G2" s="8" t="s">
        <v>53</v>
      </c>
      <c r="H2" s="8" t="s">
        <v>34</v>
      </c>
      <c r="I2" s="8" t="s">
        <v>95</v>
      </c>
      <c r="J2" s="8" t="s">
        <v>56</v>
      </c>
      <c r="K2" s="8" t="s">
        <v>57</v>
      </c>
      <c r="L2" s="8" t="s">
        <v>59</v>
      </c>
      <c r="M2" s="8" t="s">
        <v>81</v>
      </c>
      <c r="N2" s="8" t="s">
        <v>91</v>
      </c>
    </row>
    <row r="3" spans="1:14" s="8" customFormat="1" ht="44.25" customHeight="1" x14ac:dyDescent="0.25">
      <c r="A3" s="23" t="s">
        <v>73</v>
      </c>
      <c r="B3" s="21"/>
      <c r="E3" s="8" t="s">
        <v>74</v>
      </c>
      <c r="F3" s="8" t="s">
        <v>75</v>
      </c>
      <c r="G3" s="8" t="s">
        <v>74</v>
      </c>
      <c r="J3" s="8" t="s">
        <v>197</v>
      </c>
    </row>
    <row r="4" spans="1:14" x14ac:dyDescent="0.2">
      <c r="A4" s="19" t="s">
        <v>27</v>
      </c>
      <c r="C4" s="5" t="s">
        <v>109</v>
      </c>
      <c r="D4" s="5" t="s">
        <v>108</v>
      </c>
      <c r="E4" s="5" t="s">
        <v>106</v>
      </c>
      <c r="F4" s="5" t="s">
        <v>109</v>
      </c>
      <c r="G4" s="5" t="s">
        <v>106</v>
      </c>
      <c r="H4" s="5" t="s">
        <v>110</v>
      </c>
      <c r="I4" s="5" t="s">
        <v>108</v>
      </c>
      <c r="J4" s="5" t="s">
        <v>118</v>
      </c>
      <c r="K4" s="5" t="s">
        <v>111</v>
      </c>
      <c r="L4" s="5" t="s">
        <v>108</v>
      </c>
      <c r="M4" s="5" t="s">
        <v>108</v>
      </c>
      <c r="N4" s="5" t="s">
        <v>111</v>
      </c>
    </row>
    <row r="5" spans="1:14" s="6" customFormat="1" x14ac:dyDescent="0.2">
      <c r="A5" s="6" t="s">
        <v>47</v>
      </c>
      <c r="B5" s="17" t="s">
        <v>41</v>
      </c>
      <c r="C5" s="6" t="s">
        <v>42</v>
      </c>
      <c r="D5" s="6" t="s">
        <v>49</v>
      </c>
      <c r="E5" s="6" t="s">
        <v>22</v>
      </c>
      <c r="F5" s="6" t="s">
        <v>52</v>
      </c>
      <c r="G5" s="6" t="s">
        <v>54</v>
      </c>
      <c r="H5" s="6" t="s">
        <v>33</v>
      </c>
      <c r="I5" s="6" t="s">
        <v>36</v>
      </c>
      <c r="J5" s="6" t="s">
        <v>7</v>
      </c>
      <c r="K5" s="6" t="s">
        <v>58</v>
      </c>
      <c r="L5" s="6" t="s">
        <v>60</v>
      </c>
      <c r="M5" s="6" t="s">
        <v>82</v>
      </c>
      <c r="N5" s="6" t="s">
        <v>89</v>
      </c>
    </row>
    <row r="6" spans="1:14" x14ac:dyDescent="0.2">
      <c r="A6" s="5" t="s">
        <v>204</v>
      </c>
      <c r="B6" s="18" t="s">
        <v>71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x14ac:dyDescent="0.2">
      <c r="B7" s="18"/>
    </row>
    <row r="8" spans="1:14" x14ac:dyDescent="0.2">
      <c r="B8" s="18"/>
    </row>
    <row r="9" spans="1:14" x14ac:dyDescent="0.2">
      <c r="C9" s="30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3"/>
  <sheetViews>
    <sheetView workbookViewId="0">
      <selection activeCell="C5" sqref="C5"/>
    </sheetView>
  </sheetViews>
  <sheetFormatPr defaultColWidth="11.42578125" defaultRowHeight="11.25" x14ac:dyDescent="0.25"/>
  <cols>
    <col min="1" max="1" width="3.42578125" style="8" customWidth="1"/>
    <col min="2" max="2" width="14" style="8" customWidth="1"/>
    <col min="3" max="3" width="61.85546875" style="24" customWidth="1"/>
    <col min="4" max="4" width="57.5703125" style="20" customWidth="1"/>
    <col min="5" max="5" width="41.28515625" style="24" customWidth="1"/>
    <col min="6" max="7" width="8.85546875" style="8" customWidth="1"/>
    <col min="8" max="8" width="7.7109375" style="8" customWidth="1"/>
    <col min="9" max="9" width="100" style="24" customWidth="1"/>
    <col min="10" max="10" width="11.42578125" style="24"/>
    <col min="11" max="16384" width="11.42578125" style="8"/>
  </cols>
  <sheetData>
    <row r="1" spans="2:10" x14ac:dyDescent="0.25">
      <c r="B1" s="29" t="s">
        <v>203</v>
      </c>
    </row>
    <row r="2" spans="2:10" x14ac:dyDescent="0.25">
      <c r="B2" s="23" t="s">
        <v>154</v>
      </c>
      <c r="C2" s="27" t="s">
        <v>155</v>
      </c>
      <c r="D2" s="28" t="s">
        <v>156</v>
      </c>
      <c r="E2" s="27" t="s">
        <v>157</v>
      </c>
      <c r="F2" s="23" t="s">
        <v>158</v>
      </c>
      <c r="G2" s="23" t="s">
        <v>159</v>
      </c>
      <c r="H2" s="23" t="s">
        <v>153</v>
      </c>
      <c r="I2" s="27" t="s">
        <v>168</v>
      </c>
      <c r="J2" s="27" t="s">
        <v>190</v>
      </c>
    </row>
    <row r="3" spans="2:10" ht="36.75" customHeight="1" x14ac:dyDescent="0.25">
      <c r="B3" s="8" t="s">
        <v>148</v>
      </c>
      <c r="C3" s="24" t="s">
        <v>149</v>
      </c>
      <c r="D3" s="20" t="s">
        <v>150</v>
      </c>
      <c r="E3" s="24" t="s">
        <v>151</v>
      </c>
      <c r="H3" s="8">
        <v>2013</v>
      </c>
      <c r="I3" s="25" t="s">
        <v>152</v>
      </c>
    </row>
    <row r="4" spans="2:10" ht="36.75" customHeight="1" x14ac:dyDescent="0.25">
      <c r="B4" s="8" t="s">
        <v>122</v>
      </c>
    </row>
    <row r="5" spans="2:10" ht="36.75" customHeight="1" x14ac:dyDescent="0.25">
      <c r="B5" s="8" t="s">
        <v>140</v>
      </c>
      <c r="C5" s="24" t="s">
        <v>142</v>
      </c>
      <c r="D5" s="20" t="s">
        <v>141</v>
      </c>
      <c r="H5" s="8">
        <v>2012</v>
      </c>
      <c r="I5" s="25" t="s">
        <v>143</v>
      </c>
    </row>
    <row r="6" spans="2:10" ht="36.75" customHeight="1" x14ac:dyDescent="0.25">
      <c r="B6" s="8" t="s">
        <v>133</v>
      </c>
      <c r="C6" s="24" t="s">
        <v>135</v>
      </c>
      <c r="D6" s="24" t="s">
        <v>134</v>
      </c>
      <c r="H6" s="8">
        <v>2012</v>
      </c>
      <c r="I6" s="25" t="s">
        <v>136</v>
      </c>
    </row>
    <row r="7" spans="2:10" ht="36.75" customHeight="1" x14ac:dyDescent="0.25">
      <c r="B7" s="8" t="s">
        <v>62</v>
      </c>
      <c r="C7" s="24" t="s">
        <v>161</v>
      </c>
      <c r="D7" s="20" t="s">
        <v>160</v>
      </c>
      <c r="E7" s="24" t="s">
        <v>162</v>
      </c>
      <c r="H7" s="8">
        <v>2014</v>
      </c>
      <c r="I7" s="25" t="s">
        <v>163</v>
      </c>
    </row>
    <row r="8" spans="2:10" ht="36.75" customHeight="1" x14ac:dyDescent="0.25">
      <c r="B8" s="8" t="s">
        <v>164</v>
      </c>
      <c r="C8" s="24" t="s">
        <v>172</v>
      </c>
      <c r="D8" s="20" t="s">
        <v>165</v>
      </c>
      <c r="E8" s="24" t="s">
        <v>166</v>
      </c>
      <c r="F8" s="8">
        <v>67</v>
      </c>
      <c r="G8" s="26" t="s">
        <v>167</v>
      </c>
      <c r="H8" s="8">
        <v>2014</v>
      </c>
      <c r="I8" s="24" t="s">
        <v>169</v>
      </c>
    </row>
    <row r="9" spans="2:10" ht="36.75" customHeight="1" x14ac:dyDescent="0.25">
      <c r="B9" s="8" t="s">
        <v>63</v>
      </c>
      <c r="C9" s="24" t="s">
        <v>179</v>
      </c>
      <c r="D9" s="20" t="s">
        <v>176</v>
      </c>
      <c r="E9" s="24" t="s">
        <v>177</v>
      </c>
      <c r="H9" s="8">
        <v>2014</v>
      </c>
      <c r="I9" s="25" t="s">
        <v>178</v>
      </c>
    </row>
    <row r="10" spans="2:10" ht="36.75" customHeight="1" x14ac:dyDescent="0.25">
      <c r="B10" s="8" t="s">
        <v>170</v>
      </c>
      <c r="C10" s="24" t="s">
        <v>171</v>
      </c>
      <c r="D10" s="20" t="s">
        <v>173</v>
      </c>
      <c r="E10" s="24" t="s">
        <v>174</v>
      </c>
      <c r="H10" s="8">
        <v>2007</v>
      </c>
      <c r="I10" s="25" t="s">
        <v>175</v>
      </c>
    </row>
    <row r="11" spans="2:10" ht="36.75" customHeight="1" x14ac:dyDescent="0.25">
      <c r="B11" s="8" t="s">
        <v>129</v>
      </c>
      <c r="C11" s="24" t="s">
        <v>131</v>
      </c>
      <c r="D11" s="20" t="s">
        <v>130</v>
      </c>
      <c r="E11" s="24" t="s">
        <v>126</v>
      </c>
      <c r="F11" s="8">
        <v>92</v>
      </c>
      <c r="H11" s="8">
        <v>2017</v>
      </c>
      <c r="I11" s="25" t="s">
        <v>132</v>
      </c>
    </row>
    <row r="12" spans="2:10" ht="36.75" customHeight="1" x14ac:dyDescent="0.25">
      <c r="B12" s="8" t="s">
        <v>198</v>
      </c>
      <c r="C12" s="24" t="s">
        <v>199</v>
      </c>
      <c r="D12" s="20" t="s">
        <v>200</v>
      </c>
      <c r="E12" s="24" t="s">
        <v>201</v>
      </c>
      <c r="H12" s="8">
        <v>2018</v>
      </c>
      <c r="I12" s="25" t="s">
        <v>202</v>
      </c>
    </row>
    <row r="13" spans="2:10" ht="36.75" customHeight="1" x14ac:dyDescent="0.25">
      <c r="B13" s="8" t="s">
        <v>144</v>
      </c>
      <c r="C13" s="24" t="s">
        <v>147</v>
      </c>
      <c r="D13" s="24" t="s">
        <v>145</v>
      </c>
      <c r="I13" s="25" t="s">
        <v>146</v>
      </c>
    </row>
    <row r="14" spans="2:10" ht="36.75" customHeight="1" x14ac:dyDescent="0.25">
      <c r="B14" s="8" t="s">
        <v>180</v>
      </c>
      <c r="C14" s="24" t="s">
        <v>184</v>
      </c>
      <c r="D14" s="20" t="s">
        <v>181</v>
      </c>
      <c r="E14" s="24" t="s">
        <v>182</v>
      </c>
      <c r="H14" s="8">
        <v>2014</v>
      </c>
      <c r="I14" s="25" t="s">
        <v>183</v>
      </c>
    </row>
    <row r="15" spans="2:10" ht="36.75" customHeight="1" x14ac:dyDescent="0.25">
      <c r="B15" s="8" t="s">
        <v>194</v>
      </c>
      <c r="C15" s="24" t="s">
        <v>192</v>
      </c>
      <c r="D15" s="20" t="s">
        <v>193</v>
      </c>
      <c r="I15" s="25" t="s">
        <v>196</v>
      </c>
      <c r="J15" s="24" t="s">
        <v>195</v>
      </c>
    </row>
    <row r="16" spans="2:10" ht="36.75" customHeight="1" x14ac:dyDescent="0.25">
      <c r="B16" s="8" t="s">
        <v>123</v>
      </c>
      <c r="C16" s="24" t="s">
        <v>124</v>
      </c>
      <c r="D16" s="20" t="s">
        <v>125</v>
      </c>
      <c r="E16" s="24" t="s">
        <v>127</v>
      </c>
      <c r="F16" s="8">
        <v>68</v>
      </c>
      <c r="H16" s="8">
        <v>2013</v>
      </c>
      <c r="I16" s="25" t="s">
        <v>128</v>
      </c>
    </row>
    <row r="17" spans="2:10" ht="36.75" customHeight="1" x14ac:dyDescent="0.25">
      <c r="B17" s="8" t="s">
        <v>39</v>
      </c>
      <c r="C17" s="24" t="s">
        <v>137</v>
      </c>
      <c r="D17" s="20" t="s">
        <v>138</v>
      </c>
      <c r="H17" s="8">
        <v>2012</v>
      </c>
      <c r="I17" s="25" t="s">
        <v>139</v>
      </c>
    </row>
    <row r="18" spans="2:10" ht="36.75" customHeight="1" x14ac:dyDescent="0.25">
      <c r="B18" s="8" t="s">
        <v>185</v>
      </c>
      <c r="C18" s="24" t="s">
        <v>186</v>
      </c>
      <c r="D18" s="20" t="s">
        <v>187</v>
      </c>
      <c r="E18" s="24" t="s">
        <v>188</v>
      </c>
      <c r="H18" s="8">
        <v>2013</v>
      </c>
      <c r="I18" s="25" t="s">
        <v>189</v>
      </c>
      <c r="J18" s="24" t="s">
        <v>191</v>
      </c>
    </row>
    <row r="19" spans="2:10" ht="42.75" customHeight="1" x14ac:dyDescent="0.25"/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</sheetData>
  <autoFilter ref="B2:J2" xr:uid="{00000000-0009-0000-0000-000004000000}"/>
  <sortState xmlns:xlrd2="http://schemas.microsoft.com/office/spreadsheetml/2017/richdata2" ref="B3:J19">
    <sortCondition ref="B3:B19"/>
  </sortState>
  <hyperlinks>
    <hyperlink ref="I16" r:id="rId1" xr:uid="{00000000-0004-0000-0400-000000000000}"/>
    <hyperlink ref="I11" r:id="rId2" xr:uid="{00000000-0004-0000-0400-000001000000}"/>
    <hyperlink ref="I6" r:id="rId3" xr:uid="{00000000-0004-0000-0400-000002000000}"/>
    <hyperlink ref="I17" r:id="rId4" xr:uid="{00000000-0004-0000-0400-000003000000}"/>
    <hyperlink ref="I5" r:id="rId5" xr:uid="{00000000-0004-0000-0400-000004000000}"/>
    <hyperlink ref="I13" r:id="rId6" xr:uid="{00000000-0004-0000-0400-000005000000}"/>
    <hyperlink ref="I3" r:id="rId7" xr:uid="{00000000-0004-0000-0400-000006000000}"/>
    <hyperlink ref="I7" r:id="rId8" xr:uid="{00000000-0004-0000-0400-000007000000}"/>
    <hyperlink ref="I10" r:id="rId9" xr:uid="{00000000-0004-0000-0400-000008000000}"/>
    <hyperlink ref="I9" r:id="rId10" xr:uid="{00000000-0004-0000-0400-000009000000}"/>
    <hyperlink ref="I14" r:id="rId11" xr:uid="{00000000-0004-0000-0400-00000A000000}"/>
    <hyperlink ref="I18" r:id="rId12" xr:uid="{00000000-0004-0000-0400-00000B000000}"/>
    <hyperlink ref="I15" r:id="rId13" xr:uid="{00000000-0004-0000-0400-00000C000000}"/>
  </hyperlinks>
  <pageMargins left="0.7" right="0.7" top="0.78740157499999996" bottom="0.78740157499999996" header="0.3" footer="0.3"/>
  <pageSetup paperSize="9"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">
    <tabColor rgb="FFC00000"/>
  </sheetPr>
  <dimension ref="B2:Q28"/>
  <sheetViews>
    <sheetView workbookViewId="0">
      <selection activeCell="E24" sqref="E24"/>
    </sheetView>
  </sheetViews>
  <sheetFormatPr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17" s="8" customFormat="1" ht="62.25" customHeight="1" x14ac:dyDescent="0.25">
      <c r="B2" s="8" t="s">
        <v>68</v>
      </c>
      <c r="C2" s="8" t="s">
        <v>6</v>
      </c>
      <c r="D2" s="8" t="s">
        <v>69</v>
      </c>
      <c r="E2" s="8" t="s">
        <v>70</v>
      </c>
      <c r="F2" s="8" t="s">
        <v>22</v>
      </c>
      <c r="G2" s="8" t="s">
        <v>35</v>
      </c>
      <c r="H2" s="8" t="s">
        <v>33</v>
      </c>
      <c r="I2" s="8" t="s">
        <v>36</v>
      </c>
      <c r="J2" s="11" t="s">
        <v>90</v>
      </c>
      <c r="K2" s="9"/>
      <c r="L2" s="11"/>
      <c r="M2" s="8" t="s">
        <v>204</v>
      </c>
      <c r="O2" s="8" t="s">
        <v>205</v>
      </c>
      <c r="P2" s="8" t="s">
        <v>206</v>
      </c>
      <c r="Q2" s="8" t="s">
        <v>207</v>
      </c>
    </row>
    <row r="3" spans="2:17" x14ac:dyDescent="0.2">
      <c r="B3" s="5" t="s">
        <v>86</v>
      </c>
      <c r="C3" s="5">
        <v>10000</v>
      </c>
      <c r="D3" s="5">
        <v>1</v>
      </c>
      <c r="E3" s="5">
        <v>6000</v>
      </c>
      <c r="F3" s="5">
        <v>0</v>
      </c>
      <c r="H3" s="5">
        <v>35</v>
      </c>
      <c r="I3" s="5">
        <v>0.04</v>
      </c>
      <c r="J3" s="5">
        <v>1000</v>
      </c>
      <c r="L3" s="12" t="s">
        <v>86</v>
      </c>
      <c r="M3" s="5">
        <v>1</v>
      </c>
      <c r="O3" s="5">
        <v>-1</v>
      </c>
    </row>
    <row r="4" spans="2:17" x14ac:dyDescent="0.2">
      <c r="B4" s="5" t="s">
        <v>87</v>
      </c>
      <c r="C4" s="5">
        <v>10000</v>
      </c>
      <c r="D4" s="5">
        <v>1</v>
      </c>
      <c r="E4" s="5">
        <v>6000</v>
      </c>
      <c r="F4" s="5">
        <v>0</v>
      </c>
      <c r="H4" s="5">
        <v>35</v>
      </c>
      <c r="I4" s="5">
        <v>0.04</v>
      </c>
      <c r="J4" s="5">
        <v>1000</v>
      </c>
      <c r="L4" s="12" t="s">
        <v>87</v>
      </c>
      <c r="M4" s="5">
        <v>1</v>
      </c>
      <c r="P4" s="5">
        <v>-1</v>
      </c>
    </row>
    <row r="5" spans="2:17" x14ac:dyDescent="0.2">
      <c r="B5" s="5" t="s">
        <v>88</v>
      </c>
      <c r="C5" s="5">
        <v>10000</v>
      </c>
      <c r="D5" s="5">
        <v>1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88</v>
      </c>
      <c r="M5" s="5">
        <v>1</v>
      </c>
      <c r="Q5" s="5">
        <v>-1</v>
      </c>
    </row>
    <row r="8" spans="2:17" x14ac:dyDescent="0.2">
      <c r="C8" s="31" t="s">
        <v>208</v>
      </c>
    </row>
    <row r="15" spans="2:17" x14ac:dyDescent="0.2">
      <c r="J15" s="5"/>
    </row>
    <row r="16" spans="2:17" x14ac:dyDescent="0.2">
      <c r="J16" s="5"/>
    </row>
    <row r="17" spans="10:10" x14ac:dyDescent="0.2">
      <c r="J17" s="5"/>
    </row>
    <row r="18" spans="10:10" x14ac:dyDescent="0.2">
      <c r="J18" s="5"/>
    </row>
    <row r="19" spans="10:10" x14ac:dyDescent="0.2">
      <c r="J19" s="5"/>
    </row>
    <row r="20" spans="10:10" x14ac:dyDescent="0.2">
      <c r="J20" s="5"/>
    </row>
    <row r="21" spans="10:10" x14ac:dyDescent="0.2">
      <c r="J21" s="5"/>
    </row>
    <row r="22" spans="10:10" x14ac:dyDescent="0.2">
      <c r="J22" s="5"/>
    </row>
    <row r="23" spans="10:10" x14ac:dyDescent="0.2">
      <c r="J23" s="5"/>
    </row>
    <row r="24" spans="10:10" x14ac:dyDescent="0.2">
      <c r="J24" s="5"/>
    </row>
    <row r="25" spans="10:10" x14ac:dyDescent="0.2">
      <c r="J25" s="5"/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BE44-313B-4526-9FE4-806159D6A35B}">
  <dimension ref="A1:P16"/>
  <sheetViews>
    <sheetView workbookViewId="0">
      <selection activeCell="F4" sqref="F4"/>
    </sheetView>
  </sheetViews>
  <sheetFormatPr defaultRowHeight="15" x14ac:dyDescent="0.25"/>
  <cols>
    <col min="15" max="15" width="11.85546875" bestFit="1" customWidth="1"/>
  </cols>
  <sheetData>
    <row r="1" spans="1:16" ht="31.5" x14ac:dyDescent="0.5">
      <c r="A1" s="48" t="s">
        <v>248</v>
      </c>
    </row>
    <row r="2" spans="1:16" ht="142.5" x14ac:dyDescent="0.25">
      <c r="B2" s="53" t="s">
        <v>233</v>
      </c>
      <c r="C2" s="53" t="s">
        <v>234</v>
      </c>
      <c r="D2" s="44" t="s">
        <v>235</v>
      </c>
      <c r="E2" s="44" t="s">
        <v>236</v>
      </c>
      <c r="F2" s="44" t="s">
        <v>237</v>
      </c>
      <c r="G2" s="44" t="s">
        <v>238</v>
      </c>
      <c r="H2" s="44" t="s">
        <v>239</v>
      </c>
      <c r="I2" s="53" t="s">
        <v>240</v>
      </c>
      <c r="J2" s="44" t="s">
        <v>241</v>
      </c>
      <c r="K2" s="44" t="s">
        <v>242</v>
      </c>
      <c r="L2" s="50" t="s">
        <v>243</v>
      </c>
      <c r="M2" s="53" t="s">
        <v>244</v>
      </c>
      <c r="N2" s="44" t="s">
        <v>245</v>
      </c>
      <c r="O2" s="44" t="s">
        <v>246</v>
      </c>
      <c r="P2" s="50" t="s">
        <v>247</v>
      </c>
    </row>
    <row r="3" spans="1:16" x14ac:dyDescent="0.25">
      <c r="A3" t="s">
        <v>11</v>
      </c>
      <c r="B3" s="54"/>
      <c r="C3" s="54"/>
      <c r="D3" s="45"/>
      <c r="I3" s="55"/>
      <c r="L3" s="51"/>
      <c r="M3" s="55"/>
      <c r="O3" s="47"/>
      <c r="P3" s="51"/>
    </row>
    <row r="4" spans="1:16" x14ac:dyDescent="0.25">
      <c r="A4" t="s">
        <v>13</v>
      </c>
      <c r="B4" s="54">
        <v>0.45</v>
      </c>
      <c r="C4" s="54">
        <v>0.8</v>
      </c>
      <c r="D4" s="45">
        <v>100</v>
      </c>
      <c r="E4" s="46">
        <f>8760*D4*C4</f>
        <v>700800</v>
      </c>
      <c r="F4" s="46">
        <f>E4/B4</f>
        <v>1557333.3333333333</v>
      </c>
      <c r="G4">
        <f>F4/1000000</f>
        <v>1.5573333333333332</v>
      </c>
      <c r="H4">
        <f>G4*3.6</f>
        <v>5.6063999999999998</v>
      </c>
      <c r="I4" s="55">
        <v>0</v>
      </c>
      <c r="J4">
        <f>I4*H4</f>
        <v>0</v>
      </c>
      <c r="K4">
        <f>J4*1000</f>
        <v>0</v>
      </c>
      <c r="L4" s="51">
        <f>K4/E4</f>
        <v>0</v>
      </c>
      <c r="M4" s="56">
        <v>0</v>
      </c>
      <c r="N4" s="46">
        <f>H4*1000000</f>
        <v>5606400</v>
      </c>
      <c r="O4" s="47">
        <f>N4*M4</f>
        <v>0</v>
      </c>
      <c r="P4" s="52">
        <f>O4/E4</f>
        <v>0</v>
      </c>
    </row>
    <row r="5" spans="1:16" x14ac:dyDescent="0.25">
      <c r="A5" t="s">
        <v>14</v>
      </c>
      <c r="B5" s="54">
        <v>0.32</v>
      </c>
      <c r="C5" s="54">
        <v>0.8</v>
      </c>
      <c r="D5" s="45">
        <v>100</v>
      </c>
      <c r="E5" s="46">
        <f t="shared" ref="E5:E14" si="0">8760*D5*C5</f>
        <v>700800</v>
      </c>
      <c r="F5" s="46">
        <f t="shared" ref="F5:F14" si="1">E5/B5</f>
        <v>2190000</v>
      </c>
      <c r="G5">
        <f t="shared" ref="G5:G14" si="2">F5/1000000</f>
        <v>2.19</v>
      </c>
      <c r="H5">
        <f t="shared" ref="H5:H14" si="3">G5*3.6</f>
        <v>7.8840000000000003</v>
      </c>
      <c r="I5" s="55">
        <v>85</v>
      </c>
      <c r="J5">
        <f>I5*H5</f>
        <v>670.14</v>
      </c>
      <c r="K5">
        <f t="shared" ref="K5:K14" si="4">J5*1000</f>
        <v>670140</v>
      </c>
      <c r="L5" s="51">
        <f>K5/E5</f>
        <v>0.95625000000000004</v>
      </c>
      <c r="M5" s="57">
        <v>0.6</v>
      </c>
      <c r="N5" s="46">
        <f t="shared" ref="N5:N14" si="5">H5*1000000</f>
        <v>7884000</v>
      </c>
      <c r="O5" s="47">
        <f t="shared" ref="O5:O14" si="6">N5*M5</f>
        <v>4730400</v>
      </c>
      <c r="P5" s="52">
        <f>O5/E5</f>
        <v>6.75</v>
      </c>
    </row>
    <row r="6" spans="1:16" x14ac:dyDescent="0.25">
      <c r="A6" t="s">
        <v>15</v>
      </c>
      <c r="B6" s="54">
        <v>0.4</v>
      </c>
      <c r="C6" s="54">
        <v>0.8</v>
      </c>
      <c r="D6" s="45">
        <v>100</v>
      </c>
      <c r="E6" s="46">
        <f t="shared" si="0"/>
        <v>700800</v>
      </c>
      <c r="F6" s="46">
        <f t="shared" si="1"/>
        <v>1752000</v>
      </c>
      <c r="G6">
        <f t="shared" si="2"/>
        <v>1.752</v>
      </c>
      <c r="H6">
        <f t="shared" si="3"/>
        <v>6.3071999999999999</v>
      </c>
      <c r="I6" s="55">
        <v>88</v>
      </c>
      <c r="J6">
        <f>I6*H6</f>
        <v>555.03359999999998</v>
      </c>
      <c r="K6">
        <f t="shared" si="4"/>
        <v>555033.59999999998</v>
      </c>
      <c r="L6" s="51">
        <f>K6/E6</f>
        <v>0.79199999999999993</v>
      </c>
      <c r="M6" s="57">
        <v>2.8</v>
      </c>
      <c r="N6" s="46">
        <f t="shared" si="5"/>
        <v>6307200</v>
      </c>
      <c r="O6" s="47">
        <f t="shared" si="6"/>
        <v>17660160</v>
      </c>
      <c r="P6" s="52">
        <f>O6/E6</f>
        <v>25.2</v>
      </c>
    </row>
    <row r="7" spans="1:16" x14ac:dyDescent="0.25">
      <c r="A7" t="s">
        <v>16</v>
      </c>
      <c r="B7" s="54">
        <v>0.48</v>
      </c>
      <c r="C7" s="54">
        <v>0.8</v>
      </c>
      <c r="D7" s="45">
        <v>100</v>
      </c>
      <c r="E7" s="46">
        <f t="shared" si="0"/>
        <v>700800</v>
      </c>
      <c r="F7" s="46">
        <f t="shared" si="1"/>
        <v>1460000</v>
      </c>
      <c r="G7">
        <f t="shared" si="2"/>
        <v>1.46</v>
      </c>
      <c r="H7">
        <f t="shared" si="3"/>
        <v>5.2560000000000002</v>
      </c>
      <c r="I7" s="55">
        <v>52.1</v>
      </c>
      <c r="J7">
        <f>I7*H7</f>
        <v>273.83760000000001</v>
      </c>
      <c r="K7">
        <f t="shared" si="4"/>
        <v>273837.60000000003</v>
      </c>
      <c r="L7" s="51">
        <f>K7/E7</f>
        <v>0.39075000000000004</v>
      </c>
      <c r="M7" s="57">
        <f>5.8</f>
        <v>5.8</v>
      </c>
      <c r="N7" s="46">
        <f t="shared" si="5"/>
        <v>5256000</v>
      </c>
      <c r="O7" s="47">
        <f t="shared" si="6"/>
        <v>30484800</v>
      </c>
      <c r="P7" s="52">
        <f>O7/E7</f>
        <v>43.5</v>
      </c>
    </row>
    <row r="8" spans="1:16" x14ac:dyDescent="0.25">
      <c r="A8" t="s">
        <v>83</v>
      </c>
      <c r="B8" s="54">
        <v>0.31</v>
      </c>
      <c r="C8" s="54">
        <v>0.2</v>
      </c>
      <c r="D8" s="45">
        <v>100</v>
      </c>
      <c r="E8" s="46">
        <f t="shared" si="0"/>
        <v>175200</v>
      </c>
      <c r="F8" s="46">
        <f t="shared" si="1"/>
        <v>565161.29032258061</v>
      </c>
      <c r="G8">
        <f t="shared" si="2"/>
        <v>0.56516129032258056</v>
      </c>
      <c r="H8">
        <f t="shared" si="3"/>
        <v>2.0345806451612902</v>
      </c>
      <c r="I8" s="55">
        <v>53.1</v>
      </c>
      <c r="J8">
        <f>I8*H8</f>
        <v>108.03623225806452</v>
      </c>
      <c r="K8">
        <f t="shared" si="4"/>
        <v>108036.23225806451</v>
      </c>
      <c r="L8" s="51">
        <f>K8/E8</f>
        <v>0.61664516129032254</v>
      </c>
      <c r="M8" s="57">
        <v>5.8</v>
      </c>
      <c r="N8" s="46">
        <f t="shared" si="5"/>
        <v>2034580.6451612902</v>
      </c>
      <c r="O8" s="47">
        <f t="shared" si="6"/>
        <v>11800567.741935482</v>
      </c>
      <c r="P8" s="52">
        <f>O8/E8</f>
        <v>67.354838709677409</v>
      </c>
    </row>
    <row r="9" spans="1:16" x14ac:dyDescent="0.25">
      <c r="A9" t="s">
        <v>84</v>
      </c>
      <c r="B9" s="54"/>
      <c r="C9" s="54"/>
      <c r="D9" s="45"/>
      <c r="E9" s="46"/>
      <c r="F9" s="46"/>
      <c r="I9" s="55"/>
      <c r="L9" s="51"/>
      <c r="M9" s="57"/>
      <c r="N9" s="46"/>
      <c r="O9" s="47"/>
      <c r="P9" s="52"/>
    </row>
    <row r="10" spans="1:16" x14ac:dyDescent="0.25">
      <c r="A10" t="s">
        <v>85</v>
      </c>
      <c r="B10" s="54"/>
      <c r="C10" s="54"/>
      <c r="D10" s="45"/>
      <c r="E10" s="46"/>
      <c r="F10" s="46"/>
      <c r="I10" s="55"/>
      <c r="L10" s="51"/>
      <c r="M10" s="57"/>
      <c r="N10" s="46"/>
      <c r="O10" s="47"/>
      <c r="P10" s="52"/>
    </row>
    <row r="11" spans="1:16" x14ac:dyDescent="0.25">
      <c r="A11" t="s">
        <v>17</v>
      </c>
      <c r="B11" s="54">
        <v>0.23</v>
      </c>
      <c r="C11" s="54">
        <v>0.6</v>
      </c>
      <c r="D11" s="45">
        <v>100</v>
      </c>
      <c r="E11" s="46">
        <f t="shared" si="0"/>
        <v>525600</v>
      </c>
      <c r="F11" s="46">
        <f t="shared" si="1"/>
        <v>2285217.3913043477</v>
      </c>
      <c r="G11">
        <f t="shared" si="2"/>
        <v>2.2852173913043479</v>
      </c>
      <c r="H11">
        <f t="shared" si="3"/>
        <v>8.2267826086956521</v>
      </c>
      <c r="I11" s="55">
        <v>0</v>
      </c>
      <c r="J11">
        <f>I11*H11</f>
        <v>0</v>
      </c>
      <c r="K11">
        <f t="shared" si="4"/>
        <v>0</v>
      </c>
      <c r="L11" s="51">
        <f>K11/E11</f>
        <v>0</v>
      </c>
      <c r="M11" s="57">
        <v>0.5</v>
      </c>
      <c r="N11" s="46">
        <f t="shared" si="5"/>
        <v>8226782.6086956523</v>
      </c>
      <c r="O11" s="47">
        <f t="shared" si="6"/>
        <v>4113391.3043478262</v>
      </c>
      <c r="P11" s="52">
        <f>O11/E11</f>
        <v>7.8260869565217392</v>
      </c>
    </row>
    <row r="12" spans="1:16" x14ac:dyDescent="0.25">
      <c r="A12" t="s">
        <v>18</v>
      </c>
      <c r="B12" s="54">
        <v>1</v>
      </c>
      <c r="C12" s="54">
        <v>0.44</v>
      </c>
      <c r="D12" s="45">
        <v>100</v>
      </c>
      <c r="E12" s="46">
        <f t="shared" si="0"/>
        <v>385440</v>
      </c>
      <c r="F12" s="46">
        <f t="shared" si="1"/>
        <v>385440</v>
      </c>
      <c r="G12">
        <f t="shared" si="2"/>
        <v>0.38544</v>
      </c>
      <c r="H12">
        <f t="shared" si="3"/>
        <v>1.3875840000000002</v>
      </c>
      <c r="I12" s="55">
        <v>0</v>
      </c>
      <c r="J12">
        <f>I12*H12</f>
        <v>0</v>
      </c>
      <c r="K12">
        <f t="shared" si="4"/>
        <v>0</v>
      </c>
      <c r="L12" s="51">
        <f>K12/E12</f>
        <v>0</v>
      </c>
      <c r="M12" s="57">
        <v>0</v>
      </c>
      <c r="N12" s="46">
        <f t="shared" si="5"/>
        <v>1387584.0000000002</v>
      </c>
      <c r="O12" s="47">
        <f t="shared" si="6"/>
        <v>0</v>
      </c>
      <c r="P12" s="52">
        <f>O12/E12</f>
        <v>0</v>
      </c>
    </row>
    <row r="13" spans="1:16" x14ac:dyDescent="0.25">
      <c r="A13" t="s">
        <v>19</v>
      </c>
      <c r="B13" s="54"/>
      <c r="C13" s="54"/>
      <c r="D13" s="45"/>
      <c r="E13" s="46"/>
      <c r="F13" s="46"/>
      <c r="I13" s="55"/>
      <c r="L13" s="51"/>
      <c r="M13" s="57"/>
      <c r="N13" s="46"/>
      <c r="O13" s="47"/>
      <c r="P13" s="52"/>
    </row>
    <row r="14" spans="1:16" x14ac:dyDescent="0.25">
      <c r="A14" t="s">
        <v>67</v>
      </c>
      <c r="B14" s="54">
        <v>1</v>
      </c>
      <c r="C14" s="54">
        <v>0.32</v>
      </c>
      <c r="D14" s="45">
        <v>100</v>
      </c>
      <c r="E14" s="46">
        <f t="shared" si="0"/>
        <v>280320</v>
      </c>
      <c r="F14" s="46">
        <f t="shared" si="1"/>
        <v>280320</v>
      </c>
      <c r="G14">
        <f t="shared" si="2"/>
        <v>0.28032000000000001</v>
      </c>
      <c r="H14">
        <f t="shared" si="3"/>
        <v>1.009152</v>
      </c>
      <c r="I14" s="55">
        <v>0</v>
      </c>
      <c r="J14">
        <f>I14*H14</f>
        <v>0</v>
      </c>
      <c r="K14">
        <f t="shared" si="4"/>
        <v>0</v>
      </c>
      <c r="L14" s="51">
        <f>K14/E14</f>
        <v>0</v>
      </c>
      <c r="M14" s="57">
        <v>0</v>
      </c>
      <c r="N14" s="46">
        <f t="shared" si="5"/>
        <v>1009152</v>
      </c>
      <c r="O14" s="47">
        <f t="shared" si="6"/>
        <v>0</v>
      </c>
      <c r="P14" s="52">
        <f>O14/E14</f>
        <v>0</v>
      </c>
    </row>
    <row r="15" spans="1:16" x14ac:dyDescent="0.25">
      <c r="B15" s="55"/>
      <c r="C15" s="55"/>
      <c r="P15" s="51"/>
    </row>
    <row r="16" spans="1:16" x14ac:dyDescent="0.25">
      <c r="P1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LICENSE</vt:lpstr>
      <vt:lpstr>Technologies</vt:lpstr>
      <vt:lpstr>storage</vt:lpstr>
      <vt:lpstr>reservoir</vt:lpstr>
      <vt:lpstr>Sources</vt:lpstr>
      <vt:lpstr>spatial</vt:lpstr>
      <vt:lpstr>Factor Derivation (ks)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2019-02-04T07:59:53Z</dcterms:modified>
</cp:coreProperties>
</file>