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0" yWindow="456" windowWidth="23256" windowHeight="13176" firstSheet="3" activeTab="4"/>
  </bookViews>
  <sheets>
    <sheet name="Лист1" sheetId="4" state="hidden" r:id="rId1"/>
    <sheet name="Лист2" sheetId="5" state="hidden" r:id="rId2"/>
    <sheet name="Лист3" sheetId="6" state="hidden" r:id="rId3"/>
    <sheet name="Автоматизированный расчет" sheetId="3" r:id="rId4"/>
    <sheet name="Соответствие профилю" sheetId="2" r:id="rId5"/>
  </sheets>
  <calcPr calcId="125725"/>
  <pivotCaches>
    <pivotCache cacheId="0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4" i="2"/>
  <c r="N43"/>
  <c r="N42"/>
  <c r="P42" s="1"/>
  <c r="N41"/>
  <c r="P41" s="1"/>
  <c r="N40"/>
  <c r="P40" s="1"/>
  <c r="N39"/>
  <c r="N38"/>
  <c r="P44"/>
  <c r="P43"/>
  <c r="P39"/>
  <c r="P38"/>
  <c r="T30"/>
  <c r="S31"/>
  <c r="S30"/>
  <c r="S29"/>
  <c r="S28"/>
  <c r="S27"/>
  <c r="S26"/>
  <c r="T29"/>
  <c r="T28"/>
  <c r="T27"/>
  <c r="T26"/>
  <c r="H33"/>
  <c r="T17"/>
  <c r="S17"/>
  <c r="T16"/>
  <c r="S16"/>
  <c r="T15"/>
  <c r="S15"/>
  <c r="T14"/>
  <c r="S14"/>
  <c r="T13"/>
  <c r="S13"/>
  <c r="T12"/>
  <c r="S12"/>
  <c r="O19"/>
  <c r="N19"/>
  <c r="G44"/>
  <c r="I43"/>
  <c r="G42"/>
  <c r="G41"/>
  <c r="G40"/>
  <c r="G39"/>
  <c r="G38"/>
  <c r="I38" s="1"/>
  <c r="H44"/>
  <c r="H41"/>
  <c r="H42"/>
  <c r="H40"/>
  <c r="H39"/>
  <c r="H38"/>
  <c r="H43"/>
  <c r="O32"/>
  <c r="O31"/>
  <c r="O30"/>
  <c r="P30" s="1"/>
  <c r="O29"/>
  <c r="O28"/>
  <c r="O27"/>
  <c r="O26"/>
  <c r="N32"/>
  <c r="P32" s="1"/>
  <c r="N31"/>
  <c r="N29"/>
  <c r="N27"/>
  <c r="N26"/>
  <c r="N30"/>
  <c r="N28"/>
  <c r="H32"/>
  <c r="H31"/>
  <c r="H30"/>
  <c r="H29"/>
  <c r="H28"/>
  <c r="H27"/>
  <c r="G27"/>
  <c r="H26"/>
  <c r="G32"/>
  <c r="G31"/>
  <c r="G30"/>
  <c r="G29"/>
  <c r="G28"/>
  <c r="G26"/>
  <c r="O18"/>
  <c r="O17"/>
  <c r="O16"/>
  <c r="O15"/>
  <c r="O14"/>
  <c r="N14"/>
  <c r="O13"/>
  <c r="O12"/>
  <c r="N18"/>
  <c r="N17"/>
  <c r="N16"/>
  <c r="N15"/>
  <c r="N13"/>
  <c r="N12"/>
  <c r="P12" s="1"/>
  <c r="H18"/>
  <c r="H17"/>
  <c r="H16"/>
  <c r="H15"/>
  <c r="G14"/>
  <c r="H14"/>
  <c r="H13"/>
  <c r="H12"/>
  <c r="G18"/>
  <c r="G17"/>
  <c r="G16"/>
  <c r="G15"/>
  <c r="G13"/>
  <c r="G12"/>
  <c r="P6" i="3"/>
  <c r="P3"/>
  <c r="P4"/>
  <c r="P5"/>
  <c r="P2"/>
  <c r="B33"/>
  <c r="D5"/>
  <c r="C32"/>
  <c r="C30"/>
  <c r="T31" i="2" l="1"/>
  <c r="I42"/>
  <c r="I41"/>
  <c r="I44"/>
  <c r="I40"/>
  <c r="I39"/>
  <c r="P31"/>
  <c r="P29"/>
  <c r="P28"/>
  <c r="P27"/>
  <c r="P26"/>
  <c r="I32"/>
  <c r="I31"/>
  <c r="I30"/>
  <c r="I29"/>
  <c r="I28"/>
  <c r="I27"/>
  <c r="I26"/>
  <c r="P18"/>
  <c r="P17"/>
  <c r="P16"/>
  <c r="P15"/>
  <c r="P14"/>
  <c r="P13"/>
  <c r="E30" i="3"/>
  <c r="G30" s="1"/>
  <c r="E32"/>
  <c r="G32" s="1"/>
  <c r="E23"/>
  <c r="F23" s="1"/>
  <c r="D4"/>
  <c r="D6"/>
  <c r="D23"/>
  <c r="C28"/>
  <c r="C27"/>
  <c r="C31"/>
  <c r="C26"/>
  <c r="E26" l="1"/>
  <c r="G26" s="1"/>
  <c r="E31"/>
  <c r="G31" s="1"/>
  <c r="E27"/>
  <c r="G27" s="1"/>
  <c r="E28"/>
  <c r="G28" s="1"/>
  <c r="H23"/>
  <c r="E2"/>
  <c r="D15" l="1"/>
  <c r="D19"/>
  <c r="D2"/>
  <c r="W2"/>
  <c r="V2" s="1"/>
  <c r="S2"/>
  <c r="S6"/>
  <c r="U6" s="1"/>
  <c r="D20" s="1"/>
  <c r="S5"/>
  <c r="U5" s="1"/>
  <c r="D16" s="1"/>
  <c r="S4"/>
  <c r="U4" s="1"/>
  <c r="D12" s="1"/>
  <c r="S3"/>
  <c r="U3" s="1"/>
  <c r="D8" s="1"/>
  <c r="C29"/>
  <c r="E29" l="1"/>
  <c r="G29" s="1"/>
  <c r="U2"/>
  <c r="E22"/>
  <c r="F22" s="1"/>
  <c r="E18"/>
  <c r="F18" s="1"/>
  <c r="E14"/>
  <c r="F14" s="1"/>
  <c r="D11"/>
  <c r="D3"/>
  <c r="D22"/>
  <c r="D18"/>
  <c r="D14"/>
  <c r="D10"/>
  <c r="D7"/>
  <c r="D21"/>
  <c r="D17"/>
  <c r="D13"/>
  <c r="D9"/>
  <c r="E10"/>
  <c r="F10" s="1"/>
  <c r="E6"/>
  <c r="F6" s="1"/>
  <c r="E21"/>
  <c r="F21" s="1"/>
  <c r="E17"/>
  <c r="F17" s="1"/>
  <c r="E13"/>
  <c r="F13" s="1"/>
  <c r="E9"/>
  <c r="F9" s="1"/>
  <c r="E5"/>
  <c r="F5" s="1"/>
  <c r="E20"/>
  <c r="F20" s="1"/>
  <c r="H20" s="1"/>
  <c r="E16"/>
  <c r="F16" s="1"/>
  <c r="H16" s="1"/>
  <c r="E12"/>
  <c r="F12" s="1"/>
  <c r="H12" s="1"/>
  <c r="E8"/>
  <c r="F8" s="1"/>
  <c r="H8" s="1"/>
  <c r="E4"/>
  <c r="F4" s="1"/>
  <c r="H4" s="1"/>
  <c r="F2"/>
  <c r="H2" s="1"/>
  <c r="E19"/>
  <c r="F19" s="1"/>
  <c r="H19" s="1"/>
  <c r="E15"/>
  <c r="F15" s="1"/>
  <c r="H15" s="1"/>
  <c r="E11"/>
  <c r="F11" s="1"/>
  <c r="E7"/>
  <c r="F7" s="1"/>
  <c r="E3"/>
  <c r="F3" s="1"/>
  <c r="D29"/>
  <c r="D30"/>
  <c r="D27"/>
  <c r="D32"/>
  <c r="D28"/>
  <c r="D31"/>
  <c r="U7"/>
  <c r="V4"/>
  <c r="V3"/>
  <c r="V6"/>
  <c r="V5"/>
  <c r="I12" i="2"/>
  <c r="I13"/>
  <c r="I14"/>
  <c r="I15"/>
  <c r="I16"/>
  <c r="I17"/>
  <c r="I18"/>
  <c r="H3" i="3" l="1"/>
  <c r="H22"/>
  <c r="H10"/>
  <c r="H14"/>
  <c r="H18"/>
  <c r="H6"/>
  <c r="H21"/>
  <c r="H13"/>
  <c r="H9"/>
  <c r="H7"/>
  <c r="H5"/>
  <c r="H11"/>
  <c r="H17"/>
  <c r="V7"/>
  <c r="C33" l="1"/>
  <c r="D33" s="1"/>
  <c r="D26"/>
</calcChain>
</file>

<file path=xl/sharedStrings.xml><?xml version="1.0" encoding="utf-8"?>
<sst xmlns="http://schemas.openxmlformats.org/spreadsheetml/2006/main" count="286" uniqueCount="65">
  <si>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</si>
  <si>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</si>
  <si>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</si>
  <si>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</si>
  <si>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</si>
  <si>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</si>
  <si>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</si>
  <si>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Покупка билета (без просмотра квитанции)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</si>
  <si>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</si>
  <si>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</si>
  <si>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</si>
  <si>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>Поиск билета без оплаты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</si>
  <si>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</si>
  <si>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</si>
  <si>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</si>
  <si>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</si>
  <si>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</si>
  <si>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login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</si>
  <si>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</si>
  <si>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</si>
  <si>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</si>
  <si>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</si>
  <si>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</si>
  <si>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</si>
  <si>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</si>
  <si>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</si>
  <si>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</si>
  <si>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</si>
  <si>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</si>
  <si>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</si>
  <si>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</si>
  <si>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</si>
  <si>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</si>
  <si>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</si>
  <si>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</si>
  <si>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</si>
  <si>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</si>
  <si>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</si>
  <si>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</si>
  <si>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Поиск рейса</t>
  </si>
  <si>
    <t>Бронирование билета</t>
  </si>
  <si>
    <t>Отмена бронирования</t>
  </si>
  <si>
    <t>Выбор рейса</t>
  </si>
  <si>
    <t>click_cancel_ckecked</t>
  </si>
  <si>
    <t>click_choose_flight</t>
  </si>
  <si>
    <t>click_find_flight</t>
  </si>
  <si>
    <t>click_itinerary</t>
  </si>
  <si>
    <t>click_sign_off</t>
  </si>
  <si>
    <t>Количество запросов одним пользователем в минуту</t>
  </si>
  <si>
    <t>click_book</t>
  </si>
  <si>
    <t>Профиль для поиска максимума</t>
  </si>
  <si>
    <t>Вторая ступень, нагрузка 400% от профиля, МАКСИМУМ</t>
  </si>
  <si>
    <t>Первая ступень,  нагрузка 200% от профиля</t>
  </si>
  <si>
    <t>Четвёртая ступень, нагрузка 800% от профиля</t>
  </si>
  <si>
    <t>Пятая ступень, нагрузка 1000% от профиля</t>
  </si>
  <si>
    <t>запросов в час</t>
  </si>
  <si>
    <t>Операция</t>
  </si>
  <si>
    <t>Профиль, Оп./ч</t>
  </si>
  <si>
    <t>Факт., Оп./ч</t>
  </si>
  <si>
    <t>операций в час</t>
  </si>
  <si>
    <t>Ступень максимума, операции</t>
  </si>
  <si>
    <t>Ступень пика, операции</t>
  </si>
  <si>
    <t>Третья ступень, нагрузка 600% от профиля, ПИК</t>
  </si>
  <si>
    <t>Соответствие профилю, отладочный сценарий</t>
  </si>
  <si>
    <t>Подтверждение максимума, нагрузка 400% от профиля</t>
  </si>
</sst>
</file>

<file path=xl/styles.xml><?xml version="1.0" encoding="utf-8"?>
<styleSheet xmlns="http://schemas.openxmlformats.org/spreadsheetml/2006/main">
  <numFmts count="1">
    <numFmt numFmtId="164" formatCode="0.0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9.35"/>
      <color theme="10"/>
      <name val="Calibri"/>
      <family val="2"/>
    </font>
    <font>
      <sz val="6"/>
      <color rgb="FF000000"/>
      <name val="Verdana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7" applyNumberFormat="0" applyAlignment="0" applyProtection="0"/>
    <xf numFmtId="0" fontId="17" fillId="7" borderId="8" applyNumberFormat="0" applyAlignment="0" applyProtection="0"/>
    <xf numFmtId="0" fontId="18" fillId="7" borderId="7" applyNumberFormat="0" applyAlignment="0" applyProtection="0"/>
    <xf numFmtId="0" fontId="19" fillId="0" borderId="9" applyNumberFormat="0" applyFill="0" applyAlignment="0" applyProtection="0"/>
    <xf numFmtId="0" fontId="20" fillId="8" borderId="10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0" fillId="5" borderId="2" xfId="0" applyFont="1" applyFill="1" applyBorder="1" applyAlignment="1">
      <alignment horizontal="center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1" fillId="0" borderId="3" xfId="0" applyNumberFormat="1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5" fillId="0" borderId="0" xfId="0" applyFont="1"/>
    <xf numFmtId="1" fontId="25" fillId="0" borderId="0" xfId="0" applyNumberFormat="1" applyFont="1"/>
    <xf numFmtId="9" fontId="25" fillId="0" borderId="0" xfId="0" applyNumberFormat="1" applyFont="1"/>
    <xf numFmtId="0" fontId="5" fillId="0" borderId="15" xfId="0" applyFont="1" applyBorder="1"/>
    <xf numFmtId="0" fontId="3" fillId="0" borderId="1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" fontId="5" fillId="0" borderId="15" xfId="0" applyNumberFormat="1" applyFont="1" applyBorder="1"/>
    <xf numFmtId="9" fontId="5" fillId="0" borderId="15" xfId="44" applyFont="1" applyBorder="1"/>
    <xf numFmtId="1" fontId="3" fillId="0" borderId="15" xfId="0" applyNumberFormat="1" applyFont="1" applyBorder="1" applyAlignment="1">
      <alignment horizontal="right" wrapText="1"/>
    </xf>
    <xf numFmtId="0" fontId="9" fillId="0" borderId="0" xfId="0" applyFont="1"/>
    <xf numFmtId="0" fontId="5" fillId="35" borderId="15" xfId="0" applyFont="1" applyFill="1" applyBorder="1"/>
    <xf numFmtId="9" fontId="0" fillId="0" borderId="0" xfId="0" applyNumberFormat="1"/>
    <xf numFmtId="9" fontId="0" fillId="5" borderId="15" xfId="0" applyNumberFormat="1" applyFill="1" applyBorder="1"/>
    <xf numFmtId="0" fontId="0" fillId="0" borderId="15" xfId="0" applyBorder="1" applyAlignment="1">
      <alignment vertical="center"/>
    </xf>
    <xf numFmtId="0" fontId="26" fillId="5" borderId="0" xfId="45" applyFill="1" applyAlignment="1" applyProtection="1">
      <alignment vertical="center"/>
    </xf>
    <xf numFmtId="0" fontId="27" fillId="5" borderId="0" xfId="0" applyFont="1" applyFill="1" applyAlignment="1">
      <alignment vertical="center" wrapText="1"/>
    </xf>
    <xf numFmtId="0" fontId="27" fillId="5" borderId="0" xfId="0" applyFont="1" applyFill="1" applyAlignment="1">
      <alignment vertical="center"/>
    </xf>
    <xf numFmtId="0" fontId="0" fillId="5" borderId="0" xfId="0" applyFill="1"/>
    <xf numFmtId="0" fontId="0" fillId="0" borderId="3" xfId="0" applyBorder="1"/>
    <xf numFmtId="0" fontId="0" fillId="5" borderId="20" xfId="0" applyFill="1" applyBorder="1"/>
    <xf numFmtId="0" fontId="0" fillId="0" borderId="3" xfId="0" quotePrefix="1" applyNumberForma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3" fillId="0" borderId="14" xfId="0" applyFont="1" applyFill="1" applyBorder="1" applyAlignment="1">
      <alignment horizontal="left" vertical="center" wrapText="1"/>
    </xf>
    <xf numFmtId="0" fontId="0" fillId="0" borderId="3" xfId="0" applyNumberFormat="1" applyBorder="1"/>
    <xf numFmtId="0" fontId="0" fillId="0" borderId="3" xfId="0" applyNumberFormat="1" applyBorder="1" applyAlignment="1">
      <alignment horizontal="left"/>
    </xf>
    <xf numFmtId="0" fontId="3" fillId="0" borderId="14" xfId="0" applyFont="1" applyBorder="1" applyAlignment="1">
      <alignment horizontal="left" vertical="center" wrapText="1"/>
    </xf>
    <xf numFmtId="0" fontId="9" fillId="0" borderId="2" xfId="4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10" fontId="10" fillId="0" borderId="2" xfId="0" applyNumberFormat="1" applyFont="1" applyBorder="1" applyAlignment="1">
      <alignment horizontal="center" vertical="top"/>
    </xf>
    <xf numFmtId="0" fontId="3" fillId="0" borderId="16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left"/>
    </xf>
    <xf numFmtId="0" fontId="0" fillId="0" borderId="0" xfId="0" applyBorder="1"/>
    <xf numFmtId="0" fontId="0" fillId="0" borderId="0" xfId="0" quotePrefix="1" applyNumberFormat="1" applyBorder="1"/>
    <xf numFmtId="0" fontId="27" fillId="5" borderId="0" xfId="0" applyFont="1" applyFill="1" applyBorder="1" applyAlignment="1">
      <alignment vertical="center"/>
    </xf>
    <xf numFmtId="0" fontId="0" fillId="5" borderId="0" xfId="0" applyFill="1" applyBorder="1"/>
    <xf numFmtId="0" fontId="26" fillId="5" borderId="0" xfId="45" applyFill="1" applyBorder="1" applyAlignment="1" applyProtection="1">
      <alignment vertical="center"/>
    </xf>
    <xf numFmtId="0" fontId="9" fillId="0" borderId="0" xfId="4" applyFont="1" applyFill="1" applyBorder="1" applyAlignment="1">
      <alignment horizontal="center" vertical="top"/>
    </xf>
  </cellXfs>
  <cellStyles count="46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45" builtinId="8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094.694318865739" createdVersion="3" refreshedVersion="3" minRefreshableVersion="3" recordCount="22">
  <cacheSource type="worksheet">
    <worksheetSource ref="A1:H23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ход из системы"/>
        <s v="Выбор рейса из найденных "/>
        <s v="Просмотр квитанций"/>
        <s v="Оплата билета"/>
        <s v="Отмена бронирования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72" maxValue="120"/>
    </cacheField>
    <cacheField name="одним пользователем в минуту" numFmtId="2">
      <sharedItems containsSemiMixedTypes="0" containsString="0" containsNumber="1" minValue="0.5" maxValue="0.83333333333333337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containsInteger="1" minValue="36" maxValue="1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Поиск рейса"/>
    <x v="0"/>
    <n v="1"/>
    <n v="1"/>
    <n v="100"/>
    <n v="0.6"/>
    <n v="60"/>
    <n v="36"/>
  </r>
  <r>
    <s v="Поиск рейса"/>
    <x v="1"/>
    <n v="1"/>
    <n v="1"/>
    <n v="100"/>
    <n v="0.6"/>
    <n v="60"/>
    <n v="36"/>
  </r>
  <r>
    <s v="Поиск рейса"/>
    <x v="2"/>
    <n v="1"/>
    <n v="1"/>
    <n v="100"/>
    <n v="0.6"/>
    <n v="60"/>
    <n v="36"/>
  </r>
  <r>
    <s v="Выбор рейса"/>
    <x v="0"/>
    <n v="1"/>
    <n v="3"/>
    <n v="120"/>
    <n v="0.5"/>
    <n v="60"/>
    <n v="90"/>
  </r>
  <r>
    <s v="Выбор рейса"/>
    <x v="1"/>
    <n v="1"/>
    <n v="3"/>
    <n v="120"/>
    <n v="0.5"/>
    <n v="60"/>
    <n v="90"/>
  </r>
  <r>
    <s v="Выбор рейса"/>
    <x v="3"/>
    <n v="1"/>
    <n v="3"/>
    <n v="120"/>
    <n v="0.5"/>
    <n v="60"/>
    <n v="90"/>
  </r>
  <r>
    <s v="Выбор рейса"/>
    <x v="2"/>
    <n v="1"/>
    <n v="3"/>
    <n v="120"/>
    <n v="0.5"/>
    <n v="60"/>
    <n v="90"/>
  </r>
  <r>
    <s v="Просмотр квитанций"/>
    <x v="0"/>
    <n v="1"/>
    <n v="2"/>
    <n v="72"/>
    <n v="0.83333333333333337"/>
    <n v="60"/>
    <n v="100"/>
  </r>
  <r>
    <s v="Просмотр квитанций"/>
    <x v="4"/>
    <n v="1"/>
    <n v="2"/>
    <n v="72"/>
    <n v="0.83333333333333337"/>
    <n v="60"/>
    <n v="100"/>
  </r>
  <r>
    <s v="Просмотр квитанций"/>
    <x v="2"/>
    <n v="1"/>
    <n v="2"/>
    <n v="72"/>
    <n v="0.83333333333333337"/>
    <n v="60"/>
    <n v="100"/>
  </r>
  <r>
    <s v="Бронирование билета"/>
    <x v="0"/>
    <n v="1"/>
    <n v="2"/>
    <n v="72"/>
    <n v="0.83333333333333337"/>
    <n v="60"/>
    <n v="100"/>
  </r>
  <r>
    <s v="Бронирование билета"/>
    <x v="1"/>
    <n v="1"/>
    <n v="2"/>
    <n v="72"/>
    <n v="0.83333333333333337"/>
    <n v="60"/>
    <n v="100"/>
  </r>
  <r>
    <s v="Бронирование билета"/>
    <x v="3"/>
    <n v="1"/>
    <n v="2"/>
    <n v="72"/>
    <n v="0.83333333333333337"/>
    <n v="60"/>
    <n v="100"/>
  </r>
  <r>
    <s v="Бронирование билета"/>
    <x v="5"/>
    <n v="1"/>
    <n v="2"/>
    <n v="72"/>
    <n v="0.83333333333333337"/>
    <n v="60"/>
    <n v="100"/>
  </r>
  <r>
    <s v="Бронирование билета"/>
    <x v="2"/>
    <n v="1"/>
    <n v="2"/>
    <n v="72"/>
    <n v="0.83333333333333337"/>
    <n v="60"/>
    <n v="100"/>
  </r>
  <r>
    <s v="Отмена бронирования"/>
    <x v="0"/>
    <n v="1"/>
    <n v="2"/>
    <n v="100"/>
    <n v="0.6"/>
    <n v="60"/>
    <n v="72"/>
  </r>
  <r>
    <s v="Отмена бронирования"/>
    <x v="1"/>
    <n v="1"/>
    <n v="2"/>
    <n v="100"/>
    <n v="0.6"/>
    <n v="60"/>
    <n v="72"/>
  </r>
  <r>
    <s v="Отмена бронирования"/>
    <x v="3"/>
    <n v="1"/>
    <n v="2"/>
    <n v="100"/>
    <n v="0.6"/>
    <n v="60"/>
    <n v="72"/>
  </r>
  <r>
    <s v="Отмена бронирования"/>
    <x v="5"/>
    <n v="1"/>
    <n v="2"/>
    <n v="100"/>
    <n v="0.6"/>
    <n v="60"/>
    <n v="72"/>
  </r>
  <r>
    <s v="Отмена бронирования"/>
    <x v="4"/>
    <n v="1"/>
    <n v="2"/>
    <n v="100"/>
    <n v="0.6"/>
    <n v="60"/>
    <n v="72"/>
  </r>
  <r>
    <s v="Отмена бронирования"/>
    <x v="6"/>
    <n v="1"/>
    <n v="2"/>
    <n v="100"/>
    <n v="0.6"/>
    <n v="60"/>
    <n v="72"/>
  </r>
  <r>
    <s v="Отмена бронирования"/>
    <x v="2"/>
    <n v="1"/>
    <n v="2"/>
    <n v="100"/>
    <n v="0.6"/>
    <n v="60"/>
    <n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3"/>
        <item x="2"/>
        <item x="1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H6" totalsRowShown="0">
  <autoFilter ref="A1:H6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H6" totalsRowShown="0">
  <autoFilter ref="A1:H6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H6" totalsRowShown="0">
  <autoFilter ref="A1:H6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"/>
    </sheetView>
  </sheetViews>
  <sheetFormatPr defaultRowHeight="14.4"/>
  <cols>
    <col min="1" max="1" width="32" customWidth="1"/>
    <col min="2" max="2" width="21.6640625" customWidth="1"/>
    <col min="6" max="6" width="30.21875" customWidth="1"/>
    <col min="7" max="7" width="22" customWidth="1"/>
  </cols>
  <sheetData>
    <row r="1" spans="1:8">
      <c r="A1" t="s">
        <v>18</v>
      </c>
      <c r="B1" t="s">
        <v>19</v>
      </c>
      <c r="C1" t="s">
        <v>20</v>
      </c>
      <c r="D1" t="s">
        <v>25</v>
      </c>
      <c r="E1" t="s">
        <v>35</v>
      </c>
      <c r="F1" t="s">
        <v>36</v>
      </c>
      <c r="G1" t="s">
        <v>37</v>
      </c>
      <c r="H1" t="s">
        <v>4</v>
      </c>
    </row>
    <row r="2" spans="1:8">
      <c r="A2" t="s">
        <v>5</v>
      </c>
      <c r="B2" t="s">
        <v>0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>
      <c r="A3" t="s">
        <v>8</v>
      </c>
      <c r="B3" t="s">
        <v>0</v>
      </c>
      <c r="C3">
        <v>1</v>
      </c>
      <c r="D3">
        <v>2</v>
      </c>
      <c r="E3">
        <v>150</v>
      </c>
      <c r="F3">
        <v>0.4</v>
      </c>
      <c r="G3">
        <v>60</v>
      </c>
      <c r="H3">
        <v>48</v>
      </c>
    </row>
    <row r="4" spans="1:8">
      <c r="A4" t="s">
        <v>7</v>
      </c>
      <c r="B4" t="s">
        <v>0</v>
      </c>
      <c r="C4">
        <v>1</v>
      </c>
      <c r="D4">
        <v>1</v>
      </c>
      <c r="E4">
        <v>30</v>
      </c>
      <c r="F4">
        <v>2</v>
      </c>
      <c r="G4">
        <v>60</v>
      </c>
      <c r="H4">
        <v>120</v>
      </c>
    </row>
    <row r="5" spans="1:8">
      <c r="A5" t="s">
        <v>11</v>
      </c>
      <c r="B5" t="s">
        <v>0</v>
      </c>
      <c r="C5">
        <v>1</v>
      </c>
      <c r="D5">
        <v>2</v>
      </c>
      <c r="E5">
        <v>72</v>
      </c>
      <c r="F5">
        <v>0.83333333333333337</v>
      </c>
      <c r="G5">
        <v>60</v>
      </c>
      <c r="H5">
        <v>100</v>
      </c>
    </row>
    <row r="6" spans="1:8">
      <c r="A6" t="s">
        <v>6</v>
      </c>
      <c r="B6" t="s">
        <v>0</v>
      </c>
      <c r="C6">
        <v>1</v>
      </c>
      <c r="D6">
        <v>1</v>
      </c>
      <c r="E6">
        <v>46</v>
      </c>
      <c r="F6">
        <v>1.3043478260869565</v>
      </c>
      <c r="G6">
        <v>60</v>
      </c>
      <c r="H6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"/>
    </sheetView>
  </sheetViews>
  <sheetFormatPr defaultRowHeight="14.4"/>
  <cols>
    <col min="1" max="1" width="42.21875" customWidth="1"/>
    <col min="2" max="2" width="22.77734375" customWidth="1"/>
    <col min="6" max="6" width="30.21875" customWidth="1"/>
    <col min="7" max="7" width="22" customWidth="1"/>
  </cols>
  <sheetData>
    <row r="1" spans="1:8">
      <c r="A1" t="s">
        <v>18</v>
      </c>
      <c r="B1" t="s">
        <v>19</v>
      </c>
      <c r="C1" t="s">
        <v>20</v>
      </c>
      <c r="D1" t="s">
        <v>25</v>
      </c>
      <c r="E1" t="s">
        <v>35</v>
      </c>
      <c r="F1" t="s">
        <v>36</v>
      </c>
      <c r="G1" t="s">
        <v>37</v>
      </c>
      <c r="H1" t="s">
        <v>4</v>
      </c>
    </row>
    <row r="2" spans="1:8">
      <c r="A2" t="s">
        <v>5</v>
      </c>
      <c r="B2" t="s">
        <v>0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>
      <c r="A3" t="s">
        <v>8</v>
      </c>
      <c r="B3" t="s">
        <v>0</v>
      </c>
      <c r="C3">
        <v>1</v>
      </c>
      <c r="D3">
        <v>2</v>
      </c>
      <c r="E3">
        <v>150</v>
      </c>
      <c r="F3">
        <v>0.4</v>
      </c>
      <c r="G3">
        <v>60</v>
      </c>
      <c r="H3">
        <v>48</v>
      </c>
    </row>
    <row r="4" spans="1:8">
      <c r="A4" t="s">
        <v>7</v>
      </c>
      <c r="B4" t="s">
        <v>0</v>
      </c>
      <c r="C4">
        <v>1</v>
      </c>
      <c r="D4">
        <v>1</v>
      </c>
      <c r="E4">
        <v>30</v>
      </c>
      <c r="F4">
        <v>2</v>
      </c>
      <c r="G4">
        <v>60</v>
      </c>
      <c r="H4">
        <v>120</v>
      </c>
    </row>
    <row r="5" spans="1:8">
      <c r="A5" t="s">
        <v>11</v>
      </c>
      <c r="B5" t="s">
        <v>0</v>
      </c>
      <c r="C5">
        <v>1</v>
      </c>
      <c r="D5">
        <v>2</v>
      </c>
      <c r="E5">
        <v>72</v>
      </c>
      <c r="F5">
        <v>0.83333333333333337</v>
      </c>
      <c r="G5">
        <v>60</v>
      </c>
      <c r="H5">
        <v>100</v>
      </c>
    </row>
    <row r="6" spans="1:8">
      <c r="A6" t="s">
        <v>6</v>
      </c>
      <c r="B6" t="s">
        <v>0</v>
      </c>
      <c r="C6">
        <v>1</v>
      </c>
      <c r="D6">
        <v>1</v>
      </c>
      <c r="E6">
        <v>46</v>
      </c>
      <c r="F6">
        <v>1.3043478260869565</v>
      </c>
      <c r="G6">
        <v>60</v>
      </c>
      <c r="H6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32" sqref="A32"/>
    </sheetView>
  </sheetViews>
  <sheetFormatPr defaultRowHeight="14.4"/>
  <cols>
    <col min="1" max="1" width="12.44140625" customWidth="1"/>
    <col min="2" max="2" width="14.21875" customWidth="1"/>
    <col min="6" max="6" width="30.21875" customWidth="1"/>
    <col min="7" max="7" width="22" customWidth="1"/>
  </cols>
  <sheetData>
    <row r="1" spans="1:8">
      <c r="A1" t="s">
        <v>18</v>
      </c>
      <c r="B1" t="s">
        <v>19</v>
      </c>
      <c r="C1" t="s">
        <v>20</v>
      </c>
      <c r="D1" t="s">
        <v>25</v>
      </c>
      <c r="E1" t="s">
        <v>35</v>
      </c>
      <c r="F1" t="s">
        <v>36</v>
      </c>
      <c r="G1" t="s">
        <v>37</v>
      </c>
      <c r="H1" t="s">
        <v>4</v>
      </c>
    </row>
    <row r="2" spans="1:8">
      <c r="A2" t="s">
        <v>5</v>
      </c>
      <c r="B2" t="s">
        <v>0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>
      <c r="A3" t="s">
        <v>8</v>
      </c>
      <c r="B3" t="s">
        <v>0</v>
      </c>
      <c r="C3">
        <v>1</v>
      </c>
      <c r="D3">
        <v>2</v>
      </c>
      <c r="E3">
        <v>150</v>
      </c>
      <c r="F3">
        <v>0.4</v>
      </c>
      <c r="G3">
        <v>60</v>
      </c>
      <c r="H3">
        <v>48</v>
      </c>
    </row>
    <row r="4" spans="1:8">
      <c r="A4" t="s">
        <v>7</v>
      </c>
      <c r="B4" t="s">
        <v>0</v>
      </c>
      <c r="C4">
        <v>1</v>
      </c>
      <c r="D4">
        <v>1</v>
      </c>
      <c r="E4">
        <v>30</v>
      </c>
      <c r="F4">
        <v>2</v>
      </c>
      <c r="G4">
        <v>60</v>
      </c>
      <c r="H4">
        <v>120</v>
      </c>
    </row>
    <row r="5" spans="1:8">
      <c r="A5" t="s">
        <v>11</v>
      </c>
      <c r="B5" t="s">
        <v>0</v>
      </c>
      <c r="C5">
        <v>1</v>
      </c>
      <c r="D5">
        <v>2</v>
      </c>
      <c r="E5">
        <v>72</v>
      </c>
      <c r="F5">
        <v>0.83333333333333337</v>
      </c>
      <c r="G5">
        <v>60</v>
      </c>
      <c r="H5">
        <v>100</v>
      </c>
    </row>
    <row r="6" spans="1:8">
      <c r="A6" t="s">
        <v>6</v>
      </c>
      <c r="B6" t="s">
        <v>0</v>
      </c>
      <c r="C6">
        <v>1</v>
      </c>
      <c r="D6">
        <v>1</v>
      </c>
      <c r="E6">
        <v>46</v>
      </c>
      <c r="F6">
        <v>1.3043478260869565</v>
      </c>
      <c r="G6">
        <v>60</v>
      </c>
      <c r="H6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X61"/>
  <sheetViews>
    <sheetView topLeftCell="A13" zoomScale="85" zoomScaleNormal="85" workbookViewId="0">
      <selection activeCell="E33" sqref="E33"/>
    </sheetView>
  </sheetViews>
  <sheetFormatPr defaultColWidth="11.5546875" defaultRowHeight="14.4"/>
  <cols>
    <col min="1" max="1" width="40.6640625" customWidth="1"/>
    <col min="2" max="2" width="26.88671875" customWidth="1"/>
    <col min="6" max="6" width="31.5546875" customWidth="1"/>
    <col min="7" max="7" width="21.6640625" customWidth="1"/>
    <col min="9" max="9" width="36.21875" customWidth="1"/>
    <col min="10" max="10" width="21.33203125" customWidth="1"/>
    <col min="11" max="11" width="18.6640625" customWidth="1"/>
    <col min="12" max="12" width="27.44140625" bestFit="1" customWidth="1"/>
    <col min="13" max="13" width="42.44140625" customWidth="1"/>
    <col min="16" max="16" width="20" customWidth="1"/>
    <col min="19" max="19" width="51.21875" customWidth="1"/>
    <col min="20" max="20" width="30.44140625" customWidth="1"/>
    <col min="21" max="21" width="24.77734375" customWidth="1"/>
    <col min="23" max="23" width="11.5546875" customWidth="1"/>
  </cols>
  <sheetData>
    <row r="1" spans="1:24" ht="15" thickBot="1">
      <c r="A1" s="28" t="s">
        <v>18</v>
      </c>
      <c r="B1" s="28" t="s">
        <v>19</v>
      </c>
      <c r="C1" s="28" t="s">
        <v>20</v>
      </c>
      <c r="D1" s="28" t="s">
        <v>25</v>
      </c>
      <c r="E1" s="28" t="s">
        <v>35</v>
      </c>
      <c r="F1" s="28" t="s">
        <v>36</v>
      </c>
      <c r="G1" s="28" t="s">
        <v>37</v>
      </c>
      <c r="H1" s="28" t="s">
        <v>4</v>
      </c>
      <c r="I1" s="7" t="s">
        <v>21</v>
      </c>
      <c r="J1" t="s">
        <v>33</v>
      </c>
      <c r="M1" t="s">
        <v>24</v>
      </c>
      <c r="N1" t="s">
        <v>26</v>
      </c>
      <c r="O1" t="s">
        <v>27</v>
      </c>
      <c r="P1" t="s">
        <v>38</v>
      </c>
      <c r="Q1" t="s">
        <v>28</v>
      </c>
      <c r="R1" t="s">
        <v>25</v>
      </c>
      <c r="S1" t="s">
        <v>48</v>
      </c>
      <c r="T1" s="16" t="s">
        <v>29</v>
      </c>
      <c r="U1" s="16" t="s">
        <v>30</v>
      </c>
      <c r="V1" s="16" t="s">
        <v>31</v>
      </c>
      <c r="X1" t="s">
        <v>32</v>
      </c>
    </row>
    <row r="2" spans="1:24">
      <c r="A2" t="s">
        <v>39</v>
      </c>
      <c r="B2" t="s">
        <v>0</v>
      </c>
      <c r="C2">
        <v>1</v>
      </c>
      <c r="D2" s="13">
        <f t="shared" ref="D2:D23" si="0">VLOOKUP(A2,$M$1:$W$8,6,FALSE)</f>
        <v>1</v>
      </c>
      <c r="E2">
        <f>VLOOKUP(A2,$M$1:$W$8,5,FALSE)</f>
        <v>100</v>
      </c>
      <c r="F2" s="12">
        <f>60/E2</f>
        <v>0.6</v>
      </c>
      <c r="G2">
        <v>60</v>
      </c>
      <c r="H2" s="11">
        <f>D2*F2*G2</f>
        <v>36</v>
      </c>
      <c r="I2" s="8" t="s">
        <v>0</v>
      </c>
      <c r="J2" s="6">
        <v>398</v>
      </c>
      <c r="K2" s="6"/>
      <c r="M2" t="s">
        <v>39</v>
      </c>
      <c r="N2" s="10">
        <v>2.7408999999999999</v>
      </c>
      <c r="O2" s="10">
        <v>20.001000000000001</v>
      </c>
      <c r="P2" s="10">
        <f>N2+O2</f>
        <v>22.741900000000001</v>
      </c>
      <c r="Q2" s="9">
        <v>100</v>
      </c>
      <c r="R2" s="9">
        <v>1</v>
      </c>
      <c r="S2" s="10">
        <f>60/(Q2)</f>
        <v>0.6</v>
      </c>
      <c r="T2" s="16">
        <v>20</v>
      </c>
      <c r="U2" s="17">
        <f>ROUND(R2*S2*T2,0)</f>
        <v>12</v>
      </c>
      <c r="V2" s="18">
        <f>R2/W$2</f>
        <v>0.1</v>
      </c>
      <c r="W2">
        <f>SUM(R2:R6)</f>
        <v>10</v>
      </c>
    </row>
    <row r="3" spans="1:24">
      <c r="A3" t="s">
        <v>39</v>
      </c>
      <c r="B3" t="s">
        <v>9</v>
      </c>
      <c r="C3">
        <v>1</v>
      </c>
      <c r="D3" s="14">
        <f t="shared" si="0"/>
        <v>1</v>
      </c>
      <c r="E3">
        <f t="shared" ref="E3:E23" si="1">VLOOKUP(A3,$M$1:$W$8,5,FALSE)</f>
        <v>100</v>
      </c>
      <c r="F3" s="12">
        <f t="shared" ref="F3:F23" si="2">60/E3</f>
        <v>0.6</v>
      </c>
      <c r="G3">
        <v>60</v>
      </c>
      <c r="H3" s="11">
        <f t="shared" ref="H3:H23" si="3">D3*F3*G3</f>
        <v>36</v>
      </c>
      <c r="I3" s="8" t="s">
        <v>10</v>
      </c>
      <c r="J3" s="6">
        <v>262</v>
      </c>
      <c r="K3" s="6"/>
      <c r="M3" t="s">
        <v>42</v>
      </c>
      <c r="N3" s="10">
        <v>3.0865</v>
      </c>
      <c r="O3" s="10">
        <v>25.001200000000001</v>
      </c>
      <c r="P3" s="10">
        <f t="shared" ref="P3:P6" si="4">N3+O3</f>
        <v>28.087700000000002</v>
      </c>
      <c r="Q3" s="9">
        <v>120</v>
      </c>
      <c r="R3" s="9">
        <v>3</v>
      </c>
      <c r="S3" s="10">
        <f t="shared" ref="S3:S6" si="5">60/(Q3)</f>
        <v>0.5</v>
      </c>
      <c r="T3" s="16">
        <v>20</v>
      </c>
      <c r="U3" s="17">
        <f t="shared" ref="U3:U6" si="6">ROUND(R3*S3*T3,0)</f>
        <v>30</v>
      </c>
      <c r="V3" s="18">
        <f t="shared" ref="V3:V6" si="7">R3/W$2</f>
        <v>0.3</v>
      </c>
    </row>
    <row r="4" spans="1:24" ht="15" thickBot="1">
      <c r="A4" t="s">
        <v>39</v>
      </c>
      <c r="B4" t="s">
        <v>3</v>
      </c>
      <c r="C4">
        <v>1</v>
      </c>
      <c r="D4" s="15">
        <f t="shared" si="0"/>
        <v>1</v>
      </c>
      <c r="E4">
        <f t="shared" si="1"/>
        <v>100</v>
      </c>
      <c r="F4" s="12">
        <f t="shared" si="2"/>
        <v>0.6</v>
      </c>
      <c r="G4">
        <v>60</v>
      </c>
      <c r="H4" s="11">
        <f>D4*F4*G4</f>
        <v>36</v>
      </c>
      <c r="I4" s="8" t="s">
        <v>3</v>
      </c>
      <c r="J4" s="6">
        <v>398</v>
      </c>
      <c r="K4" s="6"/>
      <c r="M4" t="s">
        <v>2</v>
      </c>
      <c r="N4" s="10">
        <v>2.5522999999999998</v>
      </c>
      <c r="O4" s="10">
        <v>15.000500000000001</v>
      </c>
      <c r="P4" s="10">
        <f t="shared" si="4"/>
        <v>17.552800000000001</v>
      </c>
      <c r="Q4" s="9">
        <v>72</v>
      </c>
      <c r="R4" s="9">
        <v>2</v>
      </c>
      <c r="S4" s="10">
        <f t="shared" si="5"/>
        <v>0.83333333333333337</v>
      </c>
      <c r="T4" s="16">
        <v>20</v>
      </c>
      <c r="U4" s="17">
        <f t="shared" si="6"/>
        <v>33</v>
      </c>
      <c r="V4" s="18">
        <f t="shared" si="7"/>
        <v>0.2</v>
      </c>
    </row>
    <row r="5" spans="1:24">
      <c r="A5" t="s">
        <v>42</v>
      </c>
      <c r="B5" t="s">
        <v>0</v>
      </c>
      <c r="C5">
        <v>1</v>
      </c>
      <c r="D5" s="13">
        <f t="shared" si="0"/>
        <v>3</v>
      </c>
      <c r="E5">
        <f t="shared" si="1"/>
        <v>120</v>
      </c>
      <c r="F5" s="12">
        <f t="shared" si="2"/>
        <v>0.5</v>
      </c>
      <c r="G5">
        <v>60</v>
      </c>
      <c r="H5" s="11">
        <f>D5*F5*G5</f>
        <v>90</v>
      </c>
      <c r="I5" s="8" t="s">
        <v>9</v>
      </c>
      <c r="J5" s="6">
        <v>298</v>
      </c>
      <c r="K5" s="6"/>
      <c r="M5" t="s">
        <v>40</v>
      </c>
      <c r="N5" s="10">
        <v>3.3239000000000001</v>
      </c>
      <c r="O5" s="10">
        <v>30.001799999999999</v>
      </c>
      <c r="P5" s="10">
        <f t="shared" si="4"/>
        <v>33.325699999999998</v>
      </c>
      <c r="Q5" s="9">
        <v>72</v>
      </c>
      <c r="R5" s="9">
        <v>2</v>
      </c>
      <c r="S5" s="10">
        <f t="shared" si="5"/>
        <v>0.83333333333333337</v>
      </c>
      <c r="T5" s="16">
        <v>20</v>
      </c>
      <c r="U5" s="17">
        <f t="shared" si="6"/>
        <v>33</v>
      </c>
      <c r="V5" s="18">
        <f t="shared" si="7"/>
        <v>0.2</v>
      </c>
    </row>
    <row r="6" spans="1:24">
      <c r="A6" t="s">
        <v>42</v>
      </c>
      <c r="B6" t="s">
        <v>9</v>
      </c>
      <c r="C6">
        <v>1</v>
      </c>
      <c r="D6" s="14">
        <f>VLOOKUP(A6,$M$1:$W$8,6,FALSE)</f>
        <v>3</v>
      </c>
      <c r="E6">
        <f t="shared" si="1"/>
        <v>120</v>
      </c>
      <c r="F6" s="12">
        <f t="shared" si="2"/>
        <v>0.5</v>
      </c>
      <c r="G6">
        <v>60</v>
      </c>
      <c r="H6" s="11">
        <f>D6*F6*G6</f>
        <v>90</v>
      </c>
      <c r="I6" s="8" t="s">
        <v>1</v>
      </c>
      <c r="J6" s="6">
        <v>172</v>
      </c>
      <c r="K6" s="6"/>
      <c r="M6" t="s">
        <v>41</v>
      </c>
      <c r="N6" s="10">
        <v>4.899</v>
      </c>
      <c r="O6" s="10">
        <v>40.0017</v>
      </c>
      <c r="P6" s="10">
        <f t="shared" si="4"/>
        <v>44.900700000000001</v>
      </c>
      <c r="Q6" s="9">
        <v>100</v>
      </c>
      <c r="R6" s="9">
        <v>2</v>
      </c>
      <c r="S6" s="10">
        <f t="shared" si="5"/>
        <v>0.6</v>
      </c>
      <c r="T6" s="16">
        <v>20</v>
      </c>
      <c r="U6" s="17">
        <f t="shared" si="6"/>
        <v>24</v>
      </c>
      <c r="V6" s="18">
        <f t="shared" si="7"/>
        <v>0.2</v>
      </c>
    </row>
    <row r="7" spans="1:24">
      <c r="A7" t="s">
        <v>42</v>
      </c>
      <c r="B7" t="s">
        <v>10</v>
      </c>
      <c r="C7">
        <v>1</v>
      </c>
      <c r="D7" s="14">
        <f t="shared" si="0"/>
        <v>3</v>
      </c>
      <c r="E7">
        <f t="shared" si="1"/>
        <v>120</v>
      </c>
      <c r="F7" s="12">
        <f t="shared" si="2"/>
        <v>0.5</v>
      </c>
      <c r="G7">
        <v>60</v>
      </c>
      <c r="H7" s="11">
        <f t="shared" si="3"/>
        <v>90</v>
      </c>
      <c r="I7" s="8" t="s">
        <v>2</v>
      </c>
      <c r="J7" s="6">
        <v>172</v>
      </c>
      <c r="K7" s="6"/>
      <c r="T7" s="16"/>
      <c r="U7" s="17">
        <f>SUM(U2:U6)</f>
        <v>132</v>
      </c>
      <c r="V7" s="18">
        <f>SUM(V2:V6)</f>
        <v>1</v>
      </c>
    </row>
    <row r="8" spans="1:24" ht="15" thickBot="1">
      <c r="A8" t="s">
        <v>42</v>
      </c>
      <c r="B8" t="s">
        <v>3</v>
      </c>
      <c r="C8">
        <v>1</v>
      </c>
      <c r="D8" s="15">
        <f t="shared" si="0"/>
        <v>3</v>
      </c>
      <c r="E8">
        <f t="shared" si="1"/>
        <v>120</v>
      </c>
      <c r="F8" s="12">
        <f t="shared" si="2"/>
        <v>0.5</v>
      </c>
      <c r="G8">
        <v>60</v>
      </c>
      <c r="H8" s="11">
        <f t="shared" si="3"/>
        <v>90</v>
      </c>
      <c r="I8" s="8" t="s">
        <v>41</v>
      </c>
      <c r="J8" s="6">
        <v>72</v>
      </c>
      <c r="K8" s="6"/>
      <c r="N8" s="6"/>
    </row>
    <row r="9" spans="1:24">
      <c r="A9" t="s">
        <v>2</v>
      </c>
      <c r="B9" t="s">
        <v>0</v>
      </c>
      <c r="C9">
        <v>1</v>
      </c>
      <c r="D9" s="13">
        <f t="shared" si="0"/>
        <v>2</v>
      </c>
      <c r="E9">
        <f t="shared" si="1"/>
        <v>72</v>
      </c>
      <c r="F9" s="12">
        <f t="shared" si="2"/>
        <v>0.83333333333333337</v>
      </c>
      <c r="G9">
        <v>60</v>
      </c>
      <c r="H9" s="11">
        <f t="shared" si="3"/>
        <v>100</v>
      </c>
      <c r="I9" s="8" t="s">
        <v>22</v>
      </c>
      <c r="J9" s="6">
        <v>1772</v>
      </c>
      <c r="K9" s="6"/>
    </row>
    <row r="10" spans="1:24">
      <c r="A10" t="s">
        <v>2</v>
      </c>
      <c r="B10" t="s">
        <v>2</v>
      </c>
      <c r="C10">
        <v>1</v>
      </c>
      <c r="D10" s="14">
        <f t="shared" si="0"/>
        <v>2</v>
      </c>
      <c r="E10">
        <f t="shared" si="1"/>
        <v>72</v>
      </c>
      <c r="F10" s="12">
        <f t="shared" si="2"/>
        <v>0.83333333333333337</v>
      </c>
      <c r="G10">
        <v>60</v>
      </c>
      <c r="H10" s="11">
        <f t="shared" si="3"/>
        <v>100</v>
      </c>
    </row>
    <row r="11" spans="1:24" ht="15" thickBot="1">
      <c r="A11" t="s">
        <v>2</v>
      </c>
      <c r="B11" t="s">
        <v>3</v>
      </c>
      <c r="C11">
        <v>1</v>
      </c>
      <c r="D11" s="15">
        <f t="shared" si="0"/>
        <v>2</v>
      </c>
      <c r="E11">
        <f t="shared" si="1"/>
        <v>72</v>
      </c>
      <c r="F11" s="12">
        <f t="shared" si="2"/>
        <v>0.83333333333333337</v>
      </c>
      <c r="G11">
        <v>60</v>
      </c>
      <c r="H11" s="11">
        <f t="shared" si="3"/>
        <v>100</v>
      </c>
    </row>
    <row r="12" spans="1:24">
      <c r="A12" t="s">
        <v>40</v>
      </c>
      <c r="B12" t="s">
        <v>0</v>
      </c>
      <c r="C12">
        <v>1</v>
      </c>
      <c r="D12" s="13">
        <f t="shared" si="0"/>
        <v>2</v>
      </c>
      <c r="E12">
        <f t="shared" si="1"/>
        <v>72</v>
      </c>
      <c r="F12" s="12">
        <f t="shared" si="2"/>
        <v>0.83333333333333337</v>
      </c>
      <c r="G12">
        <v>60</v>
      </c>
      <c r="H12" s="11">
        <f t="shared" si="3"/>
        <v>100</v>
      </c>
    </row>
    <row r="13" spans="1:24">
      <c r="A13" t="s">
        <v>40</v>
      </c>
      <c r="B13" t="s">
        <v>9</v>
      </c>
      <c r="C13">
        <v>1</v>
      </c>
      <c r="D13" s="14">
        <f t="shared" si="0"/>
        <v>2</v>
      </c>
      <c r="E13">
        <f t="shared" si="1"/>
        <v>72</v>
      </c>
      <c r="F13" s="12">
        <f t="shared" si="2"/>
        <v>0.83333333333333337</v>
      </c>
      <c r="G13">
        <v>60</v>
      </c>
      <c r="H13" s="11">
        <f t="shared" si="3"/>
        <v>100</v>
      </c>
    </row>
    <row r="14" spans="1:24">
      <c r="A14" t="s">
        <v>40</v>
      </c>
      <c r="B14" t="s">
        <v>10</v>
      </c>
      <c r="C14">
        <v>1</v>
      </c>
      <c r="D14" s="14">
        <f t="shared" si="0"/>
        <v>2</v>
      </c>
      <c r="E14">
        <f t="shared" si="1"/>
        <v>72</v>
      </c>
      <c r="F14" s="12">
        <f t="shared" si="2"/>
        <v>0.83333333333333337</v>
      </c>
      <c r="G14">
        <v>60</v>
      </c>
      <c r="H14" s="11">
        <f t="shared" si="3"/>
        <v>100</v>
      </c>
    </row>
    <row r="15" spans="1:24">
      <c r="A15" t="s">
        <v>40</v>
      </c>
      <c r="B15" t="s">
        <v>1</v>
      </c>
      <c r="C15">
        <v>1</v>
      </c>
      <c r="D15" s="14">
        <f t="shared" si="0"/>
        <v>2</v>
      </c>
      <c r="E15">
        <f t="shared" si="1"/>
        <v>72</v>
      </c>
      <c r="F15" s="12">
        <f t="shared" si="2"/>
        <v>0.83333333333333337</v>
      </c>
      <c r="G15">
        <v>60</v>
      </c>
      <c r="H15" s="11">
        <f t="shared" si="3"/>
        <v>100</v>
      </c>
    </row>
    <row r="16" spans="1:24" ht="15" thickBot="1">
      <c r="A16" t="s">
        <v>40</v>
      </c>
      <c r="B16" t="s">
        <v>3</v>
      </c>
      <c r="C16">
        <v>1</v>
      </c>
      <c r="D16" s="15">
        <f t="shared" si="0"/>
        <v>2</v>
      </c>
      <c r="E16">
        <f t="shared" si="1"/>
        <v>72</v>
      </c>
      <c r="F16" s="12">
        <f t="shared" si="2"/>
        <v>0.83333333333333337</v>
      </c>
      <c r="G16">
        <v>60</v>
      </c>
      <c r="H16" s="11">
        <f t="shared" si="3"/>
        <v>100</v>
      </c>
    </row>
    <row r="17" spans="1:11">
      <c r="A17" t="s">
        <v>41</v>
      </c>
      <c r="B17" t="s">
        <v>0</v>
      </c>
      <c r="C17">
        <v>1</v>
      </c>
      <c r="D17" s="13">
        <f t="shared" si="0"/>
        <v>2</v>
      </c>
      <c r="E17">
        <f t="shared" si="1"/>
        <v>100</v>
      </c>
      <c r="F17" s="12">
        <f t="shared" si="2"/>
        <v>0.6</v>
      </c>
      <c r="G17">
        <v>60</v>
      </c>
      <c r="H17" s="11">
        <f t="shared" si="3"/>
        <v>72</v>
      </c>
    </row>
    <row r="18" spans="1:11">
      <c r="A18" t="s">
        <v>41</v>
      </c>
      <c r="B18" t="s">
        <v>9</v>
      </c>
      <c r="C18">
        <v>1</v>
      </c>
      <c r="D18" s="14">
        <f t="shared" si="0"/>
        <v>2</v>
      </c>
      <c r="E18">
        <f t="shared" si="1"/>
        <v>100</v>
      </c>
      <c r="F18" s="12">
        <f t="shared" si="2"/>
        <v>0.6</v>
      </c>
      <c r="G18">
        <v>60</v>
      </c>
      <c r="H18" s="11">
        <f t="shared" si="3"/>
        <v>72</v>
      </c>
    </row>
    <row r="19" spans="1:11">
      <c r="A19" t="s">
        <v>41</v>
      </c>
      <c r="B19" t="s">
        <v>10</v>
      </c>
      <c r="C19">
        <v>1</v>
      </c>
      <c r="D19" s="14">
        <f t="shared" si="0"/>
        <v>2</v>
      </c>
      <c r="E19">
        <f t="shared" si="1"/>
        <v>100</v>
      </c>
      <c r="F19" s="12">
        <f t="shared" si="2"/>
        <v>0.6</v>
      </c>
      <c r="G19">
        <v>60</v>
      </c>
      <c r="H19" s="11">
        <f t="shared" si="3"/>
        <v>72</v>
      </c>
    </row>
    <row r="20" spans="1:11">
      <c r="A20" t="s">
        <v>41</v>
      </c>
      <c r="B20" t="s">
        <v>1</v>
      </c>
      <c r="C20">
        <v>1</v>
      </c>
      <c r="D20" s="14">
        <f>VLOOKUP(A20,$M$1:$W$8,6,FALSE)</f>
        <v>2</v>
      </c>
      <c r="E20">
        <f>VLOOKUP(A20,$M$1:$W$8,5,FALSE)</f>
        <v>100</v>
      </c>
      <c r="F20" s="12">
        <f t="shared" si="2"/>
        <v>0.6</v>
      </c>
      <c r="G20">
        <v>60</v>
      </c>
      <c r="H20" s="11">
        <f t="shared" si="3"/>
        <v>72</v>
      </c>
    </row>
    <row r="21" spans="1:11">
      <c r="A21" t="s">
        <v>41</v>
      </c>
      <c r="B21" t="s">
        <v>2</v>
      </c>
      <c r="C21">
        <v>1</v>
      </c>
      <c r="D21" s="14">
        <f t="shared" si="0"/>
        <v>2</v>
      </c>
      <c r="E21">
        <f t="shared" si="1"/>
        <v>100</v>
      </c>
      <c r="F21" s="12">
        <f t="shared" si="2"/>
        <v>0.6</v>
      </c>
      <c r="G21">
        <v>60</v>
      </c>
      <c r="H21" s="11">
        <f t="shared" si="3"/>
        <v>72</v>
      </c>
    </row>
    <row r="22" spans="1:11">
      <c r="A22" t="s">
        <v>41</v>
      </c>
      <c r="B22" t="s">
        <v>41</v>
      </c>
      <c r="C22">
        <v>1</v>
      </c>
      <c r="D22" s="14">
        <f t="shared" si="0"/>
        <v>2</v>
      </c>
      <c r="E22">
        <f t="shared" si="1"/>
        <v>100</v>
      </c>
      <c r="F22" s="12">
        <f t="shared" si="2"/>
        <v>0.6</v>
      </c>
      <c r="G22">
        <v>60</v>
      </c>
      <c r="H22" s="11">
        <f t="shared" si="3"/>
        <v>72</v>
      </c>
    </row>
    <row r="23" spans="1:11" ht="15" thickBot="1">
      <c r="A23" t="s">
        <v>41</v>
      </c>
      <c r="B23" t="s">
        <v>3</v>
      </c>
      <c r="C23">
        <v>1</v>
      </c>
      <c r="D23" s="15">
        <f t="shared" si="0"/>
        <v>2</v>
      </c>
      <c r="E23">
        <f t="shared" si="1"/>
        <v>100</v>
      </c>
      <c r="F23" s="12">
        <f t="shared" si="2"/>
        <v>0.6</v>
      </c>
      <c r="G23">
        <v>60</v>
      </c>
      <c r="H23" s="11">
        <f t="shared" si="3"/>
        <v>72</v>
      </c>
    </row>
    <row r="24" spans="1:11" ht="15" thickBot="1"/>
    <row r="25" spans="1:11" ht="18.600000000000001" thickBot="1">
      <c r="A25" s="43" t="s">
        <v>23</v>
      </c>
      <c r="B25" s="44"/>
      <c r="C25" s="19" t="s">
        <v>34</v>
      </c>
      <c r="D25" s="32"/>
      <c r="E25" s="43" t="s">
        <v>63</v>
      </c>
      <c r="F25" s="56"/>
      <c r="G25" s="44"/>
      <c r="I25" s="57"/>
      <c r="J25" s="58"/>
      <c r="K25" s="59"/>
    </row>
    <row r="26" spans="1:11" ht="18.600000000000001" thickBot="1">
      <c r="A26" s="20" t="s">
        <v>0</v>
      </c>
      <c r="B26" s="23">
        <v>422</v>
      </c>
      <c r="C26" s="25">
        <f>GETPIVOTDATA("Итого",$I$1,"transaction rq",A26)</f>
        <v>398</v>
      </c>
      <c r="D26" s="26">
        <f>1-B26/C26</f>
        <v>-6.0301507537688481E-2</v>
      </c>
      <c r="E26" s="29">
        <f>C26/3</f>
        <v>132.66666666666666</v>
      </c>
      <c r="F26" s="29">
        <v>132</v>
      </c>
      <c r="G26" s="31">
        <f>1-E26/F26</f>
        <v>-5.050505050504972E-3</v>
      </c>
      <c r="H26" s="38"/>
      <c r="I26" s="59"/>
      <c r="J26" s="57"/>
      <c r="K26" s="59"/>
    </row>
    <row r="27" spans="1:11" ht="17.399999999999999" customHeight="1" thickBot="1">
      <c r="A27" s="21" t="s">
        <v>9</v>
      </c>
      <c r="B27" s="24">
        <v>282</v>
      </c>
      <c r="C27" s="25">
        <f>GETPIVOTDATA("Итого",$I$1,"transaction rq",A27)</f>
        <v>298</v>
      </c>
      <c r="D27" s="26">
        <f t="shared" ref="D27:D33" si="8">1-B27/C27</f>
        <v>5.3691275167785268E-2</v>
      </c>
      <c r="E27" s="29">
        <f t="shared" ref="E27:E32" si="9">C27/3</f>
        <v>99.333333333333329</v>
      </c>
      <c r="F27" s="29">
        <v>99</v>
      </c>
      <c r="G27" s="31">
        <f t="shared" ref="G27:G32" si="10">1-E27/F27</f>
        <v>-3.3670033670032407E-3</v>
      </c>
      <c r="H27" s="38"/>
      <c r="I27" s="59"/>
      <c r="J27" s="60"/>
      <c r="K27" s="59"/>
    </row>
    <row r="28" spans="1:11" ht="18.600000000000001" thickBot="1">
      <c r="A28" s="21" t="s">
        <v>10</v>
      </c>
      <c r="B28" s="24">
        <v>251</v>
      </c>
      <c r="C28" s="25">
        <f>GETPIVOTDATA("Итого",$I$1,"transaction rq",A28)</f>
        <v>262</v>
      </c>
      <c r="D28" s="26">
        <f t="shared" si="8"/>
        <v>4.1984732824427495E-2</v>
      </c>
      <c r="E28" s="29">
        <f t="shared" si="9"/>
        <v>87.333333333333329</v>
      </c>
      <c r="F28" s="29">
        <v>87</v>
      </c>
      <c r="G28" s="31">
        <f t="shared" si="10"/>
        <v>-3.8314176245211051E-3</v>
      </c>
      <c r="H28" s="38"/>
      <c r="I28" s="59"/>
      <c r="J28" s="60"/>
      <c r="K28" s="59"/>
    </row>
    <row r="29" spans="1:11" ht="18.600000000000001" thickBot="1">
      <c r="A29" s="21" t="s">
        <v>1</v>
      </c>
      <c r="B29" s="24">
        <v>175</v>
      </c>
      <c r="C29" s="25">
        <f t="shared" ref="C29:C32" si="11">GETPIVOTDATA("Итого",$I$1,"transaction rq",A29)</f>
        <v>172</v>
      </c>
      <c r="D29" s="26">
        <f t="shared" si="8"/>
        <v>-1.744186046511631E-2</v>
      </c>
      <c r="E29" s="29">
        <f t="shared" si="9"/>
        <v>57.333333333333336</v>
      </c>
      <c r="F29" s="29">
        <v>57</v>
      </c>
      <c r="G29" s="31">
        <f t="shared" si="10"/>
        <v>-5.8479532163742132E-3</v>
      </c>
      <c r="H29" s="38"/>
      <c r="I29" s="59"/>
      <c r="J29" s="60"/>
      <c r="K29" s="59"/>
    </row>
    <row r="30" spans="1:11" ht="18.600000000000001" thickBot="1">
      <c r="A30" s="21" t="s">
        <v>2</v>
      </c>
      <c r="B30" s="24">
        <v>159</v>
      </c>
      <c r="C30" s="25">
        <f>GETPIVOTDATA("Итого",$I$1,"transaction rq",A30)</f>
        <v>172</v>
      </c>
      <c r="D30" s="26">
        <f t="shared" si="8"/>
        <v>7.5581395348837233E-2</v>
      </c>
      <c r="E30" s="29">
        <f t="shared" si="9"/>
        <v>57.333333333333336</v>
      </c>
      <c r="F30" s="29">
        <v>57</v>
      </c>
      <c r="G30" s="31">
        <f t="shared" si="10"/>
        <v>-5.8479532163742132E-3</v>
      </c>
      <c r="H30" s="38"/>
      <c r="I30" s="59"/>
      <c r="J30" s="60"/>
      <c r="K30" s="59"/>
    </row>
    <row r="31" spans="1:11" ht="18.600000000000001" thickBot="1">
      <c r="A31" s="21" t="s">
        <v>41</v>
      </c>
      <c r="B31" s="24">
        <v>73</v>
      </c>
      <c r="C31" s="25">
        <f>GETPIVOTDATA("Итого",$I$1,"transaction rq",A31)</f>
        <v>72</v>
      </c>
      <c r="D31" s="26">
        <f t="shared" si="8"/>
        <v>-1.388888888888884E-2</v>
      </c>
      <c r="E31" s="29">
        <f t="shared" si="9"/>
        <v>24</v>
      </c>
      <c r="F31" s="29">
        <v>24</v>
      </c>
      <c r="G31" s="31">
        <f t="shared" si="10"/>
        <v>0</v>
      </c>
      <c r="H31" s="38"/>
      <c r="I31" s="57"/>
      <c r="J31" s="60"/>
      <c r="K31" s="59"/>
    </row>
    <row r="32" spans="1:11" ht="18.600000000000001" thickBot="1">
      <c r="A32" s="21" t="s">
        <v>3</v>
      </c>
      <c r="B32" s="24">
        <v>422</v>
      </c>
      <c r="C32" s="25">
        <f t="shared" si="11"/>
        <v>398</v>
      </c>
      <c r="D32" s="26">
        <f t="shared" si="8"/>
        <v>-6.0301507537688481E-2</v>
      </c>
      <c r="E32" s="29">
        <f t="shared" si="9"/>
        <v>132.66666666666666</v>
      </c>
      <c r="F32" s="29">
        <v>132</v>
      </c>
      <c r="G32" s="31">
        <f t="shared" si="10"/>
        <v>-5.050505050504972E-3</v>
      </c>
      <c r="H32" s="38"/>
      <c r="I32" s="60"/>
      <c r="J32" s="60"/>
      <c r="K32" s="59"/>
    </row>
    <row r="33" spans="1:13" ht="18.600000000000001" thickBot="1">
      <c r="A33" s="22" t="s">
        <v>4</v>
      </c>
      <c r="B33" s="24">
        <f>SUM(B26:B32)</f>
        <v>1784</v>
      </c>
      <c r="C33" s="27">
        <f>SUM(C26:C32)</f>
        <v>1772</v>
      </c>
      <c r="D33" s="26">
        <f t="shared" si="8"/>
        <v>-6.7720090293452717E-3</v>
      </c>
      <c r="I33" s="60"/>
      <c r="J33" s="60"/>
      <c r="K33" s="59"/>
    </row>
    <row r="34" spans="1:13">
      <c r="I34" s="60"/>
      <c r="J34" s="60"/>
      <c r="K34" s="59"/>
    </row>
    <row r="35" spans="1:13">
      <c r="I35" s="59"/>
      <c r="J35" s="59"/>
      <c r="K35" s="59"/>
    </row>
    <row r="36" spans="1:13">
      <c r="I36" s="59"/>
      <c r="J36" s="59"/>
      <c r="K36" s="59"/>
    </row>
    <row r="37" spans="1:13">
      <c r="F37" s="30"/>
      <c r="I37" s="59"/>
      <c r="J37" s="59"/>
      <c r="K37" s="59"/>
    </row>
    <row r="38" spans="1:13">
      <c r="F38" s="30"/>
      <c r="I38" s="59"/>
      <c r="J38" s="59"/>
      <c r="K38" s="59"/>
    </row>
    <row r="39" spans="1:13">
      <c r="F39" s="30"/>
      <c r="H39" s="59"/>
      <c r="I39" s="59"/>
      <c r="J39" s="59"/>
      <c r="K39" s="59"/>
      <c r="L39" s="59"/>
      <c r="M39" s="59"/>
    </row>
    <row r="40" spans="1:13">
      <c r="F40" s="30"/>
      <c r="H40" s="59"/>
      <c r="I40" s="59"/>
      <c r="J40" s="59"/>
      <c r="K40" s="59"/>
      <c r="L40" s="59"/>
      <c r="M40" s="59"/>
    </row>
    <row r="41" spans="1:13">
      <c r="F41" s="30"/>
      <c r="H41" s="59"/>
      <c r="I41" s="61"/>
      <c r="J41" s="62"/>
      <c r="K41" s="62"/>
      <c r="L41" s="62"/>
      <c r="M41" s="62"/>
    </row>
    <row r="42" spans="1:13">
      <c r="F42" s="30"/>
      <c r="H42" s="59"/>
      <c r="I42" s="63"/>
      <c r="J42" s="61"/>
      <c r="K42" s="61"/>
      <c r="L42" s="61"/>
      <c r="M42" s="61"/>
    </row>
    <row r="43" spans="1:13">
      <c r="H43" s="59"/>
      <c r="I43" s="63"/>
      <c r="J43" s="61"/>
      <c r="K43" s="61"/>
      <c r="L43" s="61"/>
      <c r="M43" s="61"/>
    </row>
    <row r="44" spans="1:13">
      <c r="H44" s="59"/>
      <c r="I44" s="63"/>
      <c r="J44" s="61"/>
      <c r="K44" s="61"/>
      <c r="L44" s="61"/>
      <c r="M44" s="61"/>
    </row>
    <row r="45" spans="1:13">
      <c r="H45" s="59"/>
      <c r="I45" s="63"/>
      <c r="J45" s="61"/>
      <c r="K45" s="61"/>
      <c r="L45" s="61"/>
      <c r="M45" s="61"/>
    </row>
    <row r="46" spans="1:13">
      <c r="H46" s="59"/>
      <c r="I46" s="63"/>
      <c r="J46" s="61"/>
      <c r="K46" s="61"/>
      <c r="L46" s="61"/>
      <c r="M46" s="61"/>
    </row>
    <row r="47" spans="1:13">
      <c r="H47" s="59"/>
      <c r="I47" s="63"/>
      <c r="J47" s="61"/>
      <c r="K47" s="61"/>
      <c r="L47" s="61"/>
      <c r="M47" s="61"/>
    </row>
    <row r="48" spans="1:13">
      <c r="H48" s="59"/>
      <c r="I48" s="63"/>
      <c r="J48" s="61"/>
      <c r="K48" s="61"/>
      <c r="L48" s="61"/>
      <c r="M48" s="61"/>
    </row>
    <row r="49" spans="1:13">
      <c r="H49" s="59"/>
      <c r="I49" s="63"/>
      <c r="J49" s="61"/>
      <c r="K49" s="61"/>
      <c r="L49" s="61"/>
      <c r="M49" s="61"/>
    </row>
    <row r="50" spans="1:13">
      <c r="H50" s="59"/>
      <c r="I50" s="59"/>
      <c r="J50" s="61"/>
      <c r="K50" s="59"/>
      <c r="L50" s="59"/>
      <c r="M50" s="59"/>
    </row>
    <row r="51" spans="1:13">
      <c r="J51" s="35"/>
    </row>
    <row r="52" spans="1:13">
      <c r="J52" s="35"/>
    </row>
    <row r="53" spans="1:13">
      <c r="J53" s="35"/>
    </row>
    <row r="54" spans="1:13">
      <c r="A54" s="33"/>
      <c r="B54" s="34"/>
      <c r="C54" s="35"/>
      <c r="D54" s="35"/>
      <c r="E54" s="35"/>
      <c r="F54" s="35"/>
      <c r="G54" s="35"/>
      <c r="H54" s="35"/>
      <c r="I54" s="35"/>
      <c r="J54" s="35"/>
    </row>
    <row r="55" spans="1:13">
      <c r="A55" s="33"/>
      <c r="B55" s="34"/>
      <c r="C55" s="35"/>
      <c r="D55" s="35"/>
      <c r="E55" s="35"/>
      <c r="F55" s="35"/>
      <c r="G55" s="35"/>
      <c r="H55" s="35"/>
      <c r="I55" s="35"/>
      <c r="J55" s="36"/>
    </row>
    <row r="56" spans="1:13">
      <c r="A56" s="33"/>
      <c r="B56" s="34"/>
      <c r="C56" s="35"/>
      <c r="D56" s="35"/>
      <c r="E56" s="35"/>
      <c r="F56" s="35"/>
      <c r="G56" s="35"/>
      <c r="H56" s="35"/>
      <c r="I56" s="35"/>
    </row>
    <row r="57" spans="1:13">
      <c r="A57" s="33"/>
      <c r="B57" s="34"/>
      <c r="C57" s="35"/>
      <c r="D57" s="35"/>
      <c r="E57" s="35"/>
      <c r="F57" s="35"/>
      <c r="G57" s="35"/>
      <c r="H57" s="35"/>
      <c r="I57" s="35"/>
    </row>
    <row r="58" spans="1:13">
      <c r="A58" s="33"/>
      <c r="B58" s="34"/>
      <c r="C58" s="35"/>
      <c r="D58" s="35"/>
      <c r="E58" s="35"/>
      <c r="F58" s="35"/>
      <c r="G58" s="35"/>
      <c r="H58" s="35"/>
      <c r="I58" s="35"/>
    </row>
    <row r="59" spans="1:13">
      <c r="A59" s="33"/>
      <c r="B59" s="34"/>
      <c r="C59" s="35"/>
      <c r="D59" s="35"/>
      <c r="E59" s="35"/>
      <c r="F59" s="35"/>
      <c r="G59" s="35"/>
      <c r="H59" s="35"/>
      <c r="I59" s="35"/>
    </row>
    <row r="60" spans="1:13">
      <c r="A60" s="33"/>
      <c r="B60" s="34"/>
      <c r="C60" s="35"/>
      <c r="D60" s="35"/>
      <c r="E60" s="35"/>
      <c r="F60" s="35"/>
      <c r="G60" s="35"/>
      <c r="H60" s="35"/>
      <c r="I60" s="35"/>
    </row>
    <row r="61" spans="1:13">
      <c r="A61" s="33"/>
      <c r="B61" s="34"/>
      <c r="C61" s="35"/>
      <c r="D61" s="35"/>
      <c r="E61" s="35"/>
      <c r="F61" s="35"/>
      <c r="G61" s="35"/>
      <c r="H61" s="35"/>
      <c r="I61" s="36"/>
    </row>
  </sheetData>
  <mergeCells count="2">
    <mergeCell ref="A25:B25"/>
    <mergeCell ref="E25:G25"/>
  </mergeCell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6:T44"/>
  <sheetViews>
    <sheetView tabSelected="1" topLeftCell="E7" zoomScaleNormal="100" workbookViewId="0">
      <selection activeCell="P38" sqref="P38:P44"/>
    </sheetView>
  </sheetViews>
  <sheetFormatPr defaultColWidth="8.77734375" defaultRowHeight="14.4"/>
  <cols>
    <col min="2" max="2" width="4.44140625" customWidth="1"/>
    <col min="3" max="4" width="9.109375" hidden="1" customWidth="1"/>
    <col min="5" max="5" width="20.44140625" customWidth="1"/>
    <col min="6" max="6" width="18.777343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20.44140625" customWidth="1"/>
    <col min="13" max="13" width="18.77734375" customWidth="1"/>
    <col min="14" max="14" width="15.33203125" customWidth="1"/>
    <col min="15" max="15" width="15.109375" customWidth="1"/>
    <col min="16" max="16" width="14" customWidth="1"/>
    <col min="17" max="17" width="19.44140625" bestFit="1" customWidth="1"/>
    <col min="18" max="18" width="36.21875" customWidth="1"/>
    <col min="19" max="19" width="21.33203125" customWidth="1"/>
    <col min="20" max="20" width="18.6640625" customWidth="1"/>
  </cols>
  <sheetData>
    <row r="6" spans="5:20" ht="15" thickBot="1"/>
    <row r="7" spans="5:20" ht="15" thickBot="1">
      <c r="E7" s="40" t="s">
        <v>50</v>
      </c>
      <c r="F7" s="41"/>
      <c r="G7" s="41"/>
      <c r="H7" s="41"/>
      <c r="I7" s="42"/>
    </row>
    <row r="9" spans="5:20">
      <c r="E9" s="47" t="s">
        <v>52</v>
      </c>
      <c r="F9" s="47"/>
      <c r="G9" s="47"/>
      <c r="H9" s="47"/>
      <c r="I9" s="47"/>
      <c r="L9" s="46" t="s">
        <v>51</v>
      </c>
      <c r="M9" s="46"/>
      <c r="N9" s="46"/>
      <c r="O9" s="46"/>
      <c r="P9" s="46"/>
      <c r="R9" s="46" t="s">
        <v>60</v>
      </c>
      <c r="S9" s="46"/>
      <c r="T9" s="46"/>
    </row>
    <row r="11" spans="5:20" ht="28.2" thickBot="1"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R11" s="49" t="s">
        <v>56</v>
      </c>
      <c r="S11" s="50" t="s">
        <v>57</v>
      </c>
      <c r="T11" s="37" t="s">
        <v>58</v>
      </c>
    </row>
    <row r="12" spans="5:20" ht="18.600000000000001" thickBot="1">
      <c r="E12" s="20" t="s">
        <v>0</v>
      </c>
      <c r="F12" s="2" t="s">
        <v>17</v>
      </c>
      <c r="G12" s="3">
        <f>398*2</f>
        <v>796</v>
      </c>
      <c r="H12" s="2">
        <f>268*3</f>
        <v>804</v>
      </c>
      <c r="I12" s="4">
        <f>1-G12/H12</f>
        <v>9.9502487562188602E-3</v>
      </c>
      <c r="L12" s="20" t="s">
        <v>0</v>
      </c>
      <c r="M12" s="2" t="s">
        <v>17</v>
      </c>
      <c r="N12" s="3">
        <f>398*4</f>
        <v>1592</v>
      </c>
      <c r="O12" s="2">
        <f>531*3</f>
        <v>1593</v>
      </c>
      <c r="P12" s="4">
        <f>1-N12/O12</f>
        <v>6.2774639045826142E-4</v>
      </c>
      <c r="R12" s="37" t="s">
        <v>39</v>
      </c>
      <c r="S12" s="49">
        <f>36*4</f>
        <v>144</v>
      </c>
      <c r="T12" s="37">
        <f>48*3</f>
        <v>144</v>
      </c>
    </row>
    <row r="13" spans="5:20" ht="54.6" thickBot="1">
      <c r="E13" s="21" t="s">
        <v>9</v>
      </c>
      <c r="F13" s="2" t="s">
        <v>45</v>
      </c>
      <c r="G13" s="3">
        <f>298*2</f>
        <v>596</v>
      </c>
      <c r="H13" s="2">
        <f>199*3</f>
        <v>597</v>
      </c>
      <c r="I13" s="4">
        <f t="shared" ref="I13:I18" si="0">1-G13/H13</f>
        <v>1.6750418760469454E-3</v>
      </c>
      <c r="L13" s="21" t="s">
        <v>9</v>
      </c>
      <c r="M13" s="2" t="s">
        <v>45</v>
      </c>
      <c r="N13" s="3">
        <f>298*4</f>
        <v>1192</v>
      </c>
      <c r="O13" s="2">
        <f>398*3</f>
        <v>1194</v>
      </c>
      <c r="P13" s="4">
        <f t="shared" ref="P13:P18" si="1">1-N13/O13</f>
        <v>1.6750418760469454E-3</v>
      </c>
      <c r="R13" s="37" t="s">
        <v>42</v>
      </c>
      <c r="S13" s="39">
        <f>90*4</f>
        <v>360</v>
      </c>
      <c r="T13" s="37">
        <f>120*3</f>
        <v>360</v>
      </c>
    </row>
    <row r="14" spans="5:20" ht="36.6" thickBot="1">
      <c r="E14" s="21" t="s">
        <v>10</v>
      </c>
      <c r="F14" s="2" t="s">
        <v>44</v>
      </c>
      <c r="G14" s="3">
        <f>262*2</f>
        <v>524</v>
      </c>
      <c r="H14" s="2">
        <f>175*3</f>
        <v>525</v>
      </c>
      <c r="I14" s="4">
        <f t="shared" si="0"/>
        <v>1.9047619047618536E-3</v>
      </c>
      <c r="L14" s="21" t="s">
        <v>10</v>
      </c>
      <c r="M14" s="2" t="s">
        <v>44</v>
      </c>
      <c r="N14" s="3">
        <f>262*4</f>
        <v>1048</v>
      </c>
      <c r="O14" s="2">
        <f>351*3</f>
        <v>1053</v>
      </c>
      <c r="P14" s="4">
        <f t="shared" si="1"/>
        <v>4.7483380816714105E-3</v>
      </c>
      <c r="R14" s="37" t="s">
        <v>2</v>
      </c>
      <c r="S14" s="39">
        <f>100*4</f>
        <v>400</v>
      </c>
      <c r="T14" s="37">
        <f>134*3</f>
        <v>402</v>
      </c>
    </row>
    <row r="15" spans="5:20" ht="18.600000000000001" thickBot="1">
      <c r="E15" s="21" t="s">
        <v>1</v>
      </c>
      <c r="F15" s="2" t="s">
        <v>49</v>
      </c>
      <c r="G15" s="3">
        <f>172*2</f>
        <v>344</v>
      </c>
      <c r="H15" s="2">
        <f>114*3</f>
        <v>342</v>
      </c>
      <c r="I15" s="5">
        <f t="shared" si="0"/>
        <v>-5.8479532163742132E-3</v>
      </c>
      <c r="L15" s="21" t="s">
        <v>1</v>
      </c>
      <c r="M15" s="2" t="s">
        <v>49</v>
      </c>
      <c r="N15" s="3">
        <f>172*4</f>
        <v>688</v>
      </c>
      <c r="O15" s="2">
        <f>230*3</f>
        <v>690</v>
      </c>
      <c r="P15" s="5">
        <f t="shared" si="1"/>
        <v>2.8985507246376274E-3</v>
      </c>
      <c r="R15" s="37" t="s">
        <v>40</v>
      </c>
      <c r="S15" s="39">
        <f>100*4</f>
        <v>400</v>
      </c>
      <c r="T15" s="37">
        <f>133*3</f>
        <v>399</v>
      </c>
    </row>
    <row r="16" spans="5:20" ht="36.6" thickBot="1">
      <c r="E16" s="21" t="s">
        <v>2</v>
      </c>
      <c r="F16" s="2" t="s">
        <v>46</v>
      </c>
      <c r="G16" s="3">
        <f>172*2</f>
        <v>344</v>
      </c>
      <c r="H16" s="3">
        <f>116*3</f>
        <v>348</v>
      </c>
      <c r="I16" s="4">
        <f t="shared" si="0"/>
        <v>1.1494252873563204E-2</v>
      </c>
      <c r="L16" s="21" t="s">
        <v>2</v>
      </c>
      <c r="M16" s="2" t="s">
        <v>46</v>
      </c>
      <c r="N16" s="3">
        <f>172*4</f>
        <v>688</v>
      </c>
      <c r="O16" s="3">
        <f>230*3</f>
        <v>690</v>
      </c>
      <c r="P16" s="4">
        <f t="shared" si="1"/>
        <v>2.8985507246376274E-3</v>
      </c>
      <c r="R16" s="37" t="s">
        <v>41</v>
      </c>
      <c r="S16" s="39">
        <f>72*4</f>
        <v>288</v>
      </c>
      <c r="T16" s="37">
        <f>93*3</f>
        <v>279</v>
      </c>
    </row>
    <row r="17" spans="5:20" ht="36.6" thickBot="1">
      <c r="E17" s="21" t="s">
        <v>41</v>
      </c>
      <c r="F17" s="2" t="s">
        <v>43</v>
      </c>
      <c r="G17" s="3">
        <f>72*2</f>
        <v>144</v>
      </c>
      <c r="H17" s="2">
        <f>47*3</f>
        <v>141</v>
      </c>
      <c r="I17" s="4">
        <f t="shared" si="0"/>
        <v>-2.1276595744680771E-2</v>
      </c>
      <c r="L17" s="21" t="s">
        <v>41</v>
      </c>
      <c r="M17" s="2" t="s">
        <v>43</v>
      </c>
      <c r="N17" s="3">
        <f>72*4</f>
        <v>288</v>
      </c>
      <c r="O17" s="2">
        <f>93*3</f>
        <v>279</v>
      </c>
      <c r="P17" s="4">
        <f t="shared" si="1"/>
        <v>-3.2258064516129004E-2</v>
      </c>
      <c r="R17" s="49" t="s">
        <v>59</v>
      </c>
      <c r="S17" s="39">
        <f>SUM(S12:S16)</f>
        <v>1592</v>
      </c>
      <c r="T17" s="37">
        <f>SUM(T12:T16)</f>
        <v>1584</v>
      </c>
    </row>
    <row r="18" spans="5:20" ht="36.6" thickBot="1">
      <c r="E18" s="21" t="s">
        <v>3</v>
      </c>
      <c r="F18" s="2" t="s">
        <v>47</v>
      </c>
      <c r="G18" s="3">
        <f>398*2</f>
        <v>796</v>
      </c>
      <c r="H18" s="2">
        <f>265*3</f>
        <v>795</v>
      </c>
      <c r="I18" s="4">
        <f t="shared" si="0"/>
        <v>-1.2578616352201255E-3</v>
      </c>
      <c r="L18" s="51" t="s">
        <v>3</v>
      </c>
      <c r="M18" s="52" t="s">
        <v>47</v>
      </c>
      <c r="N18" s="53">
        <f>398*4</f>
        <v>1592</v>
      </c>
      <c r="O18" s="52">
        <f>528*3</f>
        <v>1584</v>
      </c>
      <c r="P18" s="54">
        <f t="shared" si="1"/>
        <v>-5.050505050504972E-3</v>
      </c>
    </row>
    <row r="19" spans="5:20" ht="18.600000000000001" thickBot="1">
      <c r="L19" s="55" t="s">
        <v>55</v>
      </c>
      <c r="M19" s="37"/>
      <c r="N19" s="37">
        <f>SUM(N12:N18)</f>
        <v>7088</v>
      </c>
      <c r="O19" s="37">
        <f>SUM(O12:O18)</f>
        <v>7083</v>
      </c>
      <c r="P19" s="37"/>
    </row>
    <row r="23" spans="5:20">
      <c r="E23" s="47" t="s">
        <v>62</v>
      </c>
      <c r="F23" s="47"/>
      <c r="G23" s="47"/>
      <c r="H23" s="47"/>
      <c r="I23" s="47"/>
      <c r="L23" s="47" t="s">
        <v>53</v>
      </c>
      <c r="M23" s="47"/>
      <c r="N23" s="47"/>
      <c r="O23" s="47"/>
      <c r="P23" s="47"/>
      <c r="R23" s="46" t="s">
        <v>61</v>
      </c>
      <c r="S23" s="46"/>
      <c r="T23" s="46"/>
    </row>
    <row r="25" spans="5:20" ht="28.2" thickBot="1">
      <c r="E25" s="1" t="s">
        <v>12</v>
      </c>
      <c r="F25" s="1" t="s">
        <v>13</v>
      </c>
      <c r="G25" s="1" t="s">
        <v>14</v>
      </c>
      <c r="H25" s="1" t="s">
        <v>15</v>
      </c>
      <c r="I25" s="1" t="s">
        <v>16</v>
      </c>
      <c r="L25" s="1" t="s">
        <v>12</v>
      </c>
      <c r="M25" s="1" t="s">
        <v>13</v>
      </c>
      <c r="N25" s="1" t="s">
        <v>14</v>
      </c>
      <c r="O25" s="1" t="s">
        <v>15</v>
      </c>
      <c r="P25" s="1" t="s">
        <v>16</v>
      </c>
      <c r="R25" s="49" t="s">
        <v>56</v>
      </c>
      <c r="S25" s="50" t="s">
        <v>57</v>
      </c>
      <c r="T25" s="37" t="s">
        <v>58</v>
      </c>
    </row>
    <row r="26" spans="5:20" ht="18.600000000000001" thickBot="1">
      <c r="E26" s="20" t="s">
        <v>0</v>
      </c>
      <c r="F26" s="2" t="s">
        <v>17</v>
      </c>
      <c r="G26" s="3">
        <f>398*6</f>
        <v>2388</v>
      </c>
      <c r="H26" s="2">
        <f>680*3</f>
        <v>2040</v>
      </c>
      <c r="I26" s="4">
        <f>1-G26/H26</f>
        <v>-0.17058823529411771</v>
      </c>
      <c r="L26" s="20" t="s">
        <v>0</v>
      </c>
      <c r="M26" s="2" t="s">
        <v>17</v>
      </c>
      <c r="N26" s="3">
        <f>398*8</f>
        <v>3184</v>
      </c>
      <c r="O26" s="2">
        <f>645*3</f>
        <v>1935</v>
      </c>
      <c r="P26" s="4">
        <f>1-N26/O26</f>
        <v>-0.64547803617571065</v>
      </c>
      <c r="R26" s="37" t="s">
        <v>39</v>
      </c>
      <c r="S26" s="49">
        <f>36*6</f>
        <v>216</v>
      </c>
      <c r="T26" s="37">
        <f>72*3</f>
        <v>216</v>
      </c>
    </row>
    <row r="27" spans="5:20" ht="54.6" thickBot="1">
      <c r="E27" s="21" t="s">
        <v>9</v>
      </c>
      <c r="F27" s="2" t="s">
        <v>45</v>
      </c>
      <c r="G27" s="3">
        <f>298*6</f>
        <v>1788</v>
      </c>
      <c r="H27" s="2">
        <f>484*3</f>
        <v>1452</v>
      </c>
      <c r="I27" s="4">
        <f t="shared" ref="I27:I32" si="2">1-G27/H27</f>
        <v>-0.23140495867768585</v>
      </c>
      <c r="L27" s="21" t="s">
        <v>9</v>
      </c>
      <c r="M27" s="2" t="s">
        <v>45</v>
      </c>
      <c r="N27" s="3">
        <f>298*8</f>
        <v>2384</v>
      </c>
      <c r="O27" s="2">
        <f>485*3</f>
        <v>1455</v>
      </c>
      <c r="P27" s="4">
        <f t="shared" ref="P27:P32" si="3">1-N27/O27</f>
        <v>-0.63848797250859102</v>
      </c>
      <c r="R27" s="37" t="s">
        <v>42</v>
      </c>
      <c r="S27" s="49">
        <f>90*6</f>
        <v>540</v>
      </c>
      <c r="T27" s="37">
        <f>177*3</f>
        <v>531</v>
      </c>
    </row>
    <row r="28" spans="5:20" ht="36.6" thickBot="1">
      <c r="E28" s="21" t="s">
        <v>10</v>
      </c>
      <c r="F28" s="2" t="s">
        <v>44</v>
      </c>
      <c r="G28" s="3">
        <f>262*6</f>
        <v>1572</v>
      </c>
      <c r="H28" s="2">
        <f>413*3</f>
        <v>1239</v>
      </c>
      <c r="I28" s="4">
        <f t="shared" si="2"/>
        <v>-0.26876513317191275</v>
      </c>
      <c r="L28" s="21" t="s">
        <v>10</v>
      </c>
      <c r="M28" s="2" t="s">
        <v>44</v>
      </c>
      <c r="N28" s="3">
        <f>262*6</f>
        <v>1572</v>
      </c>
      <c r="O28" s="2">
        <f>414*3</f>
        <v>1242</v>
      </c>
      <c r="P28" s="4">
        <f t="shared" si="3"/>
        <v>-0.26570048309178751</v>
      </c>
      <c r="R28" s="37" t="s">
        <v>2</v>
      </c>
      <c r="S28" s="49">
        <f>100*6</f>
        <v>600</v>
      </c>
      <c r="T28" s="37">
        <f>193*3</f>
        <v>579</v>
      </c>
    </row>
    <row r="29" spans="5:20" ht="18.600000000000001" thickBot="1">
      <c r="E29" s="21" t="s">
        <v>1</v>
      </c>
      <c r="F29" s="2" t="s">
        <v>49</v>
      </c>
      <c r="G29" s="3">
        <f>172*6</f>
        <v>1032</v>
      </c>
      <c r="H29" s="2">
        <f>233*3</f>
        <v>699</v>
      </c>
      <c r="I29" s="5">
        <f t="shared" si="2"/>
        <v>-0.4763948497854078</v>
      </c>
      <c r="L29" s="21" t="s">
        <v>1</v>
      </c>
      <c r="M29" s="2" t="s">
        <v>49</v>
      </c>
      <c r="N29" s="3">
        <f>172*8</f>
        <v>1376</v>
      </c>
      <c r="O29" s="2">
        <f>207*3</f>
        <v>621</v>
      </c>
      <c r="P29" s="5">
        <f t="shared" si="3"/>
        <v>-1.2157809983896941</v>
      </c>
      <c r="R29" s="37" t="s">
        <v>40</v>
      </c>
      <c r="S29" s="39">
        <f>72*6</f>
        <v>432</v>
      </c>
      <c r="T29" s="37">
        <f>132*3</f>
        <v>396</v>
      </c>
    </row>
    <row r="30" spans="5:20" ht="36.6" thickBot="1">
      <c r="E30" s="21" t="s">
        <v>2</v>
      </c>
      <c r="F30" s="2" t="s">
        <v>46</v>
      </c>
      <c r="G30" s="3">
        <f>172*6</f>
        <v>1032</v>
      </c>
      <c r="H30" s="3">
        <f>297*3</f>
        <v>891</v>
      </c>
      <c r="I30" s="4">
        <f t="shared" si="2"/>
        <v>-0.15824915824915831</v>
      </c>
      <c r="L30" s="21" t="s">
        <v>2</v>
      </c>
      <c r="M30" s="2" t="s">
        <v>46</v>
      </c>
      <c r="N30" s="3">
        <f>172*6</f>
        <v>1032</v>
      </c>
      <c r="O30" s="3">
        <f>252*3</f>
        <v>756</v>
      </c>
      <c r="P30" s="4">
        <f t="shared" si="3"/>
        <v>-0.36507936507936511</v>
      </c>
      <c r="R30" s="37" t="s">
        <v>41</v>
      </c>
      <c r="S30" s="39">
        <f>72*6</f>
        <v>432</v>
      </c>
      <c r="T30" s="37">
        <f>99*3</f>
        <v>297</v>
      </c>
    </row>
    <row r="31" spans="5:20" ht="36.6" thickBot="1">
      <c r="E31" s="21" t="s">
        <v>41</v>
      </c>
      <c r="F31" s="2" t="s">
        <v>43</v>
      </c>
      <c r="G31" s="3">
        <f>72*6</f>
        <v>432</v>
      </c>
      <c r="H31" s="2">
        <f>99*3</f>
        <v>297</v>
      </c>
      <c r="I31" s="4">
        <f t="shared" si="2"/>
        <v>-0.45454545454545459</v>
      </c>
      <c r="L31" s="21" t="s">
        <v>41</v>
      </c>
      <c r="M31" s="2" t="s">
        <v>43</v>
      </c>
      <c r="N31" s="3">
        <f>72*8</f>
        <v>576</v>
      </c>
      <c r="O31" s="2">
        <f>87*3</f>
        <v>261</v>
      </c>
      <c r="P31" s="4">
        <f t="shared" si="3"/>
        <v>-1.2068965517241379</v>
      </c>
      <c r="R31" s="49" t="s">
        <v>59</v>
      </c>
      <c r="S31" s="39">
        <f>SUM(S26:S30)</f>
        <v>2220</v>
      </c>
      <c r="T31" s="37">
        <f>SUM(T26:T30)</f>
        <v>2019</v>
      </c>
    </row>
    <row r="32" spans="5:20" ht="36.6" thickBot="1">
      <c r="E32" s="21" t="s">
        <v>3</v>
      </c>
      <c r="F32" s="2" t="s">
        <v>47</v>
      </c>
      <c r="G32" s="3">
        <f>398*6</f>
        <v>2388</v>
      </c>
      <c r="H32" s="2">
        <f>673*3</f>
        <v>2019</v>
      </c>
      <c r="I32" s="4">
        <f t="shared" si="2"/>
        <v>-0.18276374442793464</v>
      </c>
      <c r="L32" s="21" t="s">
        <v>3</v>
      </c>
      <c r="M32" s="2" t="s">
        <v>47</v>
      </c>
      <c r="N32" s="3">
        <f>398*8</f>
        <v>3184</v>
      </c>
      <c r="O32" s="2">
        <f>640*3</f>
        <v>1920</v>
      </c>
      <c r="P32" s="4">
        <f t="shared" si="3"/>
        <v>-0.65833333333333344</v>
      </c>
    </row>
    <row r="33" spans="5:16" ht="18">
      <c r="E33" s="48" t="s">
        <v>55</v>
      </c>
      <c r="H33" s="45">
        <f>SUM(H26:H32)</f>
        <v>8637</v>
      </c>
    </row>
    <row r="35" spans="5:16">
      <c r="E35" s="47" t="s">
        <v>54</v>
      </c>
      <c r="F35" s="47"/>
      <c r="G35" s="47"/>
      <c r="H35" s="47"/>
      <c r="I35" s="47"/>
      <c r="L35" s="64" t="s">
        <v>64</v>
      </c>
      <c r="M35" s="64"/>
      <c r="N35" s="64"/>
      <c r="O35" s="64"/>
      <c r="P35" s="64"/>
    </row>
    <row r="37" spans="5:16" ht="28.2" thickBot="1">
      <c r="E37" s="1" t="s">
        <v>12</v>
      </c>
      <c r="F37" s="1" t="s">
        <v>13</v>
      </c>
      <c r="G37" s="1" t="s">
        <v>14</v>
      </c>
      <c r="H37" s="1" t="s">
        <v>15</v>
      </c>
      <c r="I37" s="1" t="s">
        <v>16</v>
      </c>
      <c r="L37" s="1" t="s">
        <v>12</v>
      </c>
      <c r="M37" s="1" t="s">
        <v>13</v>
      </c>
      <c r="N37" s="1" t="s">
        <v>14</v>
      </c>
      <c r="O37" s="1" t="s">
        <v>15</v>
      </c>
      <c r="P37" s="1" t="s">
        <v>16</v>
      </c>
    </row>
    <row r="38" spans="5:16" ht="18.600000000000001" thickBot="1">
      <c r="E38" s="20" t="s">
        <v>0</v>
      </c>
      <c r="F38" s="2" t="s">
        <v>17</v>
      </c>
      <c r="G38" s="3">
        <f>398*10</f>
        <v>3980</v>
      </c>
      <c r="H38" s="2">
        <f>676*3</f>
        <v>2028</v>
      </c>
      <c r="I38" s="4">
        <f>1-G38/H38</f>
        <v>-0.96252465483234717</v>
      </c>
      <c r="L38" s="20" t="s">
        <v>0</v>
      </c>
      <c r="M38" s="2" t="s">
        <v>17</v>
      </c>
      <c r="N38" s="3">
        <f>398*4</f>
        <v>1592</v>
      </c>
      <c r="O38" s="2">
        <v>1592</v>
      </c>
      <c r="P38" s="4">
        <f>1-N38/O38</f>
        <v>0</v>
      </c>
    </row>
    <row r="39" spans="5:16" ht="54.6" thickBot="1">
      <c r="E39" s="21" t="s">
        <v>9</v>
      </c>
      <c r="F39" s="2" t="s">
        <v>45</v>
      </c>
      <c r="G39" s="3">
        <f>298*10</f>
        <v>2980</v>
      </c>
      <c r="H39" s="2">
        <f>510*3</f>
        <v>1530</v>
      </c>
      <c r="I39" s="4">
        <f t="shared" ref="I39:I44" si="4">1-G39/H39</f>
        <v>-0.94771241830065356</v>
      </c>
      <c r="L39" s="21" t="s">
        <v>9</v>
      </c>
      <c r="M39" s="2" t="s">
        <v>45</v>
      </c>
      <c r="N39" s="3">
        <f>298*4</f>
        <v>1192</v>
      </c>
      <c r="O39" s="2">
        <v>1192</v>
      </c>
      <c r="P39" s="4">
        <f t="shared" ref="P39:P44" si="5">1-N39/O39</f>
        <v>0</v>
      </c>
    </row>
    <row r="40" spans="5:16" ht="36.6" thickBot="1">
      <c r="E40" s="21" t="s">
        <v>10</v>
      </c>
      <c r="F40" s="2" t="s">
        <v>44</v>
      </c>
      <c r="G40" s="3">
        <f>2620</f>
        <v>2620</v>
      </c>
      <c r="H40" s="2">
        <f>432*3</f>
        <v>1296</v>
      </c>
      <c r="I40" s="4">
        <f t="shared" si="4"/>
        <v>-1.0216049382716048</v>
      </c>
      <c r="L40" s="21" t="s">
        <v>10</v>
      </c>
      <c r="M40" s="2" t="s">
        <v>44</v>
      </c>
      <c r="N40" s="3">
        <f>262*4</f>
        <v>1048</v>
      </c>
      <c r="O40" s="2">
        <v>1047</v>
      </c>
      <c r="P40" s="4">
        <f t="shared" si="5"/>
        <v>-9.5510983763125168E-4</v>
      </c>
    </row>
    <row r="41" spans="5:16" ht="18.600000000000001" thickBot="1">
      <c r="E41" s="21" t="s">
        <v>1</v>
      </c>
      <c r="F41" s="2" t="s">
        <v>49</v>
      </c>
      <c r="G41" s="3">
        <f>1720</f>
        <v>1720</v>
      </c>
      <c r="H41" s="2">
        <f>217*3</f>
        <v>651</v>
      </c>
      <c r="I41" s="5">
        <f t="shared" si="4"/>
        <v>-1.6420890937019967</v>
      </c>
      <c r="L41" s="21" t="s">
        <v>1</v>
      </c>
      <c r="M41" s="2" t="s">
        <v>49</v>
      </c>
      <c r="N41" s="3">
        <f>172*4</f>
        <v>688</v>
      </c>
      <c r="O41" s="2">
        <v>687</v>
      </c>
      <c r="P41" s="5">
        <f t="shared" si="5"/>
        <v>-1.4556040756914523E-3</v>
      </c>
    </row>
    <row r="42" spans="5:16" ht="36.6" thickBot="1">
      <c r="E42" s="21" t="s">
        <v>2</v>
      </c>
      <c r="F42" s="2" t="s">
        <v>46</v>
      </c>
      <c r="G42" s="3">
        <f>1720</f>
        <v>1720</v>
      </c>
      <c r="H42" s="3">
        <f>261*3</f>
        <v>783</v>
      </c>
      <c r="I42" s="4">
        <f t="shared" si="4"/>
        <v>-1.1966794380587484</v>
      </c>
      <c r="L42" s="21" t="s">
        <v>2</v>
      </c>
      <c r="M42" s="2" t="s">
        <v>46</v>
      </c>
      <c r="N42" s="3">
        <f>172*4</f>
        <v>688</v>
      </c>
      <c r="O42" s="3">
        <v>688</v>
      </c>
      <c r="P42" s="4">
        <f t="shared" si="5"/>
        <v>0</v>
      </c>
    </row>
    <row r="43" spans="5:16" ht="36.6" thickBot="1">
      <c r="E43" s="21" t="s">
        <v>41</v>
      </c>
      <c r="F43" s="2" t="s">
        <v>43</v>
      </c>
      <c r="G43" s="3">
        <v>720</v>
      </c>
      <c r="H43" s="2">
        <f>87*3</f>
        <v>261</v>
      </c>
      <c r="I43" s="4">
        <f t="shared" si="4"/>
        <v>-1.7586206896551726</v>
      </c>
      <c r="L43" s="21" t="s">
        <v>41</v>
      </c>
      <c r="M43" s="2" t="s">
        <v>43</v>
      </c>
      <c r="N43" s="3">
        <f>72*4</f>
        <v>288</v>
      </c>
      <c r="O43" s="2">
        <v>279</v>
      </c>
      <c r="P43" s="4">
        <f t="shared" si="5"/>
        <v>-3.2258064516129004E-2</v>
      </c>
    </row>
    <row r="44" spans="5:16" ht="36.6" thickBot="1">
      <c r="E44" s="21" t="s">
        <v>3</v>
      </c>
      <c r="F44" s="2" t="s">
        <v>47</v>
      </c>
      <c r="G44" s="3">
        <f>3980</f>
        <v>3980</v>
      </c>
      <c r="H44" s="2">
        <f>663*3</f>
        <v>1989</v>
      </c>
      <c r="I44" s="4">
        <f t="shared" si="4"/>
        <v>-1.0010055304172951</v>
      </c>
      <c r="L44" s="21" t="s">
        <v>3</v>
      </c>
      <c r="M44" s="2" t="s">
        <v>47</v>
      </c>
      <c r="N44" s="3">
        <f>398*4</f>
        <v>1592</v>
      </c>
      <c r="O44" s="2">
        <v>1582</v>
      </c>
      <c r="P44" s="4">
        <f t="shared" si="5"/>
        <v>-6.321112515802696E-3</v>
      </c>
    </row>
  </sheetData>
  <mergeCells count="9">
    <mergeCell ref="R9:T9"/>
    <mergeCell ref="R23:T23"/>
    <mergeCell ref="L35:P35"/>
    <mergeCell ref="E23:I23"/>
    <mergeCell ref="E35:I35"/>
    <mergeCell ref="E9:I9"/>
    <mergeCell ref="E7:I7"/>
    <mergeCell ref="L9:P9"/>
    <mergeCell ref="L23:P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Автоматизированный расчет</vt:lpstr>
      <vt:lpstr>Соответствие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user</cp:lastModifiedBy>
  <dcterms:created xsi:type="dcterms:W3CDTF">2015-06-05T18:19:34Z</dcterms:created>
  <dcterms:modified xsi:type="dcterms:W3CDTF">2020-09-28T00:21:57Z</dcterms:modified>
</cp:coreProperties>
</file>