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hcui1\Desktop\"/>
    </mc:Choice>
  </mc:AlternateContent>
  <xr:revisionPtr revIDLastSave="0" documentId="13_ncr:1_{B97BBBB7-B693-41BB-9935-14E792573789}" xr6:coauthVersionLast="36" xr6:coauthVersionMax="47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__FDSCACHE__" sheetId="3" state="veryHidden" r:id="rId1"/>
    <sheet name="Raw Input" sheetId="4" r:id="rId2"/>
    <sheet name="MOD" sheetId="5" r:id="rId3"/>
    <sheet name="SUM" sheetId="10" r:id="rId4"/>
    <sheet name="AVGO Comps &amp; market share" sheetId="2" r:id="rId5"/>
    <sheet name="Semiconductor breakdown" sheetId="9" r:id="rId6"/>
    <sheet name="Supply Chain" sheetId="11" r:id="rId7"/>
    <sheet name="Annualized Return" sheetId="12" r:id="rId8"/>
  </sheets>
  <definedNames>
    <definedName name="_bdm.1374bf2687714150a6b31bc1ca0a0b61.edm" localSheetId="4" hidden="1">'AVGO Comps &amp; market share'!$1:$1048576</definedName>
    <definedName name="_bdm.1374bf2687714150a6b31bc1ca0a0b61.edm" hidden="1">#REF!</definedName>
    <definedName name="_bdm.2ce96c87f19a450da146a0c4aa3f4f37.edm" localSheetId="4" hidden="1">#REF!</definedName>
    <definedName name="_bdm.2ce96c87f19a450da146a0c4aa3f4f37.edm" localSheetId="2" hidden="1">#REF!</definedName>
    <definedName name="_bdm.2ce96c87f19a450da146a0c4aa3f4f37.edm" localSheetId="1" hidden="1">#REF!</definedName>
    <definedName name="_bdm.2ce96c87f19a450da146a0c4aa3f4f37.edm" hidden="1">#REF!</definedName>
    <definedName name="_bdm.fcdcb85f66d84a7aac098aaed3657232.edm" localSheetId="4" hidden="1">#REF!</definedName>
    <definedName name="_bdm.fcdcb85f66d84a7aac098aaed3657232.edm" localSheetId="2" hidden="1">#REF!</definedName>
    <definedName name="_bdm.fcdcb85f66d84a7aac098aaed3657232.edm" localSheetId="1" hidden="1">#REF!</definedName>
    <definedName name="_bdm.fcdcb85f66d84a7aac098aaed3657232.edm" hidden="1">#REF!</definedName>
    <definedName name="_xlnm._FilterDatabase" localSheetId="4" hidden="1">'AVGO Comps &amp; market share'!$A$38:$AC$85</definedName>
    <definedName name="_xlnm.Database" localSheetId="4">#REF!</definedName>
    <definedName name="_xlnm.Database" localSheetId="2">#REF!</definedName>
    <definedName name="_xlnm.Database" localSheetId="1">#REF!</definedName>
    <definedName name="_xlnm.Database" localSheetId="3">#REF!</definedName>
    <definedName name="_xlnm.Databas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45190.6061111111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s">#REF!</definedName>
    <definedName name="tgr">#REF!</definedName>
    <definedName name="wacc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2" l="1"/>
  <c r="K64" i="2"/>
  <c r="J64" i="2"/>
  <c r="I64" i="2"/>
  <c r="H64" i="2"/>
  <c r="F64" i="2"/>
  <c r="E64" i="2"/>
  <c r="D64" i="2"/>
  <c r="K63" i="2"/>
  <c r="J63" i="2"/>
  <c r="I63" i="2"/>
  <c r="H63" i="2"/>
  <c r="F63" i="2"/>
  <c r="E63" i="2"/>
  <c r="D63" i="2"/>
  <c r="K62" i="2"/>
  <c r="J62" i="2"/>
  <c r="I62" i="2"/>
  <c r="H62" i="2"/>
  <c r="F62" i="2"/>
  <c r="E62" i="2"/>
  <c r="D62" i="2"/>
  <c r="K61" i="2"/>
  <c r="J61" i="2"/>
  <c r="I61" i="2"/>
  <c r="H61" i="2"/>
  <c r="G61" i="2"/>
  <c r="F61" i="2"/>
  <c r="E61" i="2"/>
  <c r="D61" i="2"/>
  <c r="K60" i="2"/>
  <c r="J60" i="2"/>
  <c r="I60" i="2"/>
  <c r="H60" i="2"/>
  <c r="G60" i="2"/>
  <c r="F60" i="2"/>
  <c r="E60" i="2"/>
  <c r="D60" i="2"/>
  <c r="K59" i="2"/>
  <c r="J59" i="2"/>
  <c r="I59" i="2"/>
  <c r="H59" i="2"/>
  <c r="G59" i="2"/>
  <c r="F59" i="2"/>
  <c r="E59" i="2"/>
  <c r="D59" i="2"/>
  <c r="K58" i="2"/>
  <c r="J58" i="2"/>
  <c r="I58" i="2"/>
  <c r="H58" i="2"/>
  <c r="G58" i="2"/>
  <c r="F58" i="2"/>
  <c r="E58" i="2"/>
  <c r="D58" i="2"/>
  <c r="K57" i="2"/>
  <c r="J57" i="2"/>
  <c r="I57" i="2"/>
  <c r="H57" i="2"/>
  <c r="G57" i="2"/>
  <c r="F57" i="2"/>
  <c r="E57" i="2"/>
  <c r="D57" i="2"/>
  <c r="K56" i="2"/>
  <c r="J56" i="2"/>
  <c r="I56" i="2"/>
  <c r="H56" i="2"/>
  <c r="G56" i="2"/>
  <c r="F56" i="2"/>
  <c r="E56" i="2"/>
  <c r="D56" i="2"/>
  <c r="K55" i="2"/>
  <c r="J55" i="2"/>
  <c r="I55" i="2"/>
  <c r="H55" i="2"/>
  <c r="G55" i="2"/>
  <c r="F55" i="2"/>
  <c r="E55" i="2"/>
  <c r="D55" i="2"/>
  <c r="E54" i="2"/>
  <c r="D54" i="2"/>
  <c r="AB22" i="2" a="1"/>
  <c r="J30" i="2" l="1"/>
  <c r="AB22" i="2"/>
  <c r="AA22" i="2" a="1"/>
  <c r="AA22" i="2" l="1"/>
  <c r="Z22" i="2" a="1"/>
  <c r="Z22" i="2" l="1"/>
  <c r="Y22" i="2" a="1"/>
  <c r="Y22" i="2" l="1"/>
  <c r="X22" i="2" a="1"/>
  <c r="X22" i="2" l="1"/>
  <c r="AC21" i="2" a="1"/>
  <c r="AC21" i="2" l="1"/>
  <c r="AB21" i="2" a="1"/>
  <c r="AB21" i="2" l="1"/>
  <c r="AA21" i="2" a="1"/>
  <c r="AA21" i="2" l="1"/>
  <c r="Z21" i="2" a="1"/>
  <c r="Z21" i="2" l="1"/>
  <c r="Y21" i="2" a="1"/>
  <c r="Y21" i="2" l="1"/>
  <c r="X21" i="2" a="1"/>
  <c r="X21" i="2" l="1"/>
  <c r="AC20" i="2" a="1"/>
  <c r="AC20" i="2" l="1"/>
  <c r="AB20" i="2" a="1"/>
  <c r="AB20" i="2" l="1"/>
  <c r="AA20" i="2" a="1"/>
  <c r="AA20" i="2" l="1"/>
  <c r="Z20" i="2" a="1"/>
  <c r="Z20" i="2" l="1"/>
  <c r="Y20" i="2" a="1"/>
  <c r="Y20" i="2" l="1"/>
  <c r="X20" i="2" a="1"/>
  <c r="X20" i="2" l="1"/>
  <c r="AC19" i="2" a="1"/>
  <c r="AC19" i="2" l="1"/>
  <c r="AB19" i="2" a="1"/>
  <c r="AB19" i="2" l="1"/>
  <c r="AA19" i="2" a="1"/>
  <c r="AA19" i="2" l="1"/>
  <c r="Z19" i="2" a="1"/>
  <c r="Z19" i="2" l="1"/>
  <c r="Y19" i="2" a="1"/>
  <c r="Y19" i="2" l="1"/>
  <c r="X19" i="2" a="1"/>
  <c r="X19" i="2" l="1"/>
  <c r="AC18" i="2" a="1"/>
  <c r="AC18" i="2" l="1"/>
  <c r="AB18" i="2" a="1"/>
  <c r="AB18" i="2" l="1"/>
  <c r="AA18" i="2" a="1"/>
  <c r="AA18" i="2" l="1"/>
  <c r="Z18" i="2" a="1"/>
  <c r="Z18" i="2" l="1"/>
  <c r="Y18" i="2" a="1"/>
  <c r="Y18" i="2" l="1"/>
  <c r="X18" i="2" a="1"/>
  <c r="X18" i="2" l="1"/>
  <c r="AC17" i="2" a="1"/>
  <c r="AC17" i="2" l="1"/>
  <c r="AB17" i="2" a="1"/>
  <c r="AB17" i="2" l="1"/>
  <c r="AA17" i="2" a="1"/>
  <c r="AA17" i="2" l="1"/>
  <c r="Z17" i="2" a="1"/>
  <c r="Z17" i="2" l="1"/>
  <c r="Y17" i="2" a="1"/>
  <c r="Y17" i="2" l="1"/>
  <c r="X17" i="2" a="1"/>
  <c r="X17" i="2" l="1"/>
  <c r="AC16" i="2" a="1"/>
  <c r="AC16" i="2" l="1"/>
  <c r="AB16" i="2" a="1"/>
  <c r="AB16" i="2" l="1"/>
  <c r="AA16" i="2" a="1"/>
  <c r="AA16" i="2" l="1"/>
  <c r="Z16" i="2" a="1"/>
  <c r="Z16" i="2" l="1"/>
  <c r="Y16" i="2" a="1"/>
  <c r="Y16" i="2" l="1"/>
  <c r="X16" i="2" a="1"/>
  <c r="X16" i="2" l="1"/>
  <c r="AC15" i="2" a="1"/>
  <c r="AC15" i="2" l="1"/>
  <c r="AB15" i="2" a="1"/>
  <c r="AB15" i="2" l="1"/>
  <c r="AA15" i="2" a="1"/>
  <c r="AA15" i="2" l="1"/>
  <c r="Z15" i="2" a="1"/>
  <c r="Z15" i="2" l="1"/>
  <c r="Y15" i="2" a="1"/>
  <c r="Y15" i="2" l="1"/>
  <c r="X15" i="2" a="1"/>
  <c r="X15" i="2" l="1"/>
  <c r="AC14" i="2" a="1"/>
  <c r="AC14" i="2" l="1"/>
  <c r="AB14" i="2" a="1"/>
  <c r="AB14" i="2" l="1"/>
  <c r="AA14" i="2" a="1"/>
  <c r="AA14" i="2" l="1"/>
  <c r="Z14" i="2" a="1"/>
  <c r="Z14" i="2" l="1"/>
  <c r="Y14" i="2" a="1"/>
  <c r="Y14" i="2" l="1"/>
  <c r="X14" i="2" a="1"/>
  <c r="X14" i="2" l="1"/>
  <c r="AC13" i="2" a="1"/>
  <c r="AC13" i="2" l="1"/>
  <c r="AC24" i="2" s="1"/>
  <c r="AB13" i="2" a="1"/>
  <c r="AB13" i="2" l="1"/>
  <c r="AA13" i="2" a="1"/>
  <c r="AA13" i="2" l="1"/>
  <c r="Z13" i="2" a="1"/>
  <c r="Z13" i="2" l="1"/>
  <c r="Y13" i="2" a="1"/>
  <c r="Y13" i="2" l="1"/>
  <c r="X13" i="2" a="1"/>
  <c r="X13" i="2" l="1"/>
  <c r="AC11" i="2" a="1"/>
  <c r="AC11" i="2" l="1"/>
  <c r="AB11" i="2" a="1"/>
  <c r="AB11" i="2" l="1"/>
  <c r="AA11" i="2" a="1"/>
  <c r="AA11" i="2" l="1"/>
  <c r="Z11" i="2" a="1"/>
  <c r="Z11" i="2" l="1"/>
  <c r="Y11" i="2" a="1"/>
  <c r="Y11" i="2" l="1"/>
  <c r="X11" i="2" a="1"/>
  <c r="X11" i="2" l="1"/>
  <c r="R29" i="2" a="1"/>
  <c r="R29" i="2" l="1"/>
  <c r="Q29" i="2" a="1"/>
  <c r="Q29" i="2" l="1"/>
  <c r="P29" i="2" a="1"/>
  <c r="P29" i="2" l="1"/>
  <c r="Q49" i="2" a="1"/>
  <c r="Q49" i="2" l="1"/>
  <c r="P49" i="2" a="1"/>
  <c r="P49" i="2" l="1"/>
  <c r="O49" i="2" a="1"/>
  <c r="O49" i="2" l="1"/>
  <c r="N49" i="2" a="1"/>
  <c r="N49" i="2" l="1"/>
  <c r="M49" i="2" a="1"/>
  <c r="M49" i="2" l="1"/>
  <c r="L49" i="2" a="1"/>
  <c r="L49" i="2" l="1"/>
  <c r="K49" i="2" a="1"/>
  <c r="K49" i="2" l="1"/>
  <c r="Q48" i="2" a="1"/>
  <c r="Q48" i="2" l="1"/>
  <c r="P48" i="2" a="1"/>
  <c r="P48" i="2" l="1"/>
  <c r="O48" i="2" a="1"/>
  <c r="O48" i="2" l="1"/>
  <c r="N48" i="2" a="1"/>
  <c r="N48" i="2" l="1"/>
  <c r="M48" i="2" a="1"/>
  <c r="M48" i="2" l="1"/>
  <c r="L48" i="2" a="1"/>
  <c r="L48" i="2" l="1"/>
  <c r="K48" i="2" a="1"/>
  <c r="Q47" i="2"/>
  <c r="P47" i="2"/>
  <c r="O47" i="2"/>
  <c r="N47" i="2"/>
  <c r="M47" i="2"/>
  <c r="L47" i="2"/>
  <c r="K47" i="2"/>
  <c r="Q46" i="2"/>
  <c r="P46" i="2"/>
  <c r="O46" i="2"/>
  <c r="N46" i="2"/>
  <c r="M46" i="2"/>
  <c r="L46" i="2"/>
  <c r="K46" i="2"/>
  <c r="K48" i="2" l="1"/>
  <c r="Q45" i="2" a="1"/>
  <c r="Q45" i="2" l="1"/>
  <c r="P45" i="2" a="1"/>
  <c r="P45" i="2" l="1"/>
  <c r="O45" i="2" a="1"/>
  <c r="O45" i="2" l="1"/>
  <c r="N45" i="2" a="1"/>
  <c r="N45" i="2" l="1"/>
  <c r="M45" i="2" a="1"/>
  <c r="M45" i="2" l="1"/>
  <c r="L45" i="2" a="1"/>
  <c r="L45" i="2" l="1"/>
  <c r="K45" i="2" a="1"/>
  <c r="K45" i="2" l="1"/>
  <c r="Q44" i="2" a="1"/>
  <c r="Q44" i="2" l="1"/>
  <c r="P44" i="2" a="1"/>
  <c r="P44" i="2" l="1"/>
  <c r="O44" i="2" a="1"/>
  <c r="O44" i="2" l="1"/>
  <c r="N44" i="2" a="1"/>
  <c r="N44" i="2" l="1"/>
  <c r="M44" i="2" a="1"/>
  <c r="M44" i="2" l="1"/>
  <c r="L44" i="2" a="1"/>
  <c r="L44" i="2" l="1"/>
  <c r="K44" i="2" a="1"/>
  <c r="K44" i="2" l="1"/>
  <c r="Q43" i="2" a="1"/>
  <c r="Q43" i="2" l="1"/>
  <c r="P43" i="2" a="1"/>
  <c r="P43" i="2" l="1"/>
  <c r="O43" i="2" a="1"/>
  <c r="O43" i="2" l="1"/>
  <c r="N43" i="2" a="1"/>
  <c r="N43" i="2" l="1"/>
  <c r="M43" i="2" a="1"/>
  <c r="M43" i="2" l="1"/>
  <c r="L43" i="2" a="1"/>
  <c r="L43" i="2" l="1"/>
  <c r="K43" i="2" a="1"/>
  <c r="K43" i="2" l="1"/>
  <c r="Q42" i="2" a="1"/>
  <c r="Q42" i="2" l="1"/>
  <c r="P42" i="2" a="1"/>
  <c r="P42" i="2" l="1"/>
  <c r="O42" i="2" a="1"/>
  <c r="O42" i="2" l="1"/>
  <c r="N42" i="2" a="1"/>
  <c r="N42" i="2" l="1"/>
  <c r="M42" i="2" a="1"/>
  <c r="M42" i="2" l="1"/>
  <c r="L42" i="2" a="1"/>
  <c r="L42" i="2" l="1"/>
  <c r="K42" i="2" a="1"/>
  <c r="K42" i="2" l="1"/>
  <c r="Q41" i="2" a="1"/>
  <c r="Q41" i="2" l="1"/>
  <c r="P41" i="2" a="1"/>
  <c r="P41" i="2" l="1"/>
  <c r="O41" i="2" a="1"/>
  <c r="O41" i="2" l="1"/>
  <c r="N41" i="2" a="1"/>
  <c r="M41" i="2"/>
  <c r="N41" i="2" l="1"/>
  <c r="L41" i="2" a="1"/>
  <c r="L41" i="2" l="1"/>
  <c r="K41" i="2" a="1"/>
  <c r="K41" i="2" l="1"/>
  <c r="Q40" i="2" a="1"/>
  <c r="Q40" i="2" l="1"/>
  <c r="P40" i="2" a="1"/>
  <c r="P40" i="2" l="1"/>
  <c r="O40" i="2" a="1"/>
  <c r="O40" i="2" l="1"/>
  <c r="N40" i="2" a="1"/>
  <c r="N40" i="2" l="1"/>
  <c r="M40" i="2" a="1"/>
  <c r="M40" i="2" l="1"/>
  <c r="L40" i="2" a="1"/>
  <c r="L40" i="2" l="1"/>
  <c r="K40" i="2" a="1"/>
  <c r="K40" i="2" l="1"/>
  <c r="Q39" i="2" a="1"/>
  <c r="Q39" i="2" l="1"/>
  <c r="P39" i="2" a="1"/>
  <c r="P39" i="2" l="1"/>
  <c r="O39" i="2" a="1"/>
  <c r="O39" i="2" l="1"/>
  <c r="N39" i="2" a="1"/>
  <c r="N39" i="2" l="1"/>
  <c r="M39" i="2" a="1"/>
  <c r="M39" i="2" l="1"/>
  <c r="L39" i="2" a="1"/>
  <c r="L39" i="2" l="1"/>
  <c r="K39" i="2" a="1"/>
  <c r="K39" i="2" l="1"/>
  <c r="I49" i="2" a="1"/>
  <c r="I49" i="2" l="1"/>
  <c r="H49" i="2" a="1"/>
  <c r="H49" i="2" l="1"/>
  <c r="I48" i="2" a="1"/>
  <c r="I48" i="2" l="1"/>
  <c r="H48" i="2" a="1"/>
  <c r="I47" i="2"/>
  <c r="H47" i="2"/>
  <c r="I46" i="2"/>
  <c r="H46" i="2"/>
  <c r="H48" i="2" l="1"/>
  <c r="I45" i="2" a="1"/>
  <c r="I45" i="2" l="1"/>
  <c r="H45" i="2" a="1"/>
  <c r="H45" i="2" l="1"/>
  <c r="I44" i="2" a="1"/>
  <c r="I44" i="2" l="1"/>
  <c r="H44" i="2" a="1"/>
  <c r="H44" i="2" l="1"/>
  <c r="I43" i="2" a="1"/>
  <c r="I43" i="2" l="1"/>
  <c r="H43" i="2" a="1"/>
  <c r="H43" i="2" l="1"/>
  <c r="I42" i="2" a="1"/>
  <c r="I42" i="2" l="1"/>
  <c r="H42" i="2" a="1"/>
  <c r="H42" i="2" l="1"/>
  <c r="I41" i="2" a="1"/>
  <c r="I41" i="2" l="1"/>
  <c r="H41" i="2" a="1"/>
  <c r="H41" i="2" l="1"/>
  <c r="I40" i="2" a="1"/>
  <c r="I40" i="2" l="1"/>
  <c r="H40" i="2" a="1"/>
  <c r="H40" i="2" l="1"/>
  <c r="I39" i="2" a="1"/>
  <c r="I39" i="2" l="1"/>
  <c r="H39" i="2" a="1"/>
  <c r="H39" i="2" l="1"/>
  <c r="E49" i="2" a="1"/>
  <c r="E49" i="2" l="1"/>
  <c r="D49" i="2" a="1"/>
  <c r="D49" i="2" l="1"/>
  <c r="C49" i="2" a="1"/>
  <c r="C49" i="2" l="1"/>
  <c r="E48" i="2" a="1"/>
  <c r="E48" i="2" l="1"/>
  <c r="D48" i="2" a="1"/>
  <c r="D48" i="2" l="1"/>
  <c r="C48" i="2" a="1"/>
  <c r="D47" i="2"/>
  <c r="C47" i="2"/>
  <c r="E46" i="2"/>
  <c r="D46" i="2"/>
  <c r="C46" i="2"/>
  <c r="C48" i="2" l="1"/>
  <c r="E45" i="2" a="1"/>
  <c r="E45" i="2" l="1"/>
  <c r="D45" i="2" a="1"/>
  <c r="D45" i="2" l="1"/>
  <c r="C45" i="2" a="1"/>
  <c r="C45" i="2" l="1"/>
  <c r="E44" i="2" a="1"/>
  <c r="E44" i="2" l="1"/>
  <c r="D44" i="2" a="1"/>
  <c r="D44" i="2" l="1"/>
  <c r="C44" i="2" a="1"/>
  <c r="C44" i="2" l="1"/>
  <c r="E43" i="2" a="1"/>
  <c r="E43" i="2" l="1"/>
  <c r="D43" i="2" a="1"/>
  <c r="D43" i="2" l="1"/>
  <c r="C43" i="2" a="1"/>
  <c r="C43" i="2" l="1"/>
  <c r="E42" i="2" a="1"/>
  <c r="E42" i="2" l="1"/>
  <c r="D42" i="2" a="1"/>
  <c r="D42" i="2" l="1"/>
  <c r="C42" i="2" a="1"/>
  <c r="C42" i="2" l="1"/>
  <c r="E41" i="2" a="1"/>
  <c r="E41" i="2" l="1"/>
  <c r="D41" i="2" a="1"/>
  <c r="D41" i="2" l="1"/>
  <c r="C41" i="2" a="1"/>
  <c r="C41" i="2" l="1"/>
  <c r="E40" i="2" a="1"/>
  <c r="E40" i="2" l="1"/>
  <c r="D40" i="2" a="1"/>
  <c r="D40" i="2" l="1"/>
  <c r="C40" i="2" a="1"/>
  <c r="C40" i="2" l="1"/>
  <c r="E39" i="2" a="1"/>
  <c r="E39" i="2" l="1"/>
  <c r="D39" i="2" a="1"/>
  <c r="D39" i="2" l="1"/>
  <c r="C39" i="2" a="1"/>
  <c r="C39" i="2" l="1"/>
  <c r="X24" i="2"/>
  <c r="D12" i="12" l="1"/>
  <c r="H11" i="12"/>
  <c r="D11" i="12"/>
  <c r="G11" i="12"/>
  <c r="F11" i="12"/>
  <c r="E11" i="12"/>
  <c r="H9" i="12"/>
  <c r="D9" i="12"/>
  <c r="G9" i="12"/>
  <c r="F9" i="12"/>
  <c r="D5" i="12"/>
  <c r="E9" i="12"/>
  <c r="H10" i="12"/>
  <c r="D10" i="12"/>
  <c r="G10" i="12"/>
  <c r="F10" i="12"/>
  <c r="E10" i="12"/>
  <c r="H8" i="12"/>
  <c r="G8" i="12"/>
  <c r="G6" i="12"/>
  <c r="F8" i="12"/>
  <c r="E8" i="12"/>
  <c r="D8" i="12"/>
  <c r="F7" i="12"/>
  <c r="E7" i="12"/>
  <c r="D7" i="12"/>
  <c r="H6" i="12"/>
  <c r="F6" i="12"/>
  <c r="E6" i="12"/>
  <c r="D6" i="12"/>
  <c r="H5" i="12"/>
  <c r="G5" i="12"/>
  <c r="F5" i="12"/>
  <c r="E5" i="12"/>
  <c r="B20" i="2"/>
  <c r="B19" i="2"/>
  <c r="G54" i="2"/>
  <c r="AI8" i="5"/>
  <c r="F46" i="2" l="1"/>
  <c r="G46" i="2" s="1"/>
  <c r="F47" i="2"/>
  <c r="AG8" i="5" l="1"/>
  <c r="L13" i="10" l="1"/>
  <c r="K13" i="10"/>
  <c r="J13" i="10"/>
  <c r="I13" i="10"/>
  <c r="H13" i="10"/>
  <c r="G13" i="10"/>
  <c r="AG124" i="5"/>
  <c r="AF124" i="5"/>
  <c r="M124" i="5"/>
  <c r="L124" i="5"/>
  <c r="K124" i="5"/>
  <c r="J124" i="5"/>
  <c r="C11" i="10"/>
  <c r="X68" i="5"/>
  <c r="S68" i="5"/>
  <c r="AD68" i="5"/>
  <c r="AC68" i="5"/>
  <c r="Y68" i="5"/>
  <c r="T68" i="5"/>
  <c r="N68" i="5"/>
  <c r="C34" i="10" l="1"/>
  <c r="C33" i="10"/>
  <c r="I30" i="10"/>
  <c r="J30" i="10" s="1"/>
  <c r="I29" i="10"/>
  <c r="J29" i="10" s="1"/>
  <c r="I28" i="10"/>
  <c r="J28" i="10" s="1"/>
  <c r="C28" i="10"/>
  <c r="C27" i="10"/>
  <c r="J21" i="10"/>
  <c r="H21" i="10"/>
  <c r="G21" i="10"/>
  <c r="L17" i="10"/>
  <c r="K17" i="10"/>
  <c r="J17" i="10"/>
  <c r="G17" i="10"/>
  <c r="L21" i="10"/>
  <c r="C20" i="10" s="1"/>
  <c r="K21" i="10"/>
  <c r="I21" i="10"/>
  <c r="C13" i="10"/>
  <c r="C10" i="10"/>
  <c r="C15" i="10" s="1"/>
  <c r="H3" i="10"/>
  <c r="H17" i="10" s="1"/>
  <c r="C29" i="10" l="1"/>
  <c r="C30" i="10" s="1"/>
  <c r="C35" i="10"/>
  <c r="C36" i="10" s="1"/>
  <c r="K14" i="10"/>
  <c r="L14" i="10"/>
  <c r="I3" i="10"/>
  <c r="I17" i="10" s="1"/>
  <c r="U67" i="5" l="1"/>
  <c r="Z67" i="5"/>
  <c r="AE67" i="5"/>
  <c r="M70" i="5"/>
  <c r="L70" i="5"/>
  <c r="K70" i="5"/>
  <c r="J70" i="5"/>
  <c r="I24" i="4"/>
  <c r="AA24" i="4"/>
  <c r="Z24" i="4"/>
  <c r="AE24" i="4"/>
  <c r="AD24" i="4"/>
  <c r="AC24" i="4"/>
  <c r="AB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AG169" i="5"/>
  <c r="AF169" i="5"/>
  <c r="M169" i="5"/>
  <c r="M170" i="5" s="1"/>
  <c r="L169" i="5"/>
  <c r="L170" i="5" s="1"/>
  <c r="K169" i="5"/>
  <c r="K170" i="5" s="1"/>
  <c r="J169" i="5"/>
  <c r="J170" i="5" s="1"/>
  <c r="AE81" i="5"/>
  <c r="AE63" i="5"/>
  <c r="AD63" i="5"/>
  <c r="AE60" i="5"/>
  <c r="I60" i="5"/>
  <c r="AE43" i="5"/>
  <c r="AE40" i="5"/>
  <c r="AE10" i="5"/>
  <c r="AF8" i="5"/>
  <c r="Z16" i="5"/>
  <c r="Z20" i="5"/>
  <c r="AA67" i="5" l="1"/>
  <c r="Z68" i="5"/>
  <c r="V67" i="5"/>
  <c r="U68" i="5"/>
  <c r="AH67" i="5"/>
  <c r="AE69" i="5"/>
  <c r="AE68" i="5"/>
  <c r="M95" i="5"/>
  <c r="L95" i="5"/>
  <c r="K95" i="5"/>
  <c r="J95" i="5"/>
  <c r="M86" i="5"/>
  <c r="L86" i="5"/>
  <c r="K86" i="5"/>
  <c r="J86" i="5"/>
  <c r="M83" i="5"/>
  <c r="L83" i="5"/>
  <c r="K83" i="5"/>
  <c r="J83" i="5"/>
  <c r="M80" i="5"/>
  <c r="L80" i="5"/>
  <c r="K80" i="5"/>
  <c r="J80" i="5"/>
  <c r="M77" i="5"/>
  <c r="L77" i="5"/>
  <c r="K77" i="5"/>
  <c r="J77" i="5"/>
  <c r="O142" i="5"/>
  <c r="O169" i="5" s="1"/>
  <c r="O137" i="5"/>
  <c r="O136" i="5"/>
  <c r="O135" i="5"/>
  <c r="O134" i="5"/>
  <c r="O133" i="5"/>
  <c r="O132" i="5"/>
  <c r="O131" i="5"/>
  <c r="O123" i="5"/>
  <c r="O122" i="5"/>
  <c r="Q120" i="5"/>
  <c r="P120" i="5"/>
  <c r="O120" i="5"/>
  <c r="Q110" i="5"/>
  <c r="P110" i="5"/>
  <c r="O110" i="5"/>
  <c r="Q109" i="5"/>
  <c r="P109" i="5"/>
  <c r="O109" i="5"/>
  <c r="Q103" i="5"/>
  <c r="P103" i="5"/>
  <c r="O103" i="5"/>
  <c r="Q102" i="5"/>
  <c r="P102" i="5"/>
  <c r="O102" i="5"/>
  <c r="Q87" i="5"/>
  <c r="P87" i="5"/>
  <c r="O87" i="5"/>
  <c r="Q84" i="5"/>
  <c r="P84" i="5"/>
  <c r="O84" i="5"/>
  <c r="Q81" i="5"/>
  <c r="P81" i="5"/>
  <c r="O81" i="5"/>
  <c r="Q78" i="5"/>
  <c r="P78" i="5"/>
  <c r="O78" i="5"/>
  <c r="Q75" i="5"/>
  <c r="P75" i="5"/>
  <c r="O75" i="5"/>
  <c r="Q63" i="5"/>
  <c r="P63" i="5"/>
  <c r="O63" i="5"/>
  <c r="Q60" i="5"/>
  <c r="P60" i="5"/>
  <c r="O60" i="5"/>
  <c r="Q57" i="5"/>
  <c r="P57" i="5"/>
  <c r="O57" i="5"/>
  <c r="Q54" i="5"/>
  <c r="P54" i="5"/>
  <c r="O54" i="5"/>
  <c r="Q51" i="5"/>
  <c r="P51" i="5"/>
  <c r="O51" i="5"/>
  <c r="Q48" i="5"/>
  <c r="P48" i="5"/>
  <c r="O48" i="5"/>
  <c r="Q43" i="5"/>
  <c r="P43" i="5"/>
  <c r="O43" i="5"/>
  <c r="Q40" i="5"/>
  <c r="P40" i="5"/>
  <c r="O40" i="5"/>
  <c r="Q37" i="5"/>
  <c r="P37" i="5"/>
  <c r="O37" i="5"/>
  <c r="Q34" i="5"/>
  <c r="P34" i="5"/>
  <c r="O34" i="5"/>
  <c r="Q31" i="5"/>
  <c r="P31" i="5"/>
  <c r="O31" i="5"/>
  <c r="Q28" i="5"/>
  <c r="P28" i="5"/>
  <c r="O28" i="5"/>
  <c r="Q10" i="5"/>
  <c r="Q69" i="5" s="1"/>
  <c r="P10" i="5"/>
  <c r="P69" i="5" s="1"/>
  <c r="O10" i="5"/>
  <c r="O69" i="5" s="1"/>
  <c r="Q8" i="5"/>
  <c r="P8" i="5"/>
  <c r="O8" i="5"/>
  <c r="Q6" i="5"/>
  <c r="P6" i="5"/>
  <c r="O6" i="5"/>
  <c r="R47" i="4"/>
  <c r="R120" i="5" s="1"/>
  <c r="R31" i="4"/>
  <c r="R87" i="5" s="1"/>
  <c r="R42" i="4"/>
  <c r="R110" i="5" s="1"/>
  <c r="R41" i="4"/>
  <c r="R109" i="5" s="1"/>
  <c r="R38" i="4"/>
  <c r="R103" i="5" s="1"/>
  <c r="R37" i="4"/>
  <c r="R102" i="5" s="1"/>
  <c r="R34" i="4"/>
  <c r="R33" i="4"/>
  <c r="R29" i="4"/>
  <c r="R84" i="5" s="1"/>
  <c r="R28" i="4"/>
  <c r="R81" i="5" s="1"/>
  <c r="R27" i="4"/>
  <c r="R78" i="5" s="1"/>
  <c r="R26" i="4"/>
  <c r="R75" i="5" s="1"/>
  <c r="R23" i="4"/>
  <c r="R63" i="5" s="1"/>
  <c r="R22" i="4"/>
  <c r="R60" i="5" s="1"/>
  <c r="R21" i="4"/>
  <c r="R57" i="5" s="1"/>
  <c r="R20" i="4"/>
  <c r="R54" i="5" s="1"/>
  <c r="R19" i="4"/>
  <c r="R51" i="5" s="1"/>
  <c r="R18" i="4"/>
  <c r="R48" i="5" s="1"/>
  <c r="R15" i="4"/>
  <c r="R43" i="5" s="1"/>
  <c r="R14" i="4"/>
  <c r="R40" i="5" s="1"/>
  <c r="R13" i="4"/>
  <c r="R37" i="5" s="1"/>
  <c r="R12" i="4"/>
  <c r="R34" i="5" s="1"/>
  <c r="R11" i="4"/>
  <c r="R31" i="5" s="1"/>
  <c r="R10" i="4"/>
  <c r="R28" i="5" s="1"/>
  <c r="R8" i="4"/>
  <c r="R10" i="5" s="1"/>
  <c r="R69" i="5" s="1"/>
  <c r="R7" i="4"/>
  <c r="R8" i="5" s="1"/>
  <c r="R6" i="4"/>
  <c r="R6" i="5" s="1"/>
  <c r="W6" i="4"/>
  <c r="W6" i="5" s="1"/>
  <c r="Q60" i="4"/>
  <c r="Q134" i="5" s="1"/>
  <c r="P68" i="4"/>
  <c r="Q68" i="4" s="1"/>
  <c r="P63" i="4"/>
  <c r="P137" i="5" s="1"/>
  <c r="P62" i="4"/>
  <c r="P136" i="5" s="1"/>
  <c r="P61" i="4"/>
  <c r="Q61" i="4" s="1"/>
  <c r="P60" i="4"/>
  <c r="P134" i="5" s="1"/>
  <c r="P59" i="4"/>
  <c r="P133" i="5" s="1"/>
  <c r="P58" i="4"/>
  <c r="P132" i="5" s="1"/>
  <c r="P57" i="4"/>
  <c r="Q57" i="4" s="1"/>
  <c r="P50" i="4"/>
  <c r="Q50" i="4" s="1"/>
  <c r="P49" i="4"/>
  <c r="P122" i="5" s="1"/>
  <c r="AE120" i="5"/>
  <c r="AE110" i="5"/>
  <c r="AF110" i="5" s="1"/>
  <c r="AG110" i="5" s="1"/>
  <c r="AH110" i="5" s="1"/>
  <c r="AI110" i="5" s="1"/>
  <c r="AJ110" i="5" s="1"/>
  <c r="AE109" i="5"/>
  <c r="AF109" i="5" s="1"/>
  <c r="AG109" i="5" s="1"/>
  <c r="AH109" i="5" s="1"/>
  <c r="AI109" i="5" s="1"/>
  <c r="AJ109" i="5" s="1"/>
  <c r="AE103" i="5"/>
  <c r="AE102" i="5"/>
  <c r="AE87" i="5"/>
  <c r="AE84" i="5"/>
  <c r="AE78" i="5"/>
  <c r="AE75" i="5"/>
  <c r="AE77" i="5" s="1"/>
  <c r="AE57" i="5"/>
  <c r="AE54" i="5"/>
  <c r="AE51" i="5"/>
  <c r="AE48" i="5"/>
  <c r="AE37" i="5"/>
  <c r="AE38" i="5" s="1"/>
  <c r="AE34" i="5"/>
  <c r="AE31" i="5"/>
  <c r="AE28" i="5"/>
  <c r="AE8" i="5"/>
  <c r="AE14" i="5" s="1"/>
  <c r="AE6" i="5"/>
  <c r="AE22" i="5" s="1"/>
  <c r="AD142" i="5"/>
  <c r="AD137" i="5"/>
  <c r="AD136" i="5"/>
  <c r="AD135" i="5"/>
  <c r="AD134" i="5"/>
  <c r="AD133" i="5"/>
  <c r="AD132" i="5"/>
  <c r="AD131" i="5"/>
  <c r="AD123" i="5"/>
  <c r="AD122" i="5"/>
  <c r="AD120" i="5"/>
  <c r="AD110" i="5"/>
  <c r="AD109" i="5"/>
  <c r="AD103" i="5"/>
  <c r="AD102" i="5"/>
  <c r="AD87" i="5"/>
  <c r="AD84" i="5"/>
  <c r="AD86" i="5" s="1"/>
  <c r="AD81" i="5"/>
  <c r="AD78" i="5"/>
  <c r="AD75" i="5"/>
  <c r="AD60" i="5"/>
  <c r="AD57" i="5"/>
  <c r="AD54" i="5"/>
  <c r="AD51" i="5"/>
  <c r="AD48" i="5"/>
  <c r="AD43" i="5"/>
  <c r="AD40" i="5"/>
  <c r="AD37" i="5"/>
  <c r="AD34" i="5"/>
  <c r="AD31" i="5"/>
  <c r="AD28" i="5"/>
  <c r="AD10" i="5"/>
  <c r="AD69" i="5" s="1"/>
  <c r="AD8" i="5"/>
  <c r="AH8" i="5" s="1"/>
  <c r="AD6" i="5"/>
  <c r="AC110" i="5"/>
  <c r="AA110" i="5"/>
  <c r="Z110" i="5"/>
  <c r="Y110" i="5"/>
  <c r="X110" i="5"/>
  <c r="V110" i="5"/>
  <c r="U110" i="5"/>
  <c r="T110" i="5"/>
  <c r="S110" i="5"/>
  <c r="N110" i="5"/>
  <c r="AC109" i="5"/>
  <c r="AA109" i="5"/>
  <c r="Z109" i="5"/>
  <c r="Y109" i="5"/>
  <c r="X109" i="5"/>
  <c r="V109" i="5"/>
  <c r="U109" i="5"/>
  <c r="T109" i="5"/>
  <c r="S109" i="5"/>
  <c r="N109" i="5"/>
  <c r="AC103" i="5"/>
  <c r="AA103" i="5"/>
  <c r="Z103" i="5"/>
  <c r="Y103" i="5"/>
  <c r="X103" i="5"/>
  <c r="V103" i="5"/>
  <c r="U103" i="5"/>
  <c r="T103" i="5"/>
  <c r="S103" i="5"/>
  <c r="N103" i="5"/>
  <c r="AC102" i="5"/>
  <c r="AA102" i="5"/>
  <c r="Z102" i="5"/>
  <c r="Y102" i="5"/>
  <c r="X102" i="5"/>
  <c r="V102" i="5"/>
  <c r="U102" i="5"/>
  <c r="T102" i="5"/>
  <c r="S102" i="5"/>
  <c r="N102" i="5"/>
  <c r="AC87" i="5"/>
  <c r="AA87" i="5"/>
  <c r="Z87" i="5"/>
  <c r="Y87" i="5"/>
  <c r="X87" i="5"/>
  <c r="V87" i="5"/>
  <c r="U87" i="5"/>
  <c r="T87" i="5"/>
  <c r="S87" i="5"/>
  <c r="N87" i="5"/>
  <c r="AC84" i="5"/>
  <c r="AA84" i="5"/>
  <c r="Z84" i="5"/>
  <c r="Y84" i="5"/>
  <c r="X84" i="5"/>
  <c r="V84" i="5"/>
  <c r="U84" i="5"/>
  <c r="T84" i="5"/>
  <c r="S84" i="5"/>
  <c r="N84" i="5"/>
  <c r="AC81" i="5"/>
  <c r="AA81" i="5"/>
  <c r="Z81" i="5"/>
  <c r="Y81" i="5"/>
  <c r="X81" i="5"/>
  <c r="V81" i="5"/>
  <c r="U81" i="5"/>
  <c r="T81" i="5"/>
  <c r="S81" i="5"/>
  <c r="N81" i="5"/>
  <c r="AC78" i="5"/>
  <c r="AA78" i="5"/>
  <c r="Z78" i="5"/>
  <c r="Y78" i="5"/>
  <c r="X78" i="5"/>
  <c r="V78" i="5"/>
  <c r="U78" i="5"/>
  <c r="T78" i="5"/>
  <c r="S78" i="5"/>
  <c r="N78" i="5"/>
  <c r="AC75" i="5"/>
  <c r="AA75" i="5"/>
  <c r="Z75" i="5"/>
  <c r="Y75" i="5"/>
  <c r="X75" i="5"/>
  <c r="V75" i="5"/>
  <c r="U75" i="5"/>
  <c r="T75" i="5"/>
  <c r="S75" i="5"/>
  <c r="N75" i="5"/>
  <c r="AC63" i="5"/>
  <c r="AA63" i="5"/>
  <c r="Z63" i="5"/>
  <c r="Y63" i="5"/>
  <c r="X63" i="5"/>
  <c r="V63" i="5"/>
  <c r="U63" i="5"/>
  <c r="T63" i="5"/>
  <c r="S63" i="5"/>
  <c r="N63" i="5"/>
  <c r="AC60" i="5"/>
  <c r="AA60" i="5"/>
  <c r="Z60" i="5"/>
  <c r="Y60" i="5"/>
  <c r="X60" i="5"/>
  <c r="V60" i="5"/>
  <c r="U60" i="5"/>
  <c r="T60" i="5"/>
  <c r="S60" i="5"/>
  <c r="N60" i="5"/>
  <c r="AC57" i="5"/>
  <c r="AA57" i="5"/>
  <c r="Z57" i="5"/>
  <c r="Y57" i="5"/>
  <c r="X57" i="5"/>
  <c r="V57" i="5"/>
  <c r="U57" i="5"/>
  <c r="T57" i="5"/>
  <c r="S57" i="5"/>
  <c r="N57" i="5"/>
  <c r="AC54" i="5"/>
  <c r="AA54" i="5"/>
  <c r="Z54" i="5"/>
  <c r="Y54" i="5"/>
  <c r="X54" i="5"/>
  <c r="V54" i="5"/>
  <c r="U54" i="5"/>
  <c r="T54" i="5"/>
  <c r="S54" i="5"/>
  <c r="N54" i="5"/>
  <c r="AC51" i="5"/>
  <c r="AA51" i="5"/>
  <c r="Z51" i="5"/>
  <c r="Y51" i="5"/>
  <c r="X51" i="5"/>
  <c r="V51" i="5"/>
  <c r="U51" i="5"/>
  <c r="T51" i="5"/>
  <c r="S51" i="5"/>
  <c r="N51" i="5"/>
  <c r="AC48" i="5"/>
  <c r="AA48" i="5"/>
  <c r="Z48" i="5"/>
  <c r="Y48" i="5"/>
  <c r="X48" i="5"/>
  <c r="V48" i="5"/>
  <c r="U48" i="5"/>
  <c r="T48" i="5"/>
  <c r="S48" i="5"/>
  <c r="N48" i="5"/>
  <c r="AC43" i="5"/>
  <c r="AA43" i="5"/>
  <c r="Z43" i="5"/>
  <c r="Y43" i="5"/>
  <c r="X43" i="5"/>
  <c r="V43" i="5"/>
  <c r="U43" i="5"/>
  <c r="T43" i="5"/>
  <c r="S43" i="5"/>
  <c r="N43" i="5"/>
  <c r="AC40" i="5"/>
  <c r="AA40" i="5"/>
  <c r="Z40" i="5"/>
  <c r="Y40" i="5"/>
  <c r="X40" i="5"/>
  <c r="V40" i="5"/>
  <c r="U40" i="5"/>
  <c r="T40" i="5"/>
  <c r="S40" i="5"/>
  <c r="N40" i="5"/>
  <c r="AC37" i="5"/>
  <c r="AA37" i="5"/>
  <c r="Y37" i="5"/>
  <c r="X37" i="5"/>
  <c r="V37" i="5"/>
  <c r="U37" i="5"/>
  <c r="Z38" i="5" s="1"/>
  <c r="T37" i="5"/>
  <c r="S37" i="5"/>
  <c r="N37" i="5"/>
  <c r="AC34" i="5"/>
  <c r="AA34" i="5"/>
  <c r="Z34" i="5"/>
  <c r="Y34" i="5"/>
  <c r="X34" i="5"/>
  <c r="V34" i="5"/>
  <c r="U34" i="5"/>
  <c r="T34" i="5"/>
  <c r="S34" i="5"/>
  <c r="N34" i="5"/>
  <c r="AC31" i="5"/>
  <c r="AA31" i="5"/>
  <c r="Z31" i="5"/>
  <c r="Y31" i="5"/>
  <c r="X31" i="5"/>
  <c r="V31" i="5"/>
  <c r="U31" i="5"/>
  <c r="T31" i="5"/>
  <c r="S31" i="5"/>
  <c r="N31" i="5"/>
  <c r="AC28" i="5"/>
  <c r="AA28" i="5"/>
  <c r="Z28" i="5"/>
  <c r="Y28" i="5"/>
  <c r="X28" i="5"/>
  <c r="V28" i="5"/>
  <c r="U28" i="5"/>
  <c r="T28" i="5"/>
  <c r="S28" i="5"/>
  <c r="N28" i="5"/>
  <c r="AC10" i="5"/>
  <c r="AA10" i="5"/>
  <c r="Z10" i="5"/>
  <c r="Z69" i="5" s="1"/>
  <c r="Y10" i="5"/>
  <c r="Y69" i="5" s="1"/>
  <c r="X10" i="5"/>
  <c r="V10" i="5"/>
  <c r="U10" i="5"/>
  <c r="U69" i="5" s="1"/>
  <c r="T10" i="5"/>
  <c r="T69" i="5" s="1"/>
  <c r="S10" i="5"/>
  <c r="N10" i="5"/>
  <c r="N69" i="5" s="1"/>
  <c r="AC8" i="5"/>
  <c r="AA8" i="5"/>
  <c r="AA13" i="5" s="1"/>
  <c r="Z8" i="5"/>
  <c r="Y8" i="5"/>
  <c r="X8" i="5"/>
  <c r="V8" i="5"/>
  <c r="U8" i="5"/>
  <c r="U13" i="5" s="1"/>
  <c r="T8" i="5"/>
  <c r="T13" i="5" s="1"/>
  <c r="S8" i="5"/>
  <c r="N8" i="5"/>
  <c r="AC6" i="5"/>
  <c r="AA6" i="5"/>
  <c r="AF6" i="5" s="1"/>
  <c r="Z6" i="5"/>
  <c r="Z21" i="5" s="1"/>
  <c r="Y6" i="5"/>
  <c r="X6" i="5"/>
  <c r="V6" i="5"/>
  <c r="U6" i="5"/>
  <c r="T6" i="5"/>
  <c r="S6" i="5"/>
  <c r="N6" i="5"/>
  <c r="AC163" i="5"/>
  <c r="X163" i="5"/>
  <c r="S163" i="5"/>
  <c r="N163" i="5"/>
  <c r="I163" i="5"/>
  <c r="AC162" i="5"/>
  <c r="X162" i="5"/>
  <c r="S162" i="5"/>
  <c r="N162" i="5"/>
  <c r="I162" i="5"/>
  <c r="AC159" i="5"/>
  <c r="X159" i="5"/>
  <c r="S159" i="5"/>
  <c r="N159" i="5"/>
  <c r="I159" i="5"/>
  <c r="AC158" i="5"/>
  <c r="X158" i="5"/>
  <c r="S158" i="5"/>
  <c r="N158" i="5"/>
  <c r="I158" i="5"/>
  <c r="AC157" i="5"/>
  <c r="X157" i="5"/>
  <c r="S157" i="5"/>
  <c r="N157" i="5"/>
  <c r="I157" i="5"/>
  <c r="AC156" i="5"/>
  <c r="X156" i="5"/>
  <c r="S156" i="5"/>
  <c r="N156" i="5"/>
  <c r="I156" i="5"/>
  <c r="AC155" i="5"/>
  <c r="X155" i="5"/>
  <c r="S155" i="5"/>
  <c r="N155" i="5"/>
  <c r="I155" i="5"/>
  <c r="AC154" i="5"/>
  <c r="X154" i="5"/>
  <c r="S154" i="5"/>
  <c r="N154" i="5"/>
  <c r="I154" i="5"/>
  <c r="AC153" i="5"/>
  <c r="X153" i="5"/>
  <c r="S153" i="5"/>
  <c r="N153" i="5"/>
  <c r="I153" i="5"/>
  <c r="AC152" i="5"/>
  <c r="X152" i="5"/>
  <c r="S152" i="5"/>
  <c r="N152" i="5"/>
  <c r="I152" i="5"/>
  <c r="AC151" i="5"/>
  <c r="X151" i="5"/>
  <c r="S151" i="5"/>
  <c r="N151" i="5"/>
  <c r="I151" i="5"/>
  <c r="AC150" i="5"/>
  <c r="X150" i="5"/>
  <c r="S150" i="5"/>
  <c r="N150" i="5"/>
  <c r="I150" i="5"/>
  <c r="AC149" i="5"/>
  <c r="X149" i="5"/>
  <c r="S149" i="5"/>
  <c r="N149" i="5"/>
  <c r="I149" i="5"/>
  <c r="AC146" i="5"/>
  <c r="X146" i="5"/>
  <c r="S146" i="5"/>
  <c r="N146" i="5"/>
  <c r="I146" i="5"/>
  <c r="AC145" i="5"/>
  <c r="X145" i="5"/>
  <c r="S145" i="5"/>
  <c r="N145" i="5"/>
  <c r="I145" i="5"/>
  <c r="AC144" i="5"/>
  <c r="X144" i="5"/>
  <c r="S144" i="5"/>
  <c r="N144" i="5"/>
  <c r="I144" i="5"/>
  <c r="AC143" i="5"/>
  <c r="X143" i="5"/>
  <c r="S143" i="5"/>
  <c r="N143" i="5"/>
  <c r="I143" i="5"/>
  <c r="AC142" i="5"/>
  <c r="AC169" i="5" s="1"/>
  <c r="Y142" i="5"/>
  <c r="Y169" i="5" s="1"/>
  <c r="X142" i="5"/>
  <c r="X169" i="5" s="1"/>
  <c r="T142" i="5"/>
  <c r="T169" i="5" s="1"/>
  <c r="S142" i="5"/>
  <c r="S169" i="5" s="1"/>
  <c r="N142" i="5"/>
  <c r="N169" i="5" s="1"/>
  <c r="I142" i="5"/>
  <c r="I169" i="5" s="1"/>
  <c r="AC141" i="5"/>
  <c r="X141" i="5"/>
  <c r="S141" i="5"/>
  <c r="N141" i="5"/>
  <c r="I141" i="5"/>
  <c r="AC140" i="5"/>
  <c r="X140" i="5"/>
  <c r="S140" i="5"/>
  <c r="N140" i="5"/>
  <c r="I140" i="5"/>
  <c r="AC137" i="5"/>
  <c r="Y137" i="5"/>
  <c r="X137" i="5"/>
  <c r="T137" i="5"/>
  <c r="S137" i="5"/>
  <c r="N137" i="5"/>
  <c r="I137" i="5"/>
  <c r="AC136" i="5"/>
  <c r="Y136" i="5"/>
  <c r="X136" i="5"/>
  <c r="T136" i="5"/>
  <c r="S136" i="5"/>
  <c r="N136" i="5"/>
  <c r="I136" i="5"/>
  <c r="AC135" i="5"/>
  <c r="Y135" i="5"/>
  <c r="X135" i="5"/>
  <c r="T135" i="5"/>
  <c r="S135" i="5"/>
  <c r="N135" i="5"/>
  <c r="I135" i="5"/>
  <c r="AC134" i="5"/>
  <c r="Y134" i="5"/>
  <c r="X134" i="5"/>
  <c r="T134" i="5"/>
  <c r="S134" i="5"/>
  <c r="N134" i="5"/>
  <c r="I134" i="5"/>
  <c r="AC133" i="5"/>
  <c r="Y133" i="5"/>
  <c r="X133" i="5"/>
  <c r="U133" i="5"/>
  <c r="T133" i="5"/>
  <c r="S133" i="5"/>
  <c r="N133" i="5"/>
  <c r="I133" i="5"/>
  <c r="AC132" i="5"/>
  <c r="Y132" i="5"/>
  <c r="X132" i="5"/>
  <c r="T132" i="5"/>
  <c r="S132" i="5"/>
  <c r="N132" i="5"/>
  <c r="I132" i="5"/>
  <c r="AC131" i="5"/>
  <c r="Y131" i="5"/>
  <c r="X131" i="5"/>
  <c r="T131" i="5"/>
  <c r="S131" i="5"/>
  <c r="N131" i="5"/>
  <c r="I131" i="5"/>
  <c r="AC129" i="5"/>
  <c r="X129" i="5"/>
  <c r="S129" i="5"/>
  <c r="AC128" i="5"/>
  <c r="X128" i="5"/>
  <c r="S128" i="5"/>
  <c r="N128" i="5"/>
  <c r="I128" i="5"/>
  <c r="AC127" i="5"/>
  <c r="X127" i="5"/>
  <c r="S127" i="5"/>
  <c r="N127" i="5"/>
  <c r="I127" i="5"/>
  <c r="AC126" i="5"/>
  <c r="X126" i="5"/>
  <c r="S126" i="5"/>
  <c r="N126" i="5"/>
  <c r="I126" i="5"/>
  <c r="AC125" i="5"/>
  <c r="X125" i="5"/>
  <c r="S125" i="5"/>
  <c r="N125" i="5"/>
  <c r="I125" i="5"/>
  <c r="AC123" i="5"/>
  <c r="Y123" i="5"/>
  <c r="X123" i="5"/>
  <c r="T123" i="5"/>
  <c r="S123" i="5"/>
  <c r="N123" i="5"/>
  <c r="I123" i="5"/>
  <c r="AC122" i="5"/>
  <c r="Y122" i="5"/>
  <c r="X122" i="5"/>
  <c r="T122" i="5"/>
  <c r="S122" i="5"/>
  <c r="N122" i="5"/>
  <c r="I122" i="5"/>
  <c r="I124" i="5" s="1"/>
  <c r="AC120" i="5"/>
  <c r="AB120" i="5"/>
  <c r="AA120" i="5"/>
  <c r="Z120" i="5"/>
  <c r="Y120" i="5"/>
  <c r="X120" i="5"/>
  <c r="V120" i="5"/>
  <c r="U120" i="5"/>
  <c r="T120" i="5"/>
  <c r="S120" i="5"/>
  <c r="N120" i="5"/>
  <c r="I120" i="5"/>
  <c r="I110" i="5"/>
  <c r="I109" i="5"/>
  <c r="I103" i="5"/>
  <c r="I102" i="5"/>
  <c r="I87" i="5"/>
  <c r="I84" i="5"/>
  <c r="I81" i="5"/>
  <c r="I78" i="5"/>
  <c r="I75" i="5"/>
  <c r="I63" i="5"/>
  <c r="I57" i="5"/>
  <c r="I54" i="5"/>
  <c r="I51" i="5"/>
  <c r="I48" i="5"/>
  <c r="I43" i="5"/>
  <c r="I40" i="5"/>
  <c r="I37" i="5"/>
  <c r="I34" i="5"/>
  <c r="I31" i="5"/>
  <c r="I28" i="5"/>
  <c r="I10" i="5"/>
  <c r="I69" i="5" s="1"/>
  <c r="I8" i="5"/>
  <c r="I6" i="5"/>
  <c r="AE11" i="5" l="1"/>
  <c r="AD124" i="5"/>
  <c r="AC124" i="5"/>
  <c r="AC77" i="5"/>
  <c r="N124" i="5"/>
  <c r="S124" i="5"/>
  <c r="T124" i="5"/>
  <c r="X124" i="5"/>
  <c r="Y124" i="5"/>
  <c r="O124" i="5"/>
  <c r="H4" i="10"/>
  <c r="X69" i="5"/>
  <c r="I4" i="10"/>
  <c r="AC69" i="5"/>
  <c r="G4" i="10"/>
  <c r="G18" i="10" s="1"/>
  <c r="S69" i="5"/>
  <c r="W67" i="5"/>
  <c r="V69" i="5"/>
  <c r="V68" i="5"/>
  <c r="AH68" i="5"/>
  <c r="AA68" i="5"/>
  <c r="AA69" i="5"/>
  <c r="AC29" i="5"/>
  <c r="AJ8" i="5"/>
  <c r="AE70" i="5"/>
  <c r="O170" i="5"/>
  <c r="S64" i="5"/>
  <c r="S70" i="5"/>
  <c r="T70" i="5"/>
  <c r="U70" i="5"/>
  <c r="V70" i="5"/>
  <c r="AD70" i="5"/>
  <c r="AD99" i="5" s="1"/>
  <c r="AD100" i="5" s="1"/>
  <c r="X70" i="5"/>
  <c r="Y70" i="5"/>
  <c r="Z70" i="5"/>
  <c r="AA70" i="5"/>
  <c r="Z82" i="5"/>
  <c r="AC170" i="5"/>
  <c r="S170" i="5"/>
  <c r="N170" i="5"/>
  <c r="Z52" i="5"/>
  <c r="Z49" i="5"/>
  <c r="Z76" i="5"/>
  <c r="Z64" i="5"/>
  <c r="Q49" i="4"/>
  <c r="R49" i="4" s="1"/>
  <c r="R122" i="5" s="1"/>
  <c r="P142" i="5"/>
  <c r="P169" i="5" s="1"/>
  <c r="P170" i="5" s="1"/>
  <c r="Q59" i="4"/>
  <c r="Q133" i="5" s="1"/>
  <c r="Z41" i="5"/>
  <c r="Z61" i="5"/>
  <c r="AH34" i="5"/>
  <c r="Q63" i="4"/>
  <c r="Q137" i="5" s="1"/>
  <c r="Y170" i="5"/>
  <c r="Z35" i="5"/>
  <c r="P135" i="5"/>
  <c r="R61" i="4"/>
  <c r="R135" i="5" s="1"/>
  <c r="Q135" i="5"/>
  <c r="R68" i="4"/>
  <c r="R142" i="5" s="1"/>
  <c r="R169" i="5" s="1"/>
  <c r="R170" i="5" s="1"/>
  <c r="Q142" i="5"/>
  <c r="Q169" i="5" s="1"/>
  <c r="Q170" i="5" s="1"/>
  <c r="Q123" i="5"/>
  <c r="R50" i="4"/>
  <c r="R123" i="5" s="1"/>
  <c r="Q131" i="5"/>
  <c r="R57" i="4"/>
  <c r="R131" i="5" s="1"/>
  <c r="X170" i="5"/>
  <c r="Q58" i="4"/>
  <c r="Z85" i="5"/>
  <c r="Z88" i="5"/>
  <c r="Q62" i="4"/>
  <c r="R60" i="4"/>
  <c r="R134" i="5" s="1"/>
  <c r="I170" i="5"/>
  <c r="AD169" i="5"/>
  <c r="AD170" i="5" s="1"/>
  <c r="P123" i="5"/>
  <c r="P95" i="5" s="1"/>
  <c r="P97" i="5" s="1"/>
  <c r="T170" i="5"/>
  <c r="P131" i="5"/>
  <c r="AF9" i="5"/>
  <c r="AE23" i="5"/>
  <c r="AE7" i="5"/>
  <c r="AD89" i="5"/>
  <c r="V32" i="5"/>
  <c r="V61" i="5"/>
  <c r="V79" i="5"/>
  <c r="V88" i="5"/>
  <c r="AD30" i="5"/>
  <c r="U79" i="5"/>
  <c r="I77" i="5"/>
  <c r="I33" i="5"/>
  <c r="I80" i="5"/>
  <c r="AD36" i="5"/>
  <c r="AD83" i="5"/>
  <c r="I30" i="5"/>
  <c r="I39" i="5"/>
  <c r="I86" i="5"/>
  <c r="Z7" i="5"/>
  <c r="I53" i="5"/>
  <c r="AC9" i="5"/>
  <c r="S80" i="5"/>
  <c r="V7" i="5"/>
  <c r="V11" i="5"/>
  <c r="V29" i="5"/>
  <c r="V35" i="5"/>
  <c r="V44" i="5"/>
  <c r="V49" i="5"/>
  <c r="V58" i="5"/>
  <c r="V76" i="5"/>
  <c r="V82" i="5"/>
  <c r="V85" i="5"/>
  <c r="O83" i="5"/>
  <c r="O45" i="5"/>
  <c r="Y7" i="5"/>
  <c r="Y11" i="5"/>
  <c r="Y35" i="5"/>
  <c r="Y38" i="5"/>
  <c r="Y49" i="5"/>
  <c r="Y52" i="5"/>
  <c r="Y61" i="5"/>
  <c r="Y64" i="5"/>
  <c r="Y76" i="5"/>
  <c r="Y79" i="5"/>
  <c r="Y82" i="5"/>
  <c r="Y88" i="5"/>
  <c r="Q59" i="5"/>
  <c r="O80" i="5"/>
  <c r="V9" i="5"/>
  <c r="V13" i="5"/>
  <c r="X29" i="5"/>
  <c r="X85" i="5"/>
  <c r="P50" i="5"/>
  <c r="P80" i="5"/>
  <c r="Y9" i="5"/>
  <c r="Y13" i="5"/>
  <c r="AE9" i="5"/>
  <c r="Z13" i="5"/>
  <c r="AA80" i="5"/>
  <c r="AA88" i="5"/>
  <c r="O39" i="5"/>
  <c r="N77" i="5"/>
  <c r="AD9" i="5"/>
  <c r="AD14" i="5"/>
  <c r="AC11" i="5"/>
  <c r="AC32" i="5"/>
  <c r="AC41" i="5"/>
  <c r="AC44" i="5"/>
  <c r="AC52" i="5"/>
  <c r="AC55" i="5"/>
  <c r="AC58" i="5"/>
  <c r="AC64" i="5"/>
  <c r="AC76" i="5"/>
  <c r="AE56" i="5"/>
  <c r="Q86" i="5"/>
  <c r="N82" i="5"/>
  <c r="R59" i="5"/>
  <c r="N56" i="5"/>
  <c r="N86" i="5"/>
  <c r="R30" i="5"/>
  <c r="R39" i="5"/>
  <c r="R50" i="5"/>
  <c r="R77" i="5"/>
  <c r="R86" i="5"/>
  <c r="X79" i="5"/>
  <c r="X88" i="5"/>
  <c r="AE62" i="5"/>
  <c r="O89" i="5"/>
  <c r="T29" i="5"/>
  <c r="T49" i="5"/>
  <c r="T58" i="5"/>
  <c r="T76" i="5"/>
  <c r="T85" i="5"/>
  <c r="U9" i="5"/>
  <c r="U11" i="5"/>
  <c r="U32" i="5"/>
  <c r="U41" i="5"/>
  <c r="U61" i="5"/>
  <c r="U80" i="5"/>
  <c r="U82" i="5"/>
  <c r="U85" i="5"/>
  <c r="U88" i="5"/>
  <c r="AD76" i="5"/>
  <c r="AE79" i="5"/>
  <c r="R42" i="5"/>
  <c r="R80" i="5"/>
  <c r="R89" i="5"/>
  <c r="AA89" i="5"/>
  <c r="AD80" i="5"/>
  <c r="O59" i="5"/>
  <c r="O86" i="5"/>
  <c r="X95" i="5"/>
  <c r="X97" i="5" s="1"/>
  <c r="R83" i="5"/>
  <c r="I42" i="5"/>
  <c r="R62" i="5"/>
  <c r="I45" i="5"/>
  <c r="AA64" i="5"/>
  <c r="AA77" i="5"/>
  <c r="AA79" i="5"/>
  <c r="AA82" i="5"/>
  <c r="AA85" i="5"/>
  <c r="AE50" i="5"/>
  <c r="O77" i="5"/>
  <c r="I89" i="5"/>
  <c r="Z56" i="5"/>
  <c r="Z80" i="5"/>
  <c r="Z83" i="5"/>
  <c r="I50" i="5"/>
  <c r="U76" i="5"/>
  <c r="P86" i="5"/>
  <c r="T77" i="5"/>
  <c r="AE80" i="5"/>
  <c r="AC79" i="5"/>
  <c r="AC83" i="5"/>
  <c r="AC85" i="5"/>
  <c r="AC89" i="5"/>
  <c r="AD53" i="5"/>
  <c r="N76" i="5"/>
  <c r="N80" i="5"/>
  <c r="N89" i="5"/>
  <c r="U89" i="5"/>
  <c r="S7" i="5"/>
  <c r="S35" i="5"/>
  <c r="S41" i="5"/>
  <c r="S55" i="5"/>
  <c r="S77" i="5"/>
  <c r="S82" i="5"/>
  <c r="S85" i="5"/>
  <c r="O33" i="5"/>
  <c r="O42" i="5"/>
  <c r="O53" i="5"/>
  <c r="O62" i="5"/>
  <c r="Z79" i="5"/>
  <c r="I59" i="5"/>
  <c r="S32" i="5"/>
  <c r="S44" i="5"/>
  <c r="S58" i="5"/>
  <c r="I62" i="5"/>
  <c r="T9" i="5"/>
  <c r="T11" i="5"/>
  <c r="T32" i="5"/>
  <c r="T35" i="5"/>
  <c r="T41" i="5"/>
  <c r="T44" i="5"/>
  <c r="T55" i="5"/>
  <c r="T61" i="5"/>
  <c r="T95" i="5"/>
  <c r="T97" i="5" s="1"/>
  <c r="T79" i="5"/>
  <c r="T82" i="5"/>
  <c r="T88" i="5"/>
  <c r="AD62" i="5"/>
  <c r="AD95" i="5"/>
  <c r="AD97" i="5" s="1"/>
  <c r="AE86" i="5"/>
  <c r="P33" i="5"/>
  <c r="X65" i="5"/>
  <c r="N64" i="5"/>
  <c r="N95" i="5"/>
  <c r="N97" i="5" s="1"/>
  <c r="U77" i="5"/>
  <c r="AD11" i="5"/>
  <c r="Q89" i="5"/>
  <c r="S76" i="5"/>
  <c r="N83" i="5"/>
  <c r="AA76" i="5"/>
  <c r="AE82" i="5"/>
  <c r="O36" i="5"/>
  <c r="I36" i="5"/>
  <c r="I83" i="5"/>
  <c r="X76" i="5"/>
  <c r="X80" i="5"/>
  <c r="X82" i="5"/>
  <c r="X86" i="5"/>
  <c r="X89" i="5"/>
  <c r="AD82" i="5"/>
  <c r="P45" i="5"/>
  <c r="P56" i="5"/>
  <c r="P83" i="5"/>
  <c r="U83" i="5"/>
  <c r="Y30" i="5"/>
  <c r="Y45" i="5"/>
  <c r="Y56" i="5"/>
  <c r="Y86" i="5"/>
  <c r="AD85" i="5"/>
  <c r="AE41" i="5"/>
  <c r="AE88" i="5"/>
  <c r="Q45" i="5"/>
  <c r="Q83" i="5"/>
  <c r="X83" i="5"/>
  <c r="AC36" i="5"/>
  <c r="AC39" i="5"/>
  <c r="AC50" i="5"/>
  <c r="P39" i="5"/>
  <c r="P59" i="5"/>
  <c r="AE76" i="5"/>
  <c r="N79" i="5"/>
  <c r="AD79" i="5"/>
  <c r="AC82" i="5"/>
  <c r="AC86" i="5"/>
  <c r="S89" i="5"/>
  <c r="AE89" i="5"/>
  <c r="I56" i="5"/>
  <c r="S29" i="5"/>
  <c r="N33" i="5"/>
  <c r="N36" i="5"/>
  <c r="N39" i="5"/>
  <c r="N41" i="5"/>
  <c r="N45" i="5"/>
  <c r="N50" i="5"/>
  <c r="N53" i="5"/>
  <c r="N55" i="5"/>
  <c r="N59" i="5"/>
  <c r="N62" i="5"/>
  <c r="N65" i="5"/>
  <c r="AD55" i="5"/>
  <c r="AE58" i="5"/>
  <c r="Q30" i="5"/>
  <c r="Q39" i="5"/>
  <c r="Q50" i="5"/>
  <c r="Z42" i="5"/>
  <c r="S79" i="5"/>
  <c r="T80" i="5"/>
  <c r="S83" i="5"/>
  <c r="AE83" i="5"/>
  <c r="T89" i="5"/>
  <c r="I95" i="5"/>
  <c r="I97" i="5" s="1"/>
  <c r="S30" i="5"/>
  <c r="S39" i="5"/>
  <c r="S50" i="5"/>
  <c r="S53" i="5"/>
  <c r="S62" i="5"/>
  <c r="S65" i="5"/>
  <c r="AD58" i="5"/>
  <c r="X44" i="5"/>
  <c r="X58" i="5"/>
  <c r="V77" i="5"/>
  <c r="T83" i="5"/>
  <c r="N85" i="5"/>
  <c r="S86" i="5"/>
  <c r="AC88" i="5"/>
  <c r="T39" i="5"/>
  <c r="T53" i="5"/>
  <c r="AE39" i="5"/>
  <c r="AE65" i="5"/>
  <c r="V80" i="5"/>
  <c r="AE85" i="5"/>
  <c r="T86" i="5"/>
  <c r="N88" i="5"/>
  <c r="AD88" i="5"/>
  <c r="V89" i="5"/>
  <c r="T65" i="5"/>
  <c r="U29" i="5"/>
  <c r="U35" i="5"/>
  <c r="U39" i="5"/>
  <c r="U42" i="5"/>
  <c r="U44" i="5"/>
  <c r="U49" i="5"/>
  <c r="U53" i="5"/>
  <c r="U56" i="5"/>
  <c r="U58" i="5"/>
  <c r="U65" i="5"/>
  <c r="AD65" i="5"/>
  <c r="AE29" i="5"/>
  <c r="P42" i="5"/>
  <c r="P53" i="5"/>
  <c r="P62" i="5"/>
  <c r="AC59" i="5"/>
  <c r="X77" i="5"/>
  <c r="V83" i="5"/>
  <c r="U86" i="5"/>
  <c r="S88" i="5"/>
  <c r="V39" i="5"/>
  <c r="V42" i="5"/>
  <c r="V53" i="5"/>
  <c r="V56" i="5"/>
  <c r="V65" i="5"/>
  <c r="AE32" i="5"/>
  <c r="Q33" i="5"/>
  <c r="Q42" i="5"/>
  <c r="Q53" i="5"/>
  <c r="Q62" i="5"/>
  <c r="S36" i="5"/>
  <c r="AC45" i="5"/>
  <c r="T62" i="5"/>
  <c r="Y77" i="5"/>
  <c r="V86" i="5"/>
  <c r="I65" i="5"/>
  <c r="Y95" i="5"/>
  <c r="Y33" i="5"/>
  <c r="AD32" i="5"/>
  <c r="AE35" i="5"/>
  <c r="R33" i="5"/>
  <c r="R53" i="5"/>
  <c r="AE36" i="5"/>
  <c r="Z77" i="5"/>
  <c r="Y80" i="5"/>
  <c r="Y89" i="5"/>
  <c r="AC62" i="5"/>
  <c r="X7" i="5"/>
  <c r="X11" i="5"/>
  <c r="X30" i="5"/>
  <c r="X33" i="5"/>
  <c r="X35" i="5"/>
  <c r="X38" i="5"/>
  <c r="X42" i="5"/>
  <c r="X45" i="5"/>
  <c r="X49" i="5"/>
  <c r="X52" i="5"/>
  <c r="X56" i="5"/>
  <c r="X59" i="5"/>
  <c r="X61" i="5"/>
  <c r="X64" i="5"/>
  <c r="O56" i="5"/>
  <c r="O65" i="5"/>
  <c r="AC38" i="5"/>
  <c r="T50" i="5"/>
  <c r="AD64" i="5"/>
  <c r="Y83" i="5"/>
  <c r="Z89" i="5"/>
  <c r="O95" i="5"/>
  <c r="O97" i="5" s="1"/>
  <c r="Y42" i="5"/>
  <c r="P77" i="5"/>
  <c r="Z30" i="5"/>
  <c r="Z36" i="5"/>
  <c r="Z45" i="5"/>
  <c r="AE55" i="5"/>
  <c r="Z59" i="5"/>
  <c r="AD41" i="5"/>
  <c r="AE44" i="5"/>
  <c r="Q36" i="5"/>
  <c r="Q56" i="5"/>
  <c r="Q65" i="5"/>
  <c r="AD52" i="5"/>
  <c r="Q77" i="5"/>
  <c r="AA83" i="5"/>
  <c r="Y85" i="5"/>
  <c r="Z86" i="5"/>
  <c r="P89" i="5"/>
  <c r="AC95" i="5"/>
  <c r="P65" i="5"/>
  <c r="N52" i="5"/>
  <c r="AA9" i="5"/>
  <c r="AA30" i="5"/>
  <c r="AA36" i="5"/>
  <c r="AA41" i="5"/>
  <c r="AA52" i="5"/>
  <c r="AA55" i="5"/>
  <c r="AA62" i="5"/>
  <c r="AD44" i="5"/>
  <c r="R36" i="5"/>
  <c r="R45" i="5"/>
  <c r="R65" i="5"/>
  <c r="T30" i="5"/>
  <c r="AD77" i="5"/>
  <c r="Q80" i="5"/>
  <c r="AC80" i="5"/>
  <c r="AA86" i="5"/>
  <c r="Y59" i="5"/>
  <c r="AD38" i="5"/>
  <c r="P36" i="5"/>
  <c r="Z11" i="5"/>
  <c r="Z33" i="5"/>
  <c r="AA11" i="5"/>
  <c r="AA33" i="5"/>
  <c r="AA38" i="5"/>
  <c r="AA45" i="5"/>
  <c r="AA50" i="5"/>
  <c r="AA59" i="5"/>
  <c r="AD50" i="5"/>
  <c r="AE53" i="5"/>
  <c r="O30" i="5"/>
  <c r="O50" i="5"/>
  <c r="N42" i="5"/>
  <c r="U55" i="5"/>
  <c r="S95" i="5"/>
  <c r="Y29" i="5"/>
  <c r="U30" i="5"/>
  <c r="X32" i="5"/>
  <c r="AC33" i="5"/>
  <c r="AA35" i="5"/>
  <c r="T36" i="5"/>
  <c r="N38" i="5"/>
  <c r="X39" i="5"/>
  <c r="V41" i="5"/>
  <c r="AA42" i="5"/>
  <c r="Y44" i="5"/>
  <c r="AD45" i="5"/>
  <c r="U50" i="5"/>
  <c r="S52" i="5"/>
  <c r="AE52" i="5"/>
  <c r="X53" i="5"/>
  <c r="V55" i="5"/>
  <c r="AA56" i="5"/>
  <c r="Y58" i="5"/>
  <c r="AD59" i="5"/>
  <c r="U62" i="5"/>
  <c r="AE64" i="5"/>
  <c r="Y65" i="5"/>
  <c r="AA49" i="5"/>
  <c r="Z29" i="5"/>
  <c r="V30" i="5"/>
  <c r="AD29" i="5"/>
  <c r="Y32" i="5"/>
  <c r="AD33" i="5"/>
  <c r="U36" i="5"/>
  <c r="S38" i="5"/>
  <c r="Y39" i="5"/>
  <c r="Z44" i="5"/>
  <c r="S45" i="5"/>
  <c r="AE45" i="5"/>
  <c r="AC49" i="5"/>
  <c r="V50" i="5"/>
  <c r="T52" i="5"/>
  <c r="Y53" i="5"/>
  <c r="Z58" i="5"/>
  <c r="S59" i="5"/>
  <c r="AE59" i="5"/>
  <c r="AC61" i="5"/>
  <c r="V62" i="5"/>
  <c r="T64" i="5"/>
  <c r="Z65" i="5"/>
  <c r="AD7" i="5"/>
  <c r="AA29" i="5"/>
  <c r="AC30" i="5"/>
  <c r="Z32" i="5"/>
  <c r="S33" i="5"/>
  <c r="AE33" i="5"/>
  <c r="AC35" i="5"/>
  <c r="V36" i="5"/>
  <c r="T38" i="5"/>
  <c r="Z39" i="5"/>
  <c r="X41" i="5"/>
  <c r="AD42" i="5"/>
  <c r="AA44" i="5"/>
  <c r="T45" i="5"/>
  <c r="N49" i="5"/>
  <c r="AD49" i="5"/>
  <c r="U52" i="5"/>
  <c r="Z53" i="5"/>
  <c r="X55" i="5"/>
  <c r="AC56" i="5"/>
  <c r="AA58" i="5"/>
  <c r="T59" i="5"/>
  <c r="N61" i="5"/>
  <c r="AD61" i="5"/>
  <c r="U64" i="5"/>
  <c r="AA65" i="5"/>
  <c r="AA61" i="5"/>
  <c r="AA7" i="5"/>
  <c r="AA32" i="5"/>
  <c r="T33" i="5"/>
  <c r="N35" i="5"/>
  <c r="AD35" i="5"/>
  <c r="U38" i="5"/>
  <c r="AA39" i="5"/>
  <c r="Y41" i="5"/>
  <c r="AE42" i="5"/>
  <c r="U45" i="5"/>
  <c r="S49" i="5"/>
  <c r="AE49" i="5"/>
  <c r="X50" i="5"/>
  <c r="V52" i="5"/>
  <c r="AA53" i="5"/>
  <c r="Y55" i="5"/>
  <c r="R56" i="5"/>
  <c r="AD56" i="5"/>
  <c r="U59" i="5"/>
  <c r="S61" i="5"/>
  <c r="AE61" i="5"/>
  <c r="X62" i="5"/>
  <c r="V64" i="5"/>
  <c r="AE30" i="5"/>
  <c r="U33" i="5"/>
  <c r="X36" i="5"/>
  <c r="V38" i="5"/>
  <c r="S42" i="5"/>
  <c r="AC42" i="5"/>
  <c r="V45" i="5"/>
  <c r="Y50" i="5"/>
  <c r="Z55" i="5"/>
  <c r="S56" i="5"/>
  <c r="V59" i="5"/>
  <c r="Y62" i="5"/>
  <c r="AC65" i="5"/>
  <c r="T7" i="5"/>
  <c r="X9" i="5"/>
  <c r="N30" i="5"/>
  <c r="V33" i="5"/>
  <c r="Y36" i="5"/>
  <c r="T42" i="5"/>
  <c r="N44" i="5"/>
  <c r="Z50" i="5"/>
  <c r="AC53" i="5"/>
  <c r="T56" i="5"/>
  <c r="N58" i="5"/>
  <c r="Z62" i="5"/>
  <c r="U7" i="5"/>
  <c r="N32" i="5"/>
  <c r="AD39" i="5"/>
  <c r="N7" i="5"/>
  <c r="N9" i="5"/>
  <c r="N11" i="5"/>
  <c r="Z9" i="5"/>
  <c r="P30" i="5"/>
  <c r="S9" i="5"/>
  <c r="S11" i="5"/>
  <c r="N29" i="5"/>
  <c r="W7" i="5"/>
  <c r="AC7" i="5"/>
  <c r="S99" i="5" l="1"/>
  <c r="Y91" i="5"/>
  <c r="Y105" i="5" s="1"/>
  <c r="Y99" i="5"/>
  <c r="Y100" i="5" s="1"/>
  <c r="X91" i="5"/>
  <c r="X92" i="5" s="1"/>
  <c r="X99" i="5"/>
  <c r="T99" i="5"/>
  <c r="T100" i="5" s="1"/>
  <c r="G7" i="10"/>
  <c r="G19" i="10" s="1"/>
  <c r="S100" i="5"/>
  <c r="R124" i="5"/>
  <c r="P124" i="5"/>
  <c r="W68" i="5"/>
  <c r="I18" i="10"/>
  <c r="I5" i="10"/>
  <c r="H5" i="10"/>
  <c r="H18" i="10"/>
  <c r="AH9" i="5"/>
  <c r="Y92" i="5"/>
  <c r="V72" i="5"/>
  <c r="V91" i="5"/>
  <c r="AD72" i="5"/>
  <c r="AD91" i="5"/>
  <c r="U72" i="5"/>
  <c r="U91" i="5"/>
  <c r="T72" i="5"/>
  <c r="T91" i="5"/>
  <c r="S72" i="5"/>
  <c r="S91" i="5"/>
  <c r="AE72" i="5"/>
  <c r="AE91" i="5"/>
  <c r="AA72" i="5"/>
  <c r="AA91" i="5"/>
  <c r="Z72" i="5"/>
  <c r="Z91" i="5"/>
  <c r="X71" i="5"/>
  <c r="X72" i="5"/>
  <c r="Y72" i="5"/>
  <c r="Y71" i="5"/>
  <c r="AD71" i="5"/>
  <c r="Z71" i="5"/>
  <c r="AE71" i="5"/>
  <c r="AA71" i="5"/>
  <c r="R95" i="5"/>
  <c r="R97" i="5" s="1"/>
  <c r="R63" i="4"/>
  <c r="R137" i="5" s="1"/>
  <c r="Q122" i="5"/>
  <c r="R59" i="4"/>
  <c r="R133" i="5" s="1"/>
  <c r="Q136" i="5"/>
  <c r="R62" i="4"/>
  <c r="R136" i="5" s="1"/>
  <c r="R58" i="4"/>
  <c r="R132" i="5" s="1"/>
  <c r="Q132" i="5"/>
  <c r="AF10" i="5"/>
  <c r="AF11" i="5" s="1"/>
  <c r="AD96" i="5"/>
  <c r="N96" i="5"/>
  <c r="AC96" i="5"/>
  <c r="AC97" i="5"/>
  <c r="T96" i="5"/>
  <c r="Y96" i="5"/>
  <c r="Y97" i="5"/>
  <c r="S97" i="5"/>
  <c r="S96" i="5"/>
  <c r="X96" i="5"/>
  <c r="I55" i="4"/>
  <c r="I129" i="5" s="1"/>
  <c r="N55" i="4"/>
  <c r="N129" i="5" s="1"/>
  <c r="AB42" i="4"/>
  <c r="AB110" i="5" s="1"/>
  <c r="AB41" i="4"/>
  <c r="AB109" i="5" s="1"/>
  <c r="AB38" i="4"/>
  <c r="AB103" i="5" s="1"/>
  <c r="AB37" i="4"/>
  <c r="AB102" i="5" s="1"/>
  <c r="Y34" i="4"/>
  <c r="Z34" i="4"/>
  <c r="AB31" i="4"/>
  <c r="AB87" i="5" s="1"/>
  <c r="AB29" i="4"/>
  <c r="AB84" i="5" s="1"/>
  <c r="AB28" i="4"/>
  <c r="AB81" i="5" s="1"/>
  <c r="AB27" i="4"/>
  <c r="AB78" i="5" s="1"/>
  <c r="AB26" i="4"/>
  <c r="AB75" i="5" s="1"/>
  <c r="AB23" i="4"/>
  <c r="AB63" i="5" s="1"/>
  <c r="AB22" i="4"/>
  <c r="AB60" i="5" s="1"/>
  <c r="AB21" i="4"/>
  <c r="AB57" i="5" s="1"/>
  <c r="AB20" i="4"/>
  <c r="AB54" i="5" s="1"/>
  <c r="AB19" i="4"/>
  <c r="AB51" i="5" s="1"/>
  <c r="AB18" i="4"/>
  <c r="AB48" i="5" s="1"/>
  <c r="AB15" i="4"/>
  <c r="AB43" i="5" s="1"/>
  <c r="AB13" i="4"/>
  <c r="AB37" i="5" s="1"/>
  <c r="AB14" i="4"/>
  <c r="AB40" i="5" s="1"/>
  <c r="AB12" i="4"/>
  <c r="AB34" i="5" s="1"/>
  <c r="AB11" i="4"/>
  <c r="AB31" i="5" s="1"/>
  <c r="AB10" i="4"/>
  <c r="AB28" i="5" s="1"/>
  <c r="AB8" i="4"/>
  <c r="AB10" i="5" s="1"/>
  <c r="AB7" i="4"/>
  <c r="AB8" i="5" s="1"/>
  <c r="AB6" i="4"/>
  <c r="AB6" i="5" s="1"/>
  <c r="W47" i="4"/>
  <c r="W120" i="5" s="1"/>
  <c r="W26" i="4"/>
  <c r="W75" i="5" s="1"/>
  <c r="W42" i="4"/>
  <c r="W110" i="5" s="1"/>
  <c r="W41" i="4"/>
  <c r="W109" i="5" s="1"/>
  <c r="W38" i="4"/>
  <c r="W103" i="5" s="1"/>
  <c r="W37" i="4"/>
  <c r="W102" i="5" s="1"/>
  <c r="W34" i="4"/>
  <c r="W33" i="4"/>
  <c r="W31" i="4"/>
  <c r="W87" i="5" s="1"/>
  <c r="W29" i="4"/>
  <c r="W84" i="5" s="1"/>
  <c r="W28" i="4"/>
  <c r="W81" i="5" s="1"/>
  <c r="W27" i="4"/>
  <c r="W78" i="5" s="1"/>
  <c r="W23" i="4"/>
  <c r="W63" i="5" s="1"/>
  <c r="W22" i="4"/>
  <c r="W60" i="5" s="1"/>
  <c r="W21" i="4"/>
  <c r="W57" i="5" s="1"/>
  <c r="W20" i="4"/>
  <c r="W54" i="5" s="1"/>
  <c r="W19" i="4"/>
  <c r="W51" i="5" s="1"/>
  <c r="W18" i="4"/>
  <c r="W48" i="5" s="1"/>
  <c r="W15" i="4"/>
  <c r="W43" i="5" s="1"/>
  <c r="W14" i="4"/>
  <c r="W40" i="5" s="1"/>
  <c r="W13" i="4"/>
  <c r="W37" i="5" s="1"/>
  <c r="W12" i="4"/>
  <c r="W34" i="5" s="1"/>
  <c r="W11" i="4"/>
  <c r="W31" i="5" s="1"/>
  <c r="W10" i="4"/>
  <c r="W28" i="5" s="1"/>
  <c r="W8" i="4"/>
  <c r="W10" i="5" s="1"/>
  <c r="W11" i="5" s="1"/>
  <c r="W7" i="4"/>
  <c r="W8" i="5" s="1"/>
  <c r="V59" i="4"/>
  <c r="V133" i="5" s="1"/>
  <c r="U68" i="4"/>
  <c r="U142" i="5" s="1"/>
  <c r="U169" i="5" s="1"/>
  <c r="U170" i="5" s="1"/>
  <c r="U63" i="4"/>
  <c r="U62" i="4"/>
  <c r="U61" i="4"/>
  <c r="U60" i="4"/>
  <c r="U58" i="4"/>
  <c r="U57" i="4"/>
  <c r="U131" i="5" s="1"/>
  <c r="U50" i="4"/>
  <c r="U123" i="5" s="1"/>
  <c r="U49" i="4"/>
  <c r="Z68" i="4"/>
  <c r="Z142" i="5" s="1"/>
  <c r="Z169" i="5" s="1"/>
  <c r="Z170" i="5" s="1"/>
  <c r="AE68" i="4"/>
  <c r="AE142" i="5" s="1"/>
  <c r="Z63" i="4"/>
  <c r="Z137" i="5" s="1"/>
  <c r="Z62" i="4"/>
  <c r="Z136" i="5" s="1"/>
  <c r="Z61" i="4"/>
  <c r="Z135" i="5" s="1"/>
  <c r="Z60" i="4"/>
  <c r="Z134" i="5" s="1"/>
  <c r="Z59" i="4"/>
  <c r="Z133" i="5" s="1"/>
  <c r="Z58" i="4"/>
  <c r="Z57" i="4"/>
  <c r="AE63" i="4"/>
  <c r="AE137" i="5" s="1"/>
  <c r="AE62" i="4"/>
  <c r="AE136" i="5" s="1"/>
  <c r="AE61" i="4"/>
  <c r="AE135" i="5" s="1"/>
  <c r="AE60" i="4"/>
  <c r="AE134" i="5" s="1"/>
  <c r="AE59" i="4"/>
  <c r="AE133" i="5" s="1"/>
  <c r="AE58" i="4"/>
  <c r="AE132" i="5" s="1"/>
  <c r="AE57" i="4"/>
  <c r="AE131" i="5" s="1"/>
  <c r="Z50" i="4"/>
  <c r="Z49" i="4"/>
  <c r="AE50" i="4"/>
  <c r="AE123" i="5" s="1"/>
  <c r="AH123" i="5" s="1"/>
  <c r="AE49" i="4"/>
  <c r="AE122" i="5" s="1"/>
  <c r="AE124" i="5" s="1"/>
  <c r="AE99" i="5" s="1"/>
  <c r="AE100" i="5" s="1"/>
  <c r="H7" i="10" l="1"/>
  <c r="X100" i="5"/>
  <c r="G8" i="10"/>
  <c r="X105" i="5"/>
  <c r="H11" i="10" s="1"/>
  <c r="Q95" i="5"/>
  <c r="Q97" i="5" s="1"/>
  <c r="Q124" i="5"/>
  <c r="W69" i="5"/>
  <c r="T92" i="5"/>
  <c r="T105" i="5"/>
  <c r="AD92" i="5"/>
  <c r="AD105" i="5"/>
  <c r="AA92" i="5"/>
  <c r="AA105" i="5"/>
  <c r="V92" i="5"/>
  <c r="V105" i="5"/>
  <c r="AE92" i="5"/>
  <c r="AE105" i="5"/>
  <c r="S92" i="5"/>
  <c r="S105" i="5"/>
  <c r="G11" i="10" s="1"/>
  <c r="G20" i="10" s="1"/>
  <c r="U92" i="5"/>
  <c r="U105" i="5"/>
  <c r="Z92" i="5"/>
  <c r="Z105" i="5"/>
  <c r="W70" i="5"/>
  <c r="AB11" i="5"/>
  <c r="AA60" i="4"/>
  <c r="V68" i="4"/>
  <c r="AA61" i="4"/>
  <c r="AA62" i="4"/>
  <c r="AA63" i="4"/>
  <c r="AB60" i="4"/>
  <c r="AB134" i="5" s="1"/>
  <c r="AA134" i="5"/>
  <c r="AB62" i="5"/>
  <c r="AB61" i="5"/>
  <c r="AB65" i="5"/>
  <c r="AB64" i="5"/>
  <c r="AB76" i="5"/>
  <c r="AB77" i="5"/>
  <c r="AB32" i="5"/>
  <c r="AB33" i="5"/>
  <c r="AB80" i="5"/>
  <c r="AB79" i="5"/>
  <c r="W45" i="5"/>
  <c r="W44" i="5"/>
  <c r="V58" i="4"/>
  <c r="U132" i="5"/>
  <c r="V57" i="4"/>
  <c r="W50" i="5"/>
  <c r="W49" i="5"/>
  <c r="AB36" i="5"/>
  <c r="AB35" i="5"/>
  <c r="AB83" i="5"/>
  <c r="AB82" i="5"/>
  <c r="W36" i="5"/>
  <c r="W35" i="5"/>
  <c r="AB13" i="5"/>
  <c r="AG9" i="5"/>
  <c r="AB9" i="5"/>
  <c r="V49" i="4"/>
  <c r="U122" i="5"/>
  <c r="AB30" i="5"/>
  <c r="AB29" i="5"/>
  <c r="AA57" i="4"/>
  <c r="Z131" i="5"/>
  <c r="AE95" i="5"/>
  <c r="AH122" i="5"/>
  <c r="AH124" i="5" s="1"/>
  <c r="AA58" i="4"/>
  <c r="Z132" i="5"/>
  <c r="V60" i="4"/>
  <c r="U134" i="5"/>
  <c r="W52" i="5"/>
  <c r="W53" i="5"/>
  <c r="AB41" i="5"/>
  <c r="AB42" i="5"/>
  <c r="AB85" i="5"/>
  <c r="AB86" i="5"/>
  <c r="AB61" i="4"/>
  <c r="AB135" i="5" s="1"/>
  <c r="AA135" i="5"/>
  <c r="V61" i="4"/>
  <c r="U135" i="5"/>
  <c r="AA68" i="4"/>
  <c r="W56" i="5"/>
  <c r="W55" i="5"/>
  <c r="AB38" i="5"/>
  <c r="AB39" i="5"/>
  <c r="AB88" i="5"/>
  <c r="AB89" i="5"/>
  <c r="W58" i="5"/>
  <c r="W59" i="5"/>
  <c r="AB44" i="5"/>
  <c r="AB45" i="5"/>
  <c r="V63" i="4"/>
  <c r="U137" i="5"/>
  <c r="W13" i="5"/>
  <c r="W9" i="5"/>
  <c r="W61" i="5"/>
  <c r="W62" i="5"/>
  <c r="W77" i="5"/>
  <c r="W76" i="5"/>
  <c r="AB50" i="5"/>
  <c r="AB49" i="5"/>
  <c r="W86" i="5"/>
  <c r="W85" i="5"/>
  <c r="W39" i="5"/>
  <c r="W38" i="5"/>
  <c r="AA49" i="4"/>
  <c r="Z122" i="5"/>
  <c r="Z124" i="5" s="1"/>
  <c r="Z99" i="5" s="1"/>
  <c r="Z100" i="5" s="1"/>
  <c r="W64" i="5"/>
  <c r="W65" i="5"/>
  <c r="AB52" i="5"/>
  <c r="AB53" i="5"/>
  <c r="W68" i="4"/>
  <c r="W142" i="5" s="1"/>
  <c r="W169" i="5" s="1"/>
  <c r="W170" i="5" s="1"/>
  <c r="V142" i="5"/>
  <c r="V169" i="5" s="1"/>
  <c r="V170" i="5" s="1"/>
  <c r="V50" i="4"/>
  <c r="W29" i="5"/>
  <c r="W30" i="5"/>
  <c r="W80" i="5"/>
  <c r="W79" i="5"/>
  <c r="W59" i="4"/>
  <c r="W133" i="5" s="1"/>
  <c r="AB56" i="5"/>
  <c r="AB55" i="5"/>
  <c r="W88" i="5"/>
  <c r="W89" i="5"/>
  <c r="AF31" i="5"/>
  <c r="AF28" i="5"/>
  <c r="AF51" i="5"/>
  <c r="AF36" i="5"/>
  <c r="AF57" i="5"/>
  <c r="AF48" i="5"/>
  <c r="AF54" i="5"/>
  <c r="AF37" i="5"/>
  <c r="AF170" i="5"/>
  <c r="W42" i="5"/>
  <c r="W41" i="5"/>
  <c r="V62" i="4"/>
  <c r="U136" i="5"/>
  <c r="AA50" i="4"/>
  <c r="Z123" i="5"/>
  <c r="AE169" i="5"/>
  <c r="AE170" i="5" s="1"/>
  <c r="AH142" i="5"/>
  <c r="AH169" i="5" s="1"/>
  <c r="AA59" i="4"/>
  <c r="W33" i="5"/>
  <c r="W32" i="5"/>
  <c r="W82" i="5"/>
  <c r="W83" i="5"/>
  <c r="AG6" i="5"/>
  <c r="AH6" i="5" s="1"/>
  <c r="AB7" i="5"/>
  <c r="AB59" i="5"/>
  <c r="AB58" i="5"/>
  <c r="AB34" i="4"/>
  <c r="H12" i="10" l="1"/>
  <c r="H20" i="10"/>
  <c r="H9" i="10"/>
  <c r="H19" i="10"/>
  <c r="H8" i="10"/>
  <c r="U95" i="5"/>
  <c r="U97" i="5" s="1"/>
  <c r="U124" i="5"/>
  <c r="U99" i="5" s="1"/>
  <c r="U100" i="5" s="1"/>
  <c r="AH7" i="5"/>
  <c r="AI6" i="5"/>
  <c r="W72" i="5"/>
  <c r="W91" i="5"/>
  <c r="Z95" i="5"/>
  <c r="AE96" i="5" s="1"/>
  <c r="AA137" i="5"/>
  <c r="AB63" i="4"/>
  <c r="AB137" i="5" s="1"/>
  <c r="AA136" i="5"/>
  <c r="AB62" i="4"/>
  <c r="AB136" i="5" s="1"/>
  <c r="AE97" i="5"/>
  <c r="AB57" i="4"/>
  <c r="AB131" i="5" s="1"/>
  <c r="AA131" i="5"/>
  <c r="AF40" i="5"/>
  <c r="AF43" i="5" s="1"/>
  <c r="AF45" i="5" s="1"/>
  <c r="W49" i="4"/>
  <c r="W122" i="5" s="1"/>
  <c r="W124" i="5" s="1"/>
  <c r="W99" i="5" s="1"/>
  <c r="W100" i="5" s="1"/>
  <c r="V122" i="5"/>
  <c r="V124" i="5" s="1"/>
  <c r="V99" i="5" s="1"/>
  <c r="V100" i="5" s="1"/>
  <c r="W57" i="4"/>
  <c r="W131" i="5" s="1"/>
  <c r="V131" i="5"/>
  <c r="AF60" i="5"/>
  <c r="AB49" i="4"/>
  <c r="AB122" i="5" s="1"/>
  <c r="AA122" i="5"/>
  <c r="W58" i="4"/>
  <c r="W132" i="5" s="1"/>
  <c r="V132" i="5"/>
  <c r="AG10" i="5"/>
  <c r="AB59" i="4"/>
  <c r="AB133" i="5" s="1"/>
  <c r="AA133" i="5"/>
  <c r="AB50" i="4"/>
  <c r="AB123" i="5" s="1"/>
  <c r="AA123" i="5"/>
  <c r="W63" i="4"/>
  <c r="W137" i="5" s="1"/>
  <c r="V137" i="5"/>
  <c r="AB68" i="4"/>
  <c r="AB142" i="5" s="1"/>
  <c r="AB169" i="5" s="1"/>
  <c r="AB170" i="5" s="1"/>
  <c r="AA142" i="5"/>
  <c r="AA169" i="5" s="1"/>
  <c r="AA170" i="5" s="1"/>
  <c r="W50" i="4"/>
  <c r="W123" i="5" s="1"/>
  <c r="V123" i="5"/>
  <c r="W61" i="4"/>
  <c r="W135" i="5" s="1"/>
  <c r="V135" i="5"/>
  <c r="AB58" i="4"/>
  <c r="AB132" i="5" s="1"/>
  <c r="AA132" i="5"/>
  <c r="W60" i="4"/>
  <c r="W134" i="5" s="1"/>
  <c r="V134" i="5"/>
  <c r="W62" i="4"/>
  <c r="W136" i="5" s="1"/>
  <c r="V136" i="5"/>
  <c r="Z97" i="5" l="1"/>
  <c r="AH10" i="5"/>
  <c r="AH11" i="5" s="1"/>
  <c r="AG11" i="5"/>
  <c r="Z96" i="5"/>
  <c r="U96" i="5"/>
  <c r="AA124" i="5"/>
  <c r="AA99" i="5" s="1"/>
  <c r="AA100" i="5" s="1"/>
  <c r="AB124" i="5"/>
  <c r="J4" i="10"/>
  <c r="AH69" i="5"/>
  <c r="AI10" i="5"/>
  <c r="AJ6" i="5"/>
  <c r="AJ10" i="5" s="1"/>
  <c r="W92" i="5"/>
  <c r="W105" i="5"/>
  <c r="AB95" i="5"/>
  <c r="AB97" i="5" s="1"/>
  <c r="AA95" i="5"/>
  <c r="AA97" i="5" s="1"/>
  <c r="W95" i="5"/>
  <c r="W96" i="5" s="1"/>
  <c r="AF63" i="5"/>
  <c r="AF62" i="5"/>
  <c r="AG37" i="5"/>
  <c r="AG57" i="5"/>
  <c r="AG36" i="5"/>
  <c r="AG51" i="5"/>
  <c r="AH51" i="5" s="1"/>
  <c r="AH52" i="5" s="1"/>
  <c r="AG54" i="5"/>
  <c r="AH54" i="5" s="1"/>
  <c r="AG28" i="5"/>
  <c r="AH28" i="5" s="1"/>
  <c r="AH29" i="5" s="1"/>
  <c r="AG48" i="5"/>
  <c r="AH48" i="5" s="1"/>
  <c r="AH49" i="5" s="1"/>
  <c r="AG31" i="5"/>
  <c r="AH31" i="5" s="1"/>
  <c r="AH32" i="5" s="1"/>
  <c r="AG170" i="5"/>
  <c r="V95" i="5"/>
  <c r="AI67" i="5" l="1"/>
  <c r="AJ11" i="5"/>
  <c r="AJ51" i="5"/>
  <c r="AJ48" i="5"/>
  <c r="AJ28" i="5"/>
  <c r="AJ31" i="5"/>
  <c r="AJ67" i="5"/>
  <c r="AI48" i="5"/>
  <c r="AI11" i="5"/>
  <c r="K4" i="10"/>
  <c r="K5" i="10" s="1"/>
  <c r="AI68" i="5"/>
  <c r="AI51" i="5"/>
  <c r="AI31" i="5"/>
  <c r="AF75" i="5"/>
  <c r="AF78" i="5"/>
  <c r="L4" i="10"/>
  <c r="J5" i="10"/>
  <c r="J18" i="10"/>
  <c r="AB96" i="5"/>
  <c r="AF70" i="5"/>
  <c r="AF95" i="5"/>
  <c r="W97" i="5"/>
  <c r="AH33" i="5"/>
  <c r="V97" i="5"/>
  <c r="V96" i="5"/>
  <c r="AH36" i="5"/>
  <c r="AH170" i="5"/>
  <c r="AH30" i="5"/>
  <c r="AF65" i="5"/>
  <c r="AF64" i="5"/>
  <c r="AH56" i="5"/>
  <c r="AA96" i="5"/>
  <c r="AG60" i="5"/>
  <c r="AH57" i="5"/>
  <c r="AH59" i="5" s="1"/>
  <c r="AG40" i="5"/>
  <c r="AG43" i="5" s="1"/>
  <c r="AH37" i="5"/>
  <c r="AH50" i="5"/>
  <c r="AH53" i="5"/>
  <c r="AJ70" i="5" l="1"/>
  <c r="AJ84" i="5"/>
  <c r="AJ99" i="5"/>
  <c r="AJ72" i="5"/>
  <c r="AJ78" i="5"/>
  <c r="AJ75" i="5"/>
  <c r="L5" i="10"/>
  <c r="K18" i="10"/>
  <c r="AF72" i="5"/>
  <c r="AF99" i="5"/>
  <c r="AF100" i="5" s="1"/>
  <c r="L18" i="10"/>
  <c r="AF71" i="5"/>
  <c r="AF81" i="5"/>
  <c r="AG45" i="5"/>
  <c r="AG63" i="5"/>
  <c r="AF97" i="5"/>
  <c r="AF96" i="5"/>
  <c r="AG62" i="5"/>
  <c r="AH60" i="5"/>
  <c r="AH39" i="5"/>
  <c r="AH40" i="5"/>
  <c r="AJ91" i="5" l="1"/>
  <c r="AJ92" i="5" s="1"/>
  <c r="AJ105" i="5"/>
  <c r="L11" i="10" s="1"/>
  <c r="AJ100" i="5"/>
  <c r="L7" i="10"/>
  <c r="AG70" i="5"/>
  <c r="AG99" i="5" s="1"/>
  <c r="AG100" i="5" s="1"/>
  <c r="AG75" i="5"/>
  <c r="AH75" i="5" s="1"/>
  <c r="AG78" i="5"/>
  <c r="AH78" i="5" s="1"/>
  <c r="AF83" i="5"/>
  <c r="AG72" i="5"/>
  <c r="AH43" i="5"/>
  <c r="AH63" i="5" s="1"/>
  <c r="AH95" i="5" s="1"/>
  <c r="AH42" i="5"/>
  <c r="AG65" i="5"/>
  <c r="AG95" i="5"/>
  <c r="AG64" i="5"/>
  <c r="AH62" i="5"/>
  <c r="L20" i="10" l="1"/>
  <c r="L15" i="10"/>
  <c r="C19" i="10"/>
  <c r="C21" i="10" s="1"/>
  <c r="L19" i="10"/>
  <c r="L8" i="10"/>
  <c r="AH70" i="5"/>
  <c r="AH72" i="5" s="1"/>
  <c r="AH84" i="5"/>
  <c r="AH85" i="5" s="1"/>
  <c r="AH79" i="5"/>
  <c r="AH80" i="5"/>
  <c r="AH76" i="5"/>
  <c r="AH77" i="5"/>
  <c r="AH65" i="5"/>
  <c r="AH64" i="5"/>
  <c r="AG81" i="5"/>
  <c r="AH81" i="5" s="1"/>
  <c r="AH82" i="5" s="1"/>
  <c r="AG97" i="5"/>
  <c r="AG96" i="5"/>
  <c r="AH45" i="5"/>
  <c r="AH44" i="5"/>
  <c r="C24" i="10" l="1"/>
  <c r="C22" i="10"/>
  <c r="C23" i="10"/>
  <c r="AH99" i="5"/>
  <c r="AF84" i="5"/>
  <c r="AF91" i="5" s="1"/>
  <c r="AF105" i="5" s="1"/>
  <c r="AH91" i="5"/>
  <c r="AH105" i="5" s="1"/>
  <c r="J11" i="10" s="1"/>
  <c r="AG83" i="5"/>
  <c r="AH97" i="5"/>
  <c r="AH96" i="5"/>
  <c r="J20" i="10" l="1"/>
  <c r="J15" i="10"/>
  <c r="AH100" i="5"/>
  <c r="J7" i="10"/>
  <c r="AG84" i="5"/>
  <c r="AG86" i="5" s="1"/>
  <c r="AF87" i="5"/>
  <c r="AF103" i="5" s="1"/>
  <c r="AF86" i="5"/>
  <c r="AF92" i="5"/>
  <c r="AH92" i="5"/>
  <c r="AF89" i="5"/>
  <c r="AF102" i="5"/>
  <c r="AH83" i="5"/>
  <c r="AH87" i="5"/>
  <c r="J19" i="10" l="1"/>
  <c r="J8" i="10"/>
  <c r="AG91" i="5"/>
  <c r="AG92" i="5" s="1"/>
  <c r="AG87" i="5"/>
  <c r="AH89" i="5"/>
  <c r="AH103" i="5"/>
  <c r="AH102" i="5"/>
  <c r="AG103" i="5"/>
  <c r="AG102" i="5"/>
  <c r="AG89" i="5"/>
  <c r="AG105" i="5" l="1"/>
  <c r="AA9" i="2"/>
  <c r="AC9" i="2" s="1"/>
  <c r="Z9" i="2"/>
  <c r="AB9" i="2" s="1"/>
  <c r="E29" i="2" l="1"/>
  <c r="E32" i="2"/>
  <c r="D32" i="2"/>
  <c r="D29" i="2"/>
  <c r="F32" i="2"/>
  <c r="F29" i="2"/>
  <c r="F3" i="5" l="1"/>
  <c r="G3" i="5" s="1"/>
  <c r="F3" i="4"/>
  <c r="F4" i="4" s="1"/>
  <c r="H3" i="5" l="1"/>
  <c r="I3" i="5" s="1"/>
  <c r="J3" i="5" s="1"/>
  <c r="G4" i="5"/>
  <c r="G3" i="4"/>
  <c r="G4" i="4" s="1"/>
  <c r="F4" i="5"/>
  <c r="K3" i="5" l="1"/>
  <c r="J4" i="5"/>
  <c r="H3" i="4"/>
  <c r="H4" i="5"/>
  <c r="H4" i="4" l="1"/>
  <c r="I3" i="4"/>
  <c r="L3" i="5"/>
  <c r="K4" i="5"/>
  <c r="J3" i="4"/>
  <c r="J4" i="4" s="1"/>
  <c r="L4" i="5" l="1"/>
  <c r="M3" i="5"/>
  <c r="K3" i="4"/>
  <c r="K4" i="4" s="1"/>
  <c r="M4" i="5" l="1"/>
  <c r="N3" i="5"/>
  <c r="L3" i="4"/>
  <c r="L4" i="4" s="1"/>
  <c r="N4" i="5" l="1"/>
  <c r="O3" i="5"/>
  <c r="M3" i="4"/>
  <c r="M4" i="4" s="1"/>
  <c r="O4" i="5" l="1"/>
  <c r="P3" i="5"/>
  <c r="N3" i="4"/>
  <c r="N4" i="4" s="1"/>
  <c r="P4" i="5" l="1"/>
  <c r="Q3" i="5"/>
  <c r="O3" i="4"/>
  <c r="O4" i="4" s="1"/>
  <c r="R3" i="5" l="1"/>
  <c r="Q4" i="5"/>
  <c r="P3" i="4"/>
  <c r="P4" i="4" s="1"/>
  <c r="S3" i="5" l="1"/>
  <c r="R4" i="5"/>
  <c r="Q3" i="4"/>
  <c r="Q4" i="4" s="1"/>
  <c r="X3" i="5" l="1"/>
  <c r="T3" i="5"/>
  <c r="S4" i="5"/>
  <c r="R3" i="4"/>
  <c r="U3" i="5" l="1"/>
  <c r="T4" i="5"/>
  <c r="X4" i="5"/>
  <c r="AC3" i="5"/>
  <c r="AC4" i="5" s="1"/>
  <c r="R4" i="4"/>
  <c r="S3" i="4"/>
  <c r="V3" i="5" l="1"/>
  <c r="U4" i="5"/>
  <c r="S4" i="4"/>
  <c r="X3" i="4"/>
  <c r="T3" i="4"/>
  <c r="T4" i="4" s="1"/>
  <c r="W3" i="5" l="1"/>
  <c r="V4" i="5"/>
  <c r="U3" i="4"/>
  <c r="AC3" i="4"/>
  <c r="X4" i="4"/>
  <c r="W4" i="5" l="1"/>
  <c r="Y3" i="5"/>
  <c r="AH3" i="4"/>
  <c r="AC4" i="4"/>
  <c r="U4" i="4"/>
  <c r="V3" i="4"/>
  <c r="Y4" i="5" l="1"/>
  <c r="Z3" i="5"/>
  <c r="V4" i="4"/>
  <c r="W3" i="4"/>
  <c r="AH4" i="4"/>
  <c r="AJ3" i="4"/>
  <c r="AJ4" i="4" s="1"/>
  <c r="Z4" i="5" l="1"/>
  <c r="AA3" i="5"/>
  <c r="W4" i="4"/>
  <c r="Y3" i="4"/>
  <c r="AA4" i="5" l="1"/>
  <c r="AB3" i="5"/>
  <c r="Z3" i="4"/>
  <c r="Y4" i="4"/>
  <c r="AB4" i="5" l="1"/>
  <c r="AD3" i="5"/>
  <c r="AA3" i="4"/>
  <c r="Z4" i="4"/>
  <c r="AE3" i="5" l="1"/>
  <c r="AD4" i="5"/>
  <c r="AB3" i="4"/>
  <c r="AA4" i="4"/>
  <c r="AE4" i="5" l="1"/>
  <c r="AF3" i="5"/>
  <c r="AB4" i="4"/>
  <c r="AD3" i="4"/>
  <c r="AF4" i="5" l="1"/>
  <c r="AG3" i="5"/>
  <c r="AG4" i="5" s="1"/>
  <c r="AD4" i="4"/>
  <c r="AE3" i="4"/>
  <c r="AE4" i="4" l="1"/>
  <c r="AF3" i="4"/>
  <c r="AF4" i="4" l="1"/>
  <c r="AG3" i="4"/>
  <c r="AG4" i="4" l="1"/>
  <c r="AI3" i="4"/>
  <c r="AI4" i="4" s="1"/>
  <c r="K53" i="2" l="1"/>
  <c r="J53" i="2"/>
  <c r="Q38" i="2"/>
  <c r="P38" i="2"/>
  <c r="C35" i="2"/>
  <c r="C19" i="2" s="1"/>
  <c r="B22" i="2"/>
  <c r="B21" i="2"/>
  <c r="B18" i="2"/>
  <c r="B17" i="2"/>
  <c r="B16" i="2"/>
  <c r="B15" i="2"/>
  <c r="B14" i="2"/>
  <c r="A14" i="2"/>
  <c r="A15" i="2" s="1"/>
  <c r="A16" i="2" s="1"/>
  <c r="A17" i="2" s="1"/>
  <c r="A18" i="2" s="1"/>
  <c r="A19" i="2" s="1"/>
  <c r="A20" i="2" s="1"/>
  <c r="A21" i="2" s="1"/>
  <c r="A22" i="2" s="1"/>
  <c r="B13" i="2"/>
  <c r="B11" i="2"/>
  <c r="V9" i="2"/>
  <c r="U9" i="2"/>
  <c r="O9" i="2"/>
  <c r="N9" i="2"/>
  <c r="F40" i="2" l="1"/>
  <c r="G40" i="2" s="1"/>
  <c r="C14" i="2"/>
  <c r="F49" i="2"/>
  <c r="G49" i="2" s="1"/>
  <c r="AA24" i="2"/>
  <c r="H54" i="2"/>
  <c r="AC25" i="2"/>
  <c r="J31" i="2"/>
  <c r="J32" i="2" s="1"/>
  <c r="P30" i="2"/>
  <c r="P31" i="2" s="1"/>
  <c r="P32" i="2" s="1"/>
  <c r="F54" i="2"/>
  <c r="R30" i="2"/>
  <c r="R31" i="2" s="1"/>
  <c r="R32" i="2" s="1"/>
  <c r="K54" i="2"/>
  <c r="C11" i="2"/>
  <c r="C17" i="2"/>
  <c r="Y24" i="2"/>
  <c r="Q30" i="2"/>
  <c r="Q31" i="2" s="1"/>
  <c r="Q32" i="2" s="1"/>
  <c r="Z24" i="2"/>
  <c r="I54" i="2"/>
  <c r="AB24" i="2"/>
  <c r="F30" i="2" s="1"/>
  <c r="O18" i="2"/>
  <c r="O21" i="2"/>
  <c r="C20" i="2"/>
  <c r="F44" i="2"/>
  <c r="G44" i="2" s="1"/>
  <c r="O20" i="2"/>
  <c r="F39" i="2"/>
  <c r="G39" i="2" s="1"/>
  <c r="F43" i="2"/>
  <c r="G43" i="2" s="1"/>
  <c r="F45" i="2"/>
  <c r="G45" i="2" s="1"/>
  <c r="O17" i="2"/>
  <c r="O22" i="2"/>
  <c r="F41" i="2"/>
  <c r="G41" i="2" s="1"/>
  <c r="G47" i="2"/>
  <c r="N19" i="2"/>
  <c r="O14" i="2"/>
  <c r="N11" i="2"/>
  <c r="J54" i="2"/>
  <c r="N13" i="2"/>
  <c r="C13" i="2"/>
  <c r="O13" i="2"/>
  <c r="F42" i="2"/>
  <c r="G42" i="2" s="1"/>
  <c r="F48" i="2"/>
  <c r="O16" i="2"/>
  <c r="O19" i="2"/>
  <c r="X25" i="2"/>
  <c r="D31" i="2" s="1"/>
  <c r="Y25" i="2"/>
  <c r="C16" i="2"/>
  <c r="C22" i="2"/>
  <c r="N15" i="2"/>
  <c r="N21" i="2"/>
  <c r="Z25" i="2"/>
  <c r="E31" i="2" s="1"/>
  <c r="AA25" i="2"/>
  <c r="O11" i="2"/>
  <c r="C15" i="2"/>
  <c r="C18" i="2"/>
  <c r="C21" i="2"/>
  <c r="AB25" i="2"/>
  <c r="F31" i="2" s="1"/>
  <c r="N14" i="2"/>
  <c r="N17" i="2"/>
  <c r="N20" i="2"/>
  <c r="D30" i="2"/>
  <c r="D35" i="2"/>
  <c r="D19" i="2" s="1"/>
  <c r="V29" i="2"/>
  <c r="Z29" i="2" s="1"/>
  <c r="N16" i="2"/>
  <c r="N22" i="2"/>
  <c r="E30" i="2" l="1"/>
  <c r="V32" i="2"/>
  <c r="Z32" i="2" s="1"/>
  <c r="F66" i="2"/>
  <c r="F68" i="2" s="1"/>
  <c r="G66" i="2"/>
  <c r="G68" i="2" s="1"/>
  <c r="V31" i="2"/>
  <c r="Z31" i="2" s="1"/>
  <c r="V30" i="2"/>
  <c r="Z30" i="2" s="1"/>
  <c r="E66" i="2"/>
  <c r="E68" i="2" s="1"/>
  <c r="K66" i="2"/>
  <c r="K68" i="2" s="1"/>
  <c r="I66" i="2"/>
  <c r="I68" i="2" s="1"/>
  <c r="H66" i="2"/>
  <c r="H68" i="2" s="1"/>
  <c r="N18" i="2"/>
  <c r="O15" i="2"/>
  <c r="G48" i="2"/>
  <c r="D18" i="2"/>
  <c r="D15" i="2"/>
  <c r="D22" i="2"/>
  <c r="D21" i="2"/>
  <c r="D20" i="2"/>
  <c r="D17" i="2"/>
  <c r="D14" i="2"/>
  <c r="E35" i="2"/>
  <c r="E20" i="2" s="1"/>
  <c r="D16" i="2"/>
  <c r="D11" i="2"/>
  <c r="D13" i="2"/>
  <c r="J66" i="2"/>
  <c r="J68" i="2" s="1"/>
  <c r="G69" i="2" l="1"/>
  <c r="F69" i="2"/>
  <c r="E17" i="2"/>
  <c r="E14" i="2"/>
  <c r="F35" i="2"/>
  <c r="E13" i="2"/>
  <c r="E21" i="2"/>
  <c r="E15" i="2"/>
  <c r="E19" i="2"/>
  <c r="E11" i="2"/>
  <c r="E22" i="2"/>
  <c r="E16" i="2"/>
  <c r="E18" i="2"/>
  <c r="F20" i="2" l="1"/>
  <c r="G35" i="2"/>
  <c r="G20" i="2" s="1"/>
  <c r="F17" i="2"/>
  <c r="F14" i="2"/>
  <c r="F22" i="2"/>
  <c r="F21" i="2"/>
  <c r="F15" i="2"/>
  <c r="F13" i="2"/>
  <c r="F19" i="2"/>
  <c r="F18" i="2"/>
  <c r="F16" i="2"/>
  <c r="F11" i="2"/>
  <c r="H35" i="2" l="1"/>
  <c r="I35" i="2" s="1"/>
  <c r="J35" i="2" s="1"/>
  <c r="K35" i="2" s="1"/>
  <c r="G11" i="2"/>
  <c r="G14" i="2"/>
  <c r="G17" i="2"/>
  <c r="G22" i="2"/>
  <c r="G15" i="2"/>
  <c r="G19" i="2"/>
  <c r="G18" i="2"/>
  <c r="G21" i="2"/>
  <c r="G13" i="2"/>
  <c r="G16" i="2"/>
  <c r="L35" i="2" l="1"/>
  <c r="I14" i="2"/>
  <c r="I17" i="2"/>
  <c r="I19" i="2"/>
  <c r="I16" i="2"/>
  <c r="I21" i="2"/>
  <c r="I20" i="2"/>
  <c r="I13" i="2"/>
  <c r="I11" i="2"/>
  <c r="I22" i="2"/>
  <c r="I18" i="2"/>
  <c r="I15" i="2"/>
  <c r="M35" i="2" l="1"/>
  <c r="J11" i="2"/>
  <c r="J20" i="2"/>
  <c r="J17" i="2"/>
  <c r="J14" i="2"/>
  <c r="J22" i="2"/>
  <c r="J21" i="2"/>
  <c r="J18" i="2"/>
  <c r="J16" i="2"/>
  <c r="J13" i="2"/>
  <c r="J19" i="2"/>
  <c r="J15" i="2"/>
  <c r="Q19" i="2" l="1"/>
  <c r="U19" i="2"/>
  <c r="Q13" i="2"/>
  <c r="U13" i="2"/>
  <c r="Q21" i="2"/>
  <c r="U21" i="2"/>
  <c r="Q15" i="2"/>
  <c r="U15" i="2"/>
  <c r="Q16" i="2"/>
  <c r="U16" i="2"/>
  <c r="Q18" i="2"/>
  <c r="U18" i="2"/>
  <c r="Q22" i="2"/>
  <c r="U22" i="2"/>
  <c r="Q14" i="2"/>
  <c r="U14" i="2"/>
  <c r="Q11" i="2"/>
  <c r="U11" i="2"/>
  <c r="Q17" i="2"/>
  <c r="U17" i="2"/>
  <c r="K21" i="2"/>
  <c r="K11" i="2"/>
  <c r="H29" i="2" s="1"/>
  <c r="L29" i="2" s="1"/>
  <c r="T29" i="2" s="1"/>
  <c r="K14" i="2"/>
  <c r="N35" i="2"/>
  <c r="K20" i="2"/>
  <c r="K17" i="2"/>
  <c r="K15" i="2"/>
  <c r="K18" i="2"/>
  <c r="K13" i="2"/>
  <c r="K16" i="2"/>
  <c r="K19" i="2"/>
  <c r="K22" i="2"/>
  <c r="Q20" i="2"/>
  <c r="U20" i="2"/>
  <c r="R20" i="2" l="1"/>
  <c r="V20" i="2"/>
  <c r="R16" i="2"/>
  <c r="V16" i="2"/>
  <c r="R11" i="2"/>
  <c r="V11" i="2"/>
  <c r="R21" i="2"/>
  <c r="V21" i="2"/>
  <c r="Q24" i="2"/>
  <c r="Q25" i="2"/>
  <c r="R17" i="2"/>
  <c r="V17" i="2"/>
  <c r="O35" i="2"/>
  <c r="M14" i="2" s="1"/>
  <c r="L15" i="2"/>
  <c r="L20" i="2"/>
  <c r="L17" i="2"/>
  <c r="L14" i="2"/>
  <c r="L21" i="2"/>
  <c r="L18" i="2"/>
  <c r="L11" i="2"/>
  <c r="L16" i="2"/>
  <c r="L19" i="2"/>
  <c r="L13" i="2"/>
  <c r="L22" i="2"/>
  <c r="R14" i="2"/>
  <c r="V14" i="2"/>
  <c r="R22" i="2"/>
  <c r="V22" i="2"/>
  <c r="R19" i="2"/>
  <c r="V19" i="2"/>
  <c r="U24" i="2"/>
  <c r="U25" i="2"/>
  <c r="R18" i="2"/>
  <c r="V18" i="2"/>
  <c r="R13" i="2"/>
  <c r="V13" i="2"/>
  <c r="R15" i="2"/>
  <c r="V15" i="2"/>
  <c r="S11" i="2" l="1"/>
  <c r="S18" i="2"/>
  <c r="S21" i="2"/>
  <c r="V24" i="2"/>
  <c r="V25" i="2"/>
  <c r="S17" i="2"/>
  <c r="R24" i="2"/>
  <c r="R25" i="2"/>
  <c r="S20" i="2"/>
  <c r="S14" i="2"/>
  <c r="S15" i="2"/>
  <c r="M20" i="2"/>
  <c r="M17" i="2"/>
  <c r="M16" i="2"/>
  <c r="M15" i="2"/>
  <c r="M11" i="2"/>
  <c r="I29" i="2" s="1"/>
  <c r="M22" i="2"/>
  <c r="M13" i="2"/>
  <c r="M18" i="2"/>
  <c r="M21" i="2"/>
  <c r="M19" i="2"/>
  <c r="S22" i="2"/>
  <c r="S13" i="2"/>
  <c r="H30" i="2"/>
  <c r="X29" i="2"/>
  <c r="S19" i="2"/>
  <c r="S16" i="2"/>
  <c r="T13" i="2" l="1"/>
  <c r="T16" i="2"/>
  <c r="T17" i="2"/>
  <c r="T11" i="2"/>
  <c r="T15" i="2"/>
  <c r="H31" i="2"/>
  <c r="L30" i="2"/>
  <c r="T30" i="2" s="1"/>
  <c r="X30" i="2" s="1"/>
  <c r="S24" i="2"/>
  <c r="S25" i="2"/>
  <c r="T19" i="2"/>
  <c r="T22" i="2"/>
  <c r="T14" i="2"/>
  <c r="T20" i="2"/>
  <c r="T21" i="2"/>
  <c r="T18" i="2"/>
  <c r="H32" i="2" l="1"/>
  <c r="L32" i="2" s="1"/>
  <c r="T32" i="2" s="1"/>
  <c r="X32" i="2" s="1"/>
  <c r="L31" i="2"/>
  <c r="T31" i="2" s="1"/>
  <c r="X31" i="2" s="1"/>
  <c r="T24" i="2"/>
  <c r="T25" i="2"/>
  <c r="I30" i="2"/>
  <c r="M29" i="2"/>
  <c r="U29" i="2" s="1"/>
  <c r="Y29" i="2" s="1"/>
  <c r="I31" i="2" l="1"/>
  <c r="M30" i="2"/>
  <c r="U30" i="2" s="1"/>
  <c r="Y30" i="2" s="1"/>
  <c r="I32" i="2" l="1"/>
  <c r="M32" i="2" s="1"/>
  <c r="U32" i="2" s="1"/>
  <c r="Y32" i="2" s="1"/>
  <c r="M31" i="2"/>
  <c r="U31" i="2" s="1"/>
  <c r="Y31" i="2" s="1"/>
  <c r="AC70" i="5" l="1"/>
  <c r="AB67" i="5"/>
  <c r="AC91" i="5" l="1"/>
  <c r="AC99" i="5"/>
  <c r="AB70" i="5"/>
  <c r="AB99" i="5" s="1"/>
  <c r="AB100" i="5" s="1"/>
  <c r="AB68" i="5"/>
  <c r="AB69" i="5"/>
  <c r="AC92" i="5"/>
  <c r="AC105" i="5"/>
  <c r="I11" i="10" s="1"/>
  <c r="AB72" i="5"/>
  <c r="AG71" i="5"/>
  <c r="AB71" i="5"/>
  <c r="AC71" i="5"/>
  <c r="AH71" i="5"/>
  <c r="AC72" i="5"/>
  <c r="AB91" i="5" l="1"/>
  <c r="I20" i="10"/>
  <c r="I12" i="10"/>
  <c r="J14" i="10"/>
  <c r="J12" i="10"/>
  <c r="I7" i="10"/>
  <c r="AC100" i="5"/>
  <c r="AB105" i="5"/>
  <c r="AB92" i="5"/>
  <c r="AI28" i="5"/>
  <c r="AI70" i="5" s="1"/>
  <c r="AI72" i="5" l="1"/>
  <c r="AI99" i="5"/>
  <c r="AI78" i="5"/>
  <c r="AJ71" i="5"/>
  <c r="I19" i="10"/>
  <c r="I9" i="10"/>
  <c r="I8" i="10"/>
  <c r="J9" i="10"/>
  <c r="AI75" i="5"/>
  <c r="AI91" i="5" s="1"/>
  <c r="AI105" i="5" s="1"/>
  <c r="AI84" i="5"/>
  <c r="K7" i="10" l="1"/>
  <c r="AI100" i="5"/>
  <c r="AI71" i="5"/>
  <c r="K19" i="10"/>
  <c r="K9" i="10"/>
  <c r="K8" i="10"/>
  <c r="L9" i="10"/>
  <c r="K11" i="10"/>
  <c r="K20" i="10" l="1"/>
  <c r="K15" i="10"/>
  <c r="K12" i="10"/>
  <c r="L12" i="10"/>
  <c r="AI92" i="5"/>
  <c r="B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8168277B-AE67-4FB4-92E9-CF8092321FB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Version="2" Timestamp="1724354467"&gt;&lt;FQL&gt;&lt;Q&gt;CRWD-US^FE_VALUATION(PE,MEAN,ANN,+2,NOW,,,'')&lt;/Q&gt;&lt;R&gt;1&lt;/R&gt;&lt;C&gt;1&lt;/C&gt;&lt;D xsi:type="xsd:double"&gt;57.509613&lt;/D&gt;&lt;/FQL&gt;&lt;FQL&gt;&lt;Q&gt;CRWD-US^FE_VALUATION(PE,MEAN,ANN,+1,NOW,,,'')&lt;/Q&gt;&lt;R&gt;1&lt;/R&gt;&lt;C&gt;1&lt;/C&gt;&lt;D xsi:type="xsd:double"&gt;69.13191&lt;/D&gt;&lt;/FQL&gt;&lt;FQL&gt;&lt;Q&gt;CRWD-US^FE_VALUATION(FFEV_EBITDA,MEAN,ANN,+2,NOW,,,'')&lt;/Q&gt;&lt;R&gt;1&lt;/R&gt;&lt;C&gt;1&lt;/C&gt;&lt;D xsi:type="xsd:double"&gt;48.961853&lt;/D&gt;&lt;/FQL&gt;&lt;FQL&gt;&lt;Q&gt;CRWD-US^FE_VALUATION(FFEV_EBITDA,MEAN,ANN,+1,NOW,,,'')&lt;/Q&gt;&lt;R&gt;1&lt;/R&gt;&lt;C&gt;1&lt;/C&gt;&lt;D xsi:type="xsd:double"&gt;62.773926&lt;/D&gt;&lt;/FQL&gt;&lt;FQL&gt;&lt;Q&gt;CRWD-US^FE_VALUATION(FFEV_SALES,MEAN,ANN,+2,NOW,,,'')&lt;/Q&gt;&lt;R&gt;1&lt;/R&gt;&lt;C&gt;1&lt;/C&gt;&lt;D xsi:type="xsd:double"&gt;12.955251&lt;/D&gt;&lt;/FQL&gt;&lt;FQL&gt;&lt;Q&gt;CRWD-US^FE_VALUATION(FFEV_SALES,MEAN,ANN,+1,NOW,,,'')&lt;/Q&gt;&lt;R&gt;1&lt;/R&gt;&lt;C&gt;1&lt;/C&gt;&lt;D xsi:type="xsd:double"&gt;16.054932&lt;/D&gt;&lt;/FQL&gt;&lt;FQL&gt;&lt;Q&gt;IBM-US^FE_VALUATION(PE,MEAN,ANN,+2,NOW,,,'')&lt;/Q&gt;&lt;R&gt;1&lt;/R&gt;&lt;C&gt;1&lt;/C&gt;&lt;D xsi:type="xsd:double"&gt;18.473906&lt;/D&gt;&lt;/FQL&gt;&lt;FQL&gt;&lt;Q&gt;IBM-US^FE_VALUATION(PE,MEAN,ANN,+1,NOW,,,'')&lt;/Q&gt;&lt;R&gt;1&lt;/R&gt;&lt;C&gt;1&lt;/C&gt;&lt;D xsi:type="xsd:double"&gt;19.39079&lt;/D&gt;&lt;/FQL&gt;&lt;FQL&gt;&lt;Q&gt;IBM-US^FE_VALUATION(FFEV_EBITDA,MEAN,ANN,+2,NOW,,,'')&lt;/Q&gt;&lt;R&gt;1&lt;/R&gt;&lt;C&gt;1&lt;/C&gt;&lt;D xsi:type="xsd:double"&gt;13.867104&lt;/D&gt;&lt;/FQL&gt;&lt;FQL&gt;&lt;Q&gt;IBM-US^FE_VALUATION(FFEV_EBITDA,MEAN,ANN,+1,NOW,,,'')&lt;/Q&gt;&lt;R&gt;1&lt;/R&gt;&lt;C&gt;1&lt;/C&gt;&lt;D xsi:type="xsd:double"&gt;14.545293&lt;/D&gt;&lt;/FQL&gt;&lt;FQL&gt;&lt;Q&gt;IBM-US^FE_VALUATION(FFEV_SALES,MEAN,ANN,+2,NOW,,,'')&lt;/Q&gt;&lt;R&gt;1&lt;/R&gt;&lt;C&gt;1&lt;/C&gt;&lt;D xsi:type="xsd:double"&gt;3.414961&lt;/D&gt;&lt;/FQL&gt;&lt;FQL&gt;&lt;Q&gt;IBM-US^FE_VALUATION(FFEV_SALES,MEAN,ANN,+1,NOW,,,'')&lt;/Q&gt;&lt;R&gt;1&lt;/R&gt;&lt;C&gt;1&lt;/C&gt;&lt;D xsi:type="xsd:double"&gt;3.5804837&lt;/D&gt;&lt;/FQL&gt;&lt;FQL&gt;&lt;Q&gt;CSCO-US^FE_VALUATION(PE,MEAN,ANN,+2,NOW,,,'')&lt;/Q&gt;&lt;R&gt;1&lt;/R&gt;&lt;C&gt;1&lt;/C&gt;&lt;D xsi:type="xsd:double"&gt;13.00231&lt;/D&gt;&lt;/FQL&gt;&lt;FQL&gt;&lt;Q&gt;TSM-US^FE_VALUATION(PE,MEAN,ANN,+1,NOW,,,'')&lt;/Q&gt;&lt;R&gt;1&lt;/R&gt;&lt;C&gt;1&lt;/C&gt;&lt;D xsi:type="xsd:double"&gt;25.927717&lt;/D&gt;&lt;/FQL&gt;&lt;FQL&gt;&lt;Q&gt;TSM-US^FE_VALUATION(FFEV_EBITDA,MEAN,ANN,+2,NOW,,,'')&lt;/Q&gt;&lt;R&gt;1&lt;/R&gt;&lt;C&gt;1&lt;/C&gt;&lt;D xsi:type="xsd:double"&gt;11.40657&lt;/D&gt;&lt;/FQL&gt;&lt;FQL&gt;&lt;Q&gt;TSM-US^FE_VALUATION(FFEV_EBITDA,MEAN,ANN,+1,NOW,,,'')&lt;/Q&gt;&lt;R&gt;1&lt;/R&gt;&lt;C&gt;1&lt;/C&gt;&lt;D xsi:type="xsd:double"&gt;14.357804&lt;/D&gt;&lt;/FQL&gt;&lt;FQL&gt;&lt;Q&gt;TSM-US^FE_VALUATION(FFEV_SALES,MEAN,ANN,+2,NOW,,,'')&lt;/Q&gt;&lt;R&gt;1&lt;/R&gt;&lt;C&gt;1&lt;/C&gt;&lt;D xsi:type="xsd:double"&gt;7.8415127&lt;/D&gt;&lt;/FQL&gt;&lt;FQL&gt;&lt;Q&gt;TSM-US^FE_VALUATION(FFEV_SALES,MEAN,ANN,+1,NOW,,,'')&lt;/Q&gt;&lt;R&gt;1&lt;/R&gt;&lt;C&gt;1&lt;/C&gt;&lt;D xsi:type="xsd:double"&gt;9.688719&lt;/D&gt;&lt;/FQL&gt;&lt;FQL&gt;&lt;Q&gt;TSM-US^FE_VALUATION(PE,MEAN,ANN,+2,NOW,,,'')&lt;/Q&gt;&lt;R&gt;1&lt;/R&gt;&lt;C&gt;1&lt;/C&gt;&lt;D xsi:type="xsd:double"&gt;20.37114&lt;/D&gt;&lt;/FQL&gt;&lt;FQL&gt;&lt;Q&gt;GFS-US^FE_VALUATION(PE,MEAN,ANN,+2,NOW,,,'')&lt;/Q&gt;&lt;R&gt;1&lt;/R&gt;&lt;C&gt;1&lt;/C&gt;&lt;D xsi:type="xsd:double"&gt;23.263823&lt;/D&gt;&lt;/FQL&gt;&lt;FQL&gt;&lt;Q&gt;GFS-US^FE_VALUATION(PE,MEAN,ANN,+1,NOW,,,'')&lt;/Q&gt;&lt;R&gt;1&lt;/R&gt;&lt;C&gt;1&lt;/C&gt;&lt;D xsi:type="xsd:double"&gt;31.937107&lt;/D&gt;&lt;/FQL&gt;&lt;FQL&gt;&lt;Q&gt;GFS-US^FE_VALUATION(FFEV_EBITDA,MEAN,ANN,+2,NOW,,,'')&lt;/Q&gt;&lt;R&gt;1&lt;/R&gt;&lt;C&gt;1&lt;/C&gt;&lt;D xsi:type="xsd:double"&gt;8.871041&lt;/D&gt;&lt;/FQL&gt;&lt;FQL&gt;&lt;Q&gt;GFS-US^FE_VALUATION(FFEV_EBITDA,MEAN,ANN,+1,NOW,,,'')&lt;/Q&gt;&lt;R&gt;1&lt;/R&gt;&lt;C&gt;1&lt;/C&gt;&lt;D xsi:type="xsd:double"&gt;10.12125&lt;/D&gt;&lt;/FQL&gt;&lt;FQL&gt;&lt;Q&gt;GFS-US^FE_VALUATION(FFEV_SALES,MEAN,ANN,+2,NOW,,,'')&lt;/Q&gt;&lt;R&gt;1&lt;/R&gt;&lt;C&gt;1&lt;/C&gt;&lt;D xsi:type="xsd:double"&gt;3.1870084&lt;/D&gt;&lt;/FQL&gt;&lt;FQL&gt;&lt;Q&gt;GFS-US^FE_VALUATION(FFEV_SALES,MEAN,ANN,+1,NOW,,,'')&lt;/Q&gt;&lt;R&gt;1&lt;/R&gt;&lt;C&gt;1&lt;/C&gt;&lt;D xsi:type="xsd:double"&gt;3.6041455&lt;/D&gt;&lt;/FQL&gt;&lt;FQL&gt;&lt;Q&gt;ADI-US^FE_VALUATION(PE,MEAN,ANN,+2,NOW,,,'')&lt;/Q&gt;&lt;R&gt;1&lt;/R&gt;&lt;C&gt;1&lt;/C&gt;&lt;D xsi:type="xsd:double"&gt;29.530197&lt;/D&gt;&lt;/FQL&gt;&lt;FQL&gt;&lt;Q&gt;ADI-US^FE_VALUATION(PE,MEAN,ANN,+1,NOW,,,'')&lt;/Q&gt;&lt;R&gt;1&lt;/R&gt;&lt;C&gt;1&lt;/C&gt;&lt;D xsi:type="xsd:double"&gt;35.22074&lt;/D&gt;&lt;/FQL&gt;&lt;FQL&gt;&lt;Q&gt;ADI-US^FE_VALUATION(FFEV_EBITDA,MEAN,ANN,+2,NOW,,,'')&lt;/Q&gt;&lt;R&gt;1&lt;/R&gt;&lt;C&gt;1&lt;/C&gt;&lt;D xsi:type="xsd:double"&gt;26.349112&lt;/D&gt;&lt;/FQL&gt;&lt;FQL&gt;&lt;Q&gt;ADI-US^FE_VALUATION(FFEV_EBITDA,MEAN,ANN,+1,NOW,,,'')&lt;/Q&gt;&lt;R&gt;1&lt;/R&gt;&lt;C&gt;1&lt;/C&gt;&lt;D xsi:type="xsd:double"&gt;28.329313&lt;/D&gt;&lt;/FQL&gt;&lt;FQL&gt;&lt;Q&gt;ADI-US^FE_VALUATION(FFEV_SALES,MEAN,ANN,+2,NOW,,,'')&lt;/Q&gt;&lt;R&gt;1&lt;/R&gt;&lt;C&gt;1&lt;/C&gt;&lt;D xsi:type="xsd:double"&gt;11.256158&lt;/D&gt;&lt;/FQL&gt;&lt;FQL&gt;&lt;Q&gt;ADI-US^FE_VALUATION(FFEV_SALES,MEAN,ANN,+1,NOW,,,'')&lt;/Q&gt;&lt;R&gt;1&lt;/R&gt;&lt;C&gt;1&lt;/C&gt;&lt;D xsi:type="xsd:double"&gt;12.472246&lt;/D&gt;&lt;/FQL&gt;&lt;FQL&gt;&lt;Q&gt;MRVL-US^FE_VALUATION(PE,MEAN,ANN,+2,NOW,,,'')&lt;/Q&gt;&lt;R&gt;1&lt;/R&gt;&lt;C&gt;1&lt;/C&gt;&lt;D xsi:type="xsd:double"&gt;29.070938&lt;/D&gt;&lt;/FQL&gt;&lt;FQL&gt;&lt;Q&gt;MRVL-US^FE_VALUATION(PE,MEAN,ANN,+1,NOW,,,'')&lt;/Q&gt;&lt;R&gt;1&lt;/R&gt;&lt;C&gt;1&lt;/C&gt;&lt;D xsi:type="xsd:double"&gt;49.930836&lt;/D&gt;&lt;/FQL&gt;&lt;FQL&gt;&lt;Q&gt;MRVL-US^FE_VALUATION(FFEV_EBITDA,MEAN,ANN,+2,NOW,,,'')&lt;/Q&gt;&lt;R&gt;1&lt;/R&gt;&lt;C&gt;1&lt;/C&gt;&lt;D xsi:type="xsd:double"&gt;24.784628&lt;/D&gt;&lt;/FQL&gt;&lt;FQL&gt;&lt;Q&gt;MRVL-US^FE_VALUATION(FFEV_EBITDA,MEAN,ANN,+1,NOW,,,'')&lt;/Q&gt;&lt;R&gt;1&lt;/R&gt;&lt;C&gt;1&lt;/C&gt;&lt;D xsi:type="xsd:double"&gt;39.16055&lt;/D&gt;&lt;/FQL&gt;&lt;FQL&gt;&lt;Q&gt;MRVL-US^FE_VALUATION(FFEV_SALES,MEAN,ANN,+2,NOW,,,'')&lt;/Q&gt;&lt;R&gt;1&lt;/R&gt;&lt;C&gt;1&lt;/C&gt;&lt;D xsi:type="xsd:double"&gt;8.979244&lt;/D&gt;&lt;/FQL&gt;&lt;FQL&gt;&lt;Q&gt;MRVL-US^FE_VALUATION(FFEV_SALES,MEAN,ANN,+1,NOW,,,'')&lt;/Q&gt;&lt;R&gt;1&lt;/R&gt;&lt;C&gt;1&lt;/C&gt;&lt;D xsi:type="xsd:double"&gt;11.872312&lt;/D&gt;&lt;/FQL&gt;&lt;FQL&gt;&lt;Q&gt;NVDA-US^FE_VALUATION(PE,MEAN,ANN,+2,NOW,,,'')&lt;/Q&gt;&lt;R&gt;1&lt;/R&gt;&lt;C&gt;1&lt;/C&gt;&lt;D xsi:type="xsd:double"&gt;32.860855&lt;/D&gt;&lt;/FQL&gt;&lt;FQL&gt;&lt;Q&gt;NVDA-US^FE_VALUATION(PE,MEAN,ANN,+1,NOW,,,'')&lt;/Q&gt;&lt;R&gt;1&lt;/R&gt;&lt;C&gt;1&lt;/C&gt;&lt;D xsi:type="xsd:double"&gt;45.866238&lt;/D&gt;&lt;/FQL&gt;&lt;FQL&gt;&lt;Q&gt;NVDA-US^FE_VALUATION(FFEV_EBITDA,MEAN,ANN,+2,NOW,,,'')&lt;/Q&gt;&lt;R&gt;1&lt;/R&gt;&lt;C&gt;1&lt;/C&gt;&lt;D xsi:type="xsd:double"&gt;27.894548&lt;/D&gt;&lt;/FQL&gt;&lt;FQL&gt;&lt;Q&gt;NVDA-US^FE_VALUATION(FFEV_EBITDA,MEAN,ANN,+1,NOW,,,'')&lt;/Q&gt;&lt;R&gt;1&lt;/R&gt;&lt;C&gt;1&lt;/C&gt;&lt;D xsi:type="xsd:double"&gt;39.21878&lt;/D&gt;&lt;/FQL&gt;&lt;FQL&gt;&lt;Q&gt;NVDA-US^FE_VALUATION(FFEV_SALES,MEAN,ANN,+2,NOW,,,'')&lt;/Q&gt;&lt;R&gt;1&lt;/R&gt;&lt;C&gt;1&lt;/C&gt;&lt;D xsi:type="xsd:double"&gt;18.429348&lt;/D&gt;&lt;/FQL&gt;&lt;FQL&gt;&lt;Q&gt;NVDA-US^FE_VALUATION(FFEV_SALES,MEAN,ANN,+1,NOW,,,'')&lt;/Q&gt;&lt;R&gt;1&lt;/R&gt;&lt;C&gt;1&lt;/C&gt;&lt;D xsi:type="xsd:double"&gt;25.568136&lt;/D&gt;&lt;/FQL&gt;&lt;FQL&gt;&lt;Q&gt;INTC-US^FE_VALUATION(PE,MEAN,ANN,+2,NOW,,,'')&lt;/Q&gt;&lt;R&gt;1&lt;/R&gt;&lt;C&gt;1&lt;/C&gt;&lt;D xsi:type="xsd:double"&gt;17.199095&lt;/D&gt;&lt;/FQL&gt;&lt;FQL&gt;&lt;Q&gt;INTC-US^FE_VALUATION(PE,MEAN,ANN,+1,NOW,,,'')&lt;/Q&gt;&lt;R&gt;1&lt;/R&gt;&lt;C&gt;1&lt;/C&gt;&lt;D xsi:type="xsd:double"&gt;61.729195&lt;/D&gt;&lt;/FQL&gt;&lt;FQL&gt;&lt;Q&gt;INTC-US^FE_VALUATION(FFEV_EBITDA,MEAN,ANN,+2,NOW,,,'')&lt;/Q&gt;&lt;R&gt;1&lt;/R&gt;&lt;C&gt;1&lt;/C&gt;&lt;D xsi:type="xsd:double"&gt;6.684638&lt;/D&gt;&lt;/FQL&gt;&lt;FQL&gt;&lt;Q&gt;INTC-US^FE_VALUATION(FFEV_EBITDA,MEAN,ANN,+1,NOW,,,'')&lt;/Q&gt;&lt;R&gt;1&lt;/R&gt;&lt;C&gt;1&lt;/C&gt;&lt;D xsi:type="xsd:double"&gt;9.879331&lt;/D&gt;&lt;/FQL&gt;&lt;FQL&gt;&lt;Q&gt;INTC-US^FE_VALUATION(FFEV_SALES,MEAN,ANN,+2,NOW,,,'')&lt;/Q&gt;&lt;R&gt;1&lt;/R&gt;&lt;C&gt;1&lt;/C&gt;&lt;D xsi:type="xsd:double"&gt;2.0215542&lt;/D&gt;&lt;/FQL&gt;&lt;FQL&gt;&lt;Q&gt;INTC-US^FE_VALUATION(FFEV_SALES,MEAN,ANN,+1,NOW,,,'')&lt;/Q&gt;&lt;R&gt;1&lt;/R&gt;&lt;C&gt;1&lt;/C&gt;&lt;D xsi:type="xsd:double"&gt;2.188402&lt;/D&gt;&lt;/FQL&gt;&lt;FQL&gt;&lt;Q&gt;AMD-US^FE_VALUATION(PE,MEAN,ANN,+2,NOW,,,'')&lt;/Q&gt;&lt;R&gt;1&lt;/R&gt;&lt;C&gt;1&lt;/C&gt;&lt;D xsi:type="xsd:double"&gt;27.91866&lt;/D&gt;&lt;/FQL&gt;&lt;FQL&gt;&lt;Q&gt;AMD-US^FE_VALUATION(PE,MEAN,ANN,+1,NOW,,,'')&lt;/Q&gt;&lt;R&gt;1&lt;/R&gt;&lt;C&gt;1&lt;/C&gt;&lt;D xsi:type="xsd:double"&gt;44.39118&lt;/D&gt;&lt;/FQL&gt;&lt;FQL&gt;&lt;Q&gt;AMD-US^FE_VALUATION(FFEV_EBITDA,MEAN,ANN,+2,NOW,,,'')&lt;/Q&gt;&lt;R&gt;1&lt;/R&gt;&lt;C&gt;1&lt;/C&gt;&lt;D xsi:type="xsd:double"&gt;24.270756&lt;/D&gt;&lt;/FQL&gt;&lt;FQL&gt;&lt;Q&gt;AMD-US^FE_VALUATION(FFEV_EBITDA,MEAN,ANN,+1,NOW,,,'')&lt;/Q&gt;&lt;R&gt;1&lt;/R&gt;&lt;C&gt;1&lt;/C&gt;&lt;D xsi:type="xsd:double"&gt;37.021362&lt;/D&gt;&lt;/FQL&gt;&lt;FQL&gt;&lt;Q&gt;AMD-US^FE_VALUATION(FFEV_SALES,MEAN,ANN,+2,NOW,,,'')&lt;/Q&gt;&lt;R&gt;1&lt;/R&gt;&lt;C&gt;1&lt;/C&gt;&lt;D xsi:type="xsd:double"&gt;7.4767604&lt;/D&gt;&lt;/FQL&gt;&lt;FQL&gt;&lt;Q&gt;AMD-US^FE_VALUATION(FFEV_SALES,MEAN,ANN,+1,NOW,,,'')&lt;/Q&gt;&lt;R&gt;1&lt;/R&gt;&lt;C&gt;1&lt;/C&gt;&lt;D xsi:type="xsd:double"&gt;9.586525&lt;/D&gt;&lt;/FQL&gt;&lt;FQL&gt;&lt;Q&gt;AVGO-US^FE_VALUATION(PE,MEAN,ANN,+2,NOW,,,'')&lt;/Q&gt;&lt;R&gt;1&lt;/R&gt;&lt;C&gt;1&lt;/C&gt;&lt;D xsi:type="xsd:double"&gt;26.884516&lt;/D&gt;&lt;/FQL&gt;&lt;FQL&gt;&lt;Q&gt;AVGO-US^FE_VALUATION(PE,MEAN,ANN,+1,NOW,,,'')&lt;/Q&gt;&lt;R&gt;1&lt;/R&gt;&lt;C&gt;1&lt;/C&gt;&lt;D xsi:type="xsd:double"&gt;34.219448&lt;/D&gt;&lt;/FQL&gt;&lt;FQL&gt;&lt;Q&gt;AVGO-US^FE_VALUATION(FFEV_EBITDA,MEAN,ANN,+2,NOW,,,'')&lt;/Q&gt;&lt;R&gt;1&lt;/R&gt;&lt;C&gt;1&lt;/C&gt;&lt;D xsi:type="xsd:double"&gt;21.10771&lt;/D&gt;&lt;/FQL&gt;&lt;FQL&gt;&lt;Q&gt;AVGO-US^FE_VALUATION(FFEV_EBITDA,MEAN,ANN,+1,NOW,,,'')&lt;/Q&gt;&lt;R&gt;1&lt;/R&gt;&lt;C&gt;1&lt;/C&gt;&lt;D xsi:type="xsd:double"&gt;25.761395&lt;/D&gt;&lt;/FQL&gt;&lt;FQL&gt;&lt;Q&gt;AVGO-US^FE_VALUATION(FFEV_SALES,MEAN,ANN,+2,NOW,,,'')&lt;/Q&gt;&lt;R&gt;1&lt;/R&gt;&lt;C&gt;1&lt;/C&gt;&lt;D xsi:type="xsd:double"&gt;13.34524&lt;/D&gt;&lt;/FQL&gt;&lt;FQL&gt;&lt;Q&gt;AVGO-US^FE_VALUATION(FFEV_SALES,MEAN,ANN,+1,NOW,,,'')&lt;/Q&gt;&lt;R&gt;1&lt;/R&gt;&lt;C&gt;1&lt;/C&gt;&lt;D xsi:type="xsd:double"&gt;15.562963&lt;/D&gt;&lt;/FQL&gt;&lt;FQL&gt;&lt;Q&gt;AVGO-US^FREF_SHARES_COMPANY(0,,,,0,"LEGACY")&lt;/Q&gt;&lt;R&gt;1&lt;/R&gt;&lt;C&gt;1&lt;/C&gt;&lt;D xsi:type="xsd:double"&gt;4654.88330078125&lt;/D&gt;&lt;/FQL&gt;&lt;FQL&gt;&lt;Q&gt;AVGO-US^FF_DEBT(QTR_R,0)&lt;/Q&gt;&lt;R&gt;1&lt;/R&gt;&lt;C&gt;1&lt;/C&gt;&lt;D xsi:type="xsd:double"&gt;74016&lt;/D&gt;&lt;/FQL&gt;&lt;FQL&gt;&lt;Q&gt;AVGO-US^FF_CASH_ST(QTR_R,0)&lt;/Q&gt;&lt;R&gt;1&lt;/R&gt;&lt;C&gt;1&lt;/C&gt;&lt;D xsi:type="xsd:double"&gt;9809&lt;/D&gt;&lt;/FQL&gt;&lt;FQL&gt;&lt;Q&gt;CRWD-US^FF_NET_INC(ANN_R,0Y,,,,USD)&lt;/Q&gt;&lt;R&gt;1&lt;/R&gt;&lt;C&gt;1&lt;/C&gt;&lt;D xsi:type="xsd:double"&gt;89.327&lt;/D&gt;&lt;/FQL&gt;&lt;FQL&gt;&lt;Q&gt;CRWD-US^FF_NET_INC(ANN_R,-1AY,,,,USD)&lt;/Q&gt;&lt;R&gt;1&lt;/R&gt;&lt;C&gt;1&lt;/C&gt;&lt;D xsi:type="xsd:double"&gt;-183.245&lt;/D&gt;&lt;/FQL&gt;&lt;FQL&gt;&lt;Q&gt;CRWD-US^FF_EBITDA_OPER(ANN_R,0Y,,,,USD)&lt;/Q&gt;&lt;R&gt;1&lt;/R&gt;&lt;C&gt;1&lt;/C&gt;&lt;D xsi:type="xsd:double"&gt;155.438&lt;/D&gt;&lt;/FQL&gt;&lt;FQL&gt;&lt;Q&gt;CRWD-US^FF_EBITDA_OPER(ANN_R,-1AY,,,,USD)&lt;/Q&gt;&lt;R&gt;1&lt;/R&gt;&lt;C&gt;1&lt;/C&gt;&lt;D xsi:type="xsd:double"&gt;-93.638&lt;/D&gt;&lt;/FQL&gt;&lt;FQL&gt;&lt;Q&gt;CRWD-US^FF_SALES(ANN_R,0Y,,,,USD)&lt;/Q&gt;&lt;R&gt;1&lt;/R&gt;&lt;C&gt;1&lt;/C&gt;&lt;D xsi:type="xsd:double"&gt;3055.555&lt;/D&gt;&lt;/FQL&gt;&lt;FQL&gt;&lt;Q&gt;CRWD-US^FF_SALES(ANN_R,-1AY,,,,USD)&lt;/Q&gt;&lt;R&gt;1&lt;/R&gt;&lt;C&gt;1&lt;/C&gt;&lt;D xsi:type="xsd:double"&gt;2241.236&lt;/D&gt;&lt;/FQL&gt;&lt;FQL&gt;&lt;Q&gt;CRWD-US^FF_SALES(ANN_R,-2AY,,,,USD)&lt;/Q&gt;&lt;R&gt;1&lt;/R&gt;&lt;C&gt;1&lt;/C&gt;&lt;D xsi:type="xsd:double"&gt;1451.594&lt;/D&gt;&lt;/FQL&gt;&lt;FQL&gt;&lt;Q&gt;IBM-US^FF_NET_INC(ANN_R,0Y,,,,USD)&lt;/Q&gt;&lt;R&gt;1&lt;/R&gt;&lt;C&gt;1&lt;/C&gt;&lt;D xsi:type="xsd:double"&gt;7514&lt;/D&gt;&lt;/FQL&gt;&lt;FQL&gt;&lt;Q&gt;IBM-US^FF_NET_INC(ANN_R,-1AY,,,,USD)&lt;/Q&gt;&lt;R&gt;1&lt;/R&gt;&lt;C&gt;1&lt;/C&gt;&lt;D xsi:type="xsd:double"&gt;1783&lt;/D&gt;&lt;/FQL&gt;&lt;FQL&gt;&lt;Q&gt;IBM-US^FF_EBITDA_OPER(ANN_R,0Y,,,,USD)&lt;/Q&gt;&lt;R&gt;1&lt;/R&gt;&lt;C&gt;1&lt;/C&gt;&lt;D xsi:type="xsd:double"&gt;14899&lt;/D&gt;&lt;/FQL&gt;&lt;FQL&gt;&lt;Q&gt;IBM-US^FF_EBITDA_OPER(ANN_R,-1AY,,,,USD)&lt;/Q&gt;&lt;R&gt;1&lt;/R&gt;&lt;C&gt;1&lt;/C&gt;&lt;D xsi:type="xsd:double"&gt;12569&lt;/D&gt;&lt;/FQL&gt;&lt;FQL&gt;&lt;Q&gt;IBM-US^FF_SALES(ANN_R,0Y,,,,USD)&lt;/Q&gt;&lt;R&gt;1&lt;/R&gt;&lt;C&gt;1&lt;/C&gt;&lt;D xsi:type="xsd:double"&gt;61860&lt;/D&gt;&lt;/FQL&gt;&lt;FQL&gt;&lt;Q&gt;IBM-US^FF_SALES(ANN_R,-1AY,,,,USD)&lt;/Q&gt;&lt;R&gt;1&lt;/R&gt;&lt;C&gt;1&lt;/C&gt;&lt;D xsi:type="xsd:double"&gt;60530&lt;/D&gt;&lt;/FQL&gt;&lt;FQL&gt;&lt;Q&gt;IBM-US^FF_SALES(ANN_R,-2AY,,,,USD)&lt;/Q&gt;&lt;R&gt;1&lt;/R&gt;&lt;C&gt;1&lt;/C&gt;&lt;D xsi:type="xsd:double"&gt;57351&lt;/D&gt;&lt;/FQL&gt;&lt;FQL&gt;&lt;Q&gt;CSCO-US^FF_NET_INC(ANN_R,0Y,,,,USD)&lt;/Q&gt;&lt;R&gt;1&lt;/R&gt;&lt;C&gt;1&lt;/C&gt;&lt;D xsi:type="xsd:double"&gt;10320&lt;/D&gt;&lt;/FQL&gt;&lt;FQL&gt;&lt;Q&gt;CSCO-US^FF_NET_INC(ANN_R,-1AY,,,,USD)&lt;/Q&gt;&lt;R&gt;1&lt;/R&gt;&lt;C&gt;1&lt;/C&gt;&lt;D xsi:type="xsd:double"&gt;12613&lt;/D&gt;&lt;/FQL&gt;&lt;FQL&gt;&lt;Q&gt;CSCO-US^FF_EBITDA_OPER(ANN_R,0Y,,,,USD)&lt;/Q&gt;&lt;R&gt;1&lt;/R&gt;&lt;C&gt;1&lt;/C&gt;&lt;D xsi:type="xsd:double"&gt;15477&lt;/D&gt;&lt;/FQL&gt;&lt;FQL&gt;&lt;Q&gt;CSCO-US^FF_EBITDA_OPER(ANN_R,-1AY,,,,USD)&lt;/Q&gt;&lt;R&gt;1&lt;/R&gt;&lt;C&gt;1&lt;/C&gt;&lt;D xsi:type="xsd:double"&gt;17256&lt;/D&gt;&lt;/FQL&gt;&lt;FQL&gt;&lt;Q&gt;CSCO-US^FF_SALES(ANN_R,0Y,,,,USD)&lt;/Q&gt;&lt;R&gt;1&lt;/R&gt;&lt;C&gt;1&lt;/C&gt;&lt;D xsi:type="xsd:double"&gt;53803&lt;/D&gt;&lt;/FQL&gt;&lt;FQL&gt;&lt;Q&gt;CSCO-US^FF_SALES(ANN_R,-1AY,,,,USD)&lt;/Q&gt;&lt;R&gt;1&lt;/R&gt;&lt;C&gt;1&lt;/C&gt;&lt;D xsi:type="xsd:double"&gt;56998&lt;/D&gt;&lt;/FQL&gt;&lt;FQL&gt;&lt;Q&gt;CSCO-US^FF_SALES(ANN_R,-2AY,,,,USD)&lt;/Q&gt;&lt;R&gt;1&lt;/R&gt;&lt;C&gt;1&lt;/C&gt;&lt;D xsi:type="xsd:double"&gt;51557&lt;/D&gt;&lt;/FQL&gt;&lt;FQL&gt;&lt;Q&gt;TSM-US^FF_NET_INC(ANN_R,0Y,,,,USD)&lt;/Q&gt;&lt;R&gt;1&lt;/R&gt;&lt;C&gt;1&lt;/C&gt;&lt;D xsi:type="xsd:double"&gt;26899.6797846373&lt;/D&gt;&lt;/FQL&gt;&lt;FQL&gt;&lt;Q&gt;TSM-US^FF_NET_INC(ANN_R,-1AY,,,,USD)&lt;/Q&gt;&lt;R&gt;1&lt;/R&gt;&lt;C&gt;1&lt;/C&gt;&lt;D xsi:type="xsd:double"&gt;34096.9165246084&lt;/D&gt;&lt;/FQL&gt;&lt;FQL&gt;&lt;Q&gt;TSM-US^FF_EBITDA_OPER(ANN_R,0Y,,,,USD)&lt;/Q&gt;&lt;R&gt;1&lt;/R&gt;&lt;C&gt;1&lt;/C&gt;&lt;D xsi:type="xsd:double"&gt;46628.17747&lt;/D&gt;&lt;/FQL&gt;&lt;FQL&gt;&lt;Q&gt;TSM-US^FF_EBITDA_OPER(ANN_R,-1AY,,,,USD)&lt;/Q&gt;&lt;R&gt;1&lt;/R&gt;&lt;C&gt;1&lt;/C&gt;&lt;D xsi:type="xsd:double"&gt;52289.07821&lt;/D&gt;&lt;/FQL&gt;&lt;FQL&gt;&lt;Q&gt;TSM-US^FF_SALES(ANN_R,0Y,,,,USD)&lt;/Q&gt;&lt;R&gt;1&lt;/R&gt;&lt;C&gt;1&lt;/C&gt;&lt;D xsi:type="xsd:double"&gt;69350.2252880141&lt;/D&gt;&lt;/FQL&gt;&lt;FQL&gt;&lt;Q&gt;TSM-US^FF_SALES(ANN_R,-1AY,,,,USD)&lt;/Q&gt;&lt;R&gt;1&lt;/R&gt;&lt;C&gt;1&lt;/C&gt;&lt;D xsi:type="xsd:double"&gt;75936.4637501426&lt;/D&gt;&lt;/FQL&gt;&lt;FQL&gt;&lt;Q&gt;TSM-US^FF_SALES(ANN_R,-2AY,,,,USD)&lt;/Q&gt;&lt;R&gt;1&lt;/R&gt;&lt;C&gt;1&lt;/C&gt;&lt;D xsi:type="xsd:double"&gt;56831.680421362&lt;/D&gt;&lt;/FQL&gt;&lt;FQL&gt;&lt;Q&gt;GFS-US^FF_NET_INC(ANN_R,0Y,,,,USD)&lt;/Q&gt;&lt;R&gt;1&lt;/R&gt;&lt;C&gt;1&lt;/C&gt;&lt;D xsi:type="xsd:double"&gt;1020&lt;/D&gt;&lt;/FQL&gt;&lt;FQL&gt;&lt;Q&gt;GFS-US^FF_NET_INC(ANN_R,-1AY,,,,USD)&lt;/Q&gt;&lt;R&gt;1&lt;/R&gt;&lt;C&gt;1&lt;/C&gt;&lt;D xsi:type="xsd:double"&gt;1448&lt;/D&gt;&lt;/FQL&gt;&lt;FQL&gt;&lt;Q&gt;GFS-US^FF_EBITDA_OPER(ANN_R,0Y,,,,USD)&lt;/Q&gt;&lt;R&gt;1&lt;/R&gt;&lt;C&gt;1&lt;/C&gt;&lt;D xsi:type="xsd:double"&gt;2651&lt;/D&gt;&lt;/FQL&gt;&lt;FQL&gt;&lt;Q&gt;GFS-US^FF_EBITDA_OPER(ANN_R,-1AY,,,,USD)&lt;/Q&gt;&lt;R&gt;1&lt;/R&gt;&lt;C&gt;1&lt;/C&gt;&lt;D xsi:type="xsd:double"&gt;2884&lt;/D&gt;&lt;/FQL&gt;&lt;FQL&gt;&lt;Q&gt;GFS-US^FF_SALES(ANN_R,0Y,,,,USD)&lt;/Q&gt;&lt;R&gt;1&lt;/R&gt;&lt;C&gt;1&lt;/C&gt;&lt;D xsi:type="xsd:double"&gt;7392&lt;/D&gt;&lt;/FQL&gt;&lt;FQL&gt;&lt;Q&gt;GFS-US^FF_SALES(ANN_R,-1AY,,,,USD)&lt;/Q&gt;&lt;R&gt;1&lt;/R&gt;&lt;C&gt;1&lt;/C&gt;&lt;D xsi:type="xsd:double"&gt;8108&lt;/D&gt;&lt;/FQL&gt;&lt;FQL&gt;&lt;Q&gt;GFS-US^FF_SALES(ANN_R,-2AY,,,,USD)&lt;/Q&gt;&lt;R&gt;1&lt;/R&gt;&lt;C&gt;1&lt;/C&gt;&lt;D xsi:type="xsd:double"&gt;6585.079&lt;/D&gt;&lt;/FQL&gt;&lt;FQL&gt;&lt;Q&gt;ADI-US^FF_NET_INC(ANN_R,0Y,,,,USD)&lt;/Q&gt;&lt;R&gt;1&lt;/R&gt;&lt;C&gt;1&lt;/C&gt;&lt;D xsi:type="xsd:double"&gt;3314.579&lt;/D&gt;&lt;/FQL&gt;&lt;FQL&gt;&lt;Q&gt;ADI-US^FF_NET_INC(ANN_R,-1AY,,,,USD)&lt;/Q&gt;&lt;R&gt;1&lt;/R&gt;&lt;C&gt;1&lt;/C&gt;&lt;D xsi:type="xsd:double"&gt;2748.561&lt;/D&gt;&lt;/FQL&gt;&lt;FQL&gt;&lt;Q&gt;ADI-US^FF_EBITDA_OPER(ANN_R,0Y,,,,USD)&lt;/Q&gt;&lt;R&gt;1&lt;/R&gt;&lt;C&gt;1&lt;/C&gt;&lt;D xsi:type="xsd:double"&gt;6274.938&lt;/D&gt;&lt;/FQL&gt;&lt;FQL&gt;&lt;Q&gt;ADI-US^FF_EBITDA_OPER(ANN_R,-1AY,,,,USD)&lt;/Q&gt;&lt;R&gt;1&lt;/R&gt;&lt;C&gt;1&lt;/C&gt;&lt;D xsi:type="xsd:double"&gt;5826.105&lt;/D&gt;&lt;/FQL&gt;&lt;FQL&gt;&lt;Q&gt;ADI-US^FF_SALES(ANN_R,0Y,,,,USD)&lt;/Q&gt;&lt;R&gt;1&lt;/R&gt;&lt;C&gt;1&lt;/C&gt;&lt;D xsi:type="xsd:double"&gt;12305.539&lt;/D&gt;&lt;/FQL&gt;&lt;FQL&gt;&lt;Q&gt;ADI-US^FF_SALES(ANN_R,-1AY,,,,USD)&lt;/Q&gt;&lt;R&gt;1&lt;/R&gt;&lt;C&gt;1&lt;/C&gt;&lt;D xsi:type="xsd:double"&gt;12013.953&lt;/D&gt;&lt;/FQL&gt;&lt;FQL&gt;&lt;Q&gt;ADI-US^FF_SALES(ANN_R,-2AY,,,,USD)&lt;/Q&gt;&lt;R&gt;1&lt;/R&gt;&lt;C&gt;1&lt;/C&gt;&lt;D xsi:type="xsd:double"&gt;7318.286&lt;/D&gt;&lt;/FQL&gt;&lt;FQL&gt;&lt;Q&gt;MRVL-US^FF_NET_INC(ANN_R,0Y,,,,USD)&lt;/Q&gt;&lt;R&gt;1&lt;/R&gt;&lt;C&gt;1&lt;/C&gt;&lt;D xsi:type="xsd:double"&gt;-933.4&lt;/D&gt;&lt;/FQL&gt;&lt;FQL&gt;&lt;Q&gt;MRVL-US^FF_NET_INC(ANN_R,-1AY,,,,USD)&lt;/Q&gt;&lt;R&gt;1&lt;/R&gt;&lt;C&gt;1&lt;/C&gt;&lt;D xsi:type="xsd:double"&gt;-163.5&lt;/D&gt;&lt;/FQL&gt;&lt;FQL&gt;&lt;Q&gt;MRVL-US^FF_EBITDA_OPER(ANN_R,0Y,,,,USD)&lt;/Q&gt;&lt;R&gt;1&lt;/R&gt;&lt;C&gt;1&lt;/C&gt;&lt;D xsi:type="xsd:double"&gt;961.1&lt;/D&gt;&lt;/FQL&gt;&lt;FQL&gt;&lt;Q&gt;MRVL-US^FF_EBITDA_OPER(ANN_R,-1AY,,,,USD)&lt;/Q&gt;&lt;R&gt;1&lt;/R&gt;&lt;C&gt;1&lt;/C&gt;&lt;D xsi:type="xsd:double"&gt;1751.9&lt;/D&gt;&lt;/FQL&gt;&lt;FQL&gt;&lt;Q&gt;MRVL-US^FF_SALES(ANN_R,0Y,,,,USD)&lt;/Q&gt;&lt;R&gt;1&lt;/R&gt;&lt;C&gt;1&lt;/C&gt;&lt;D xsi:type="xsd:double"&gt;5507.7&lt;/D&gt;&lt;/FQL&gt;&lt;FQL&gt;&lt;Q&gt;MRVL-US^FF_SALES(ANN_R,-1AY,,,,USD)&lt;/Q&gt;&lt;R&gt;1&lt;/R&gt;&lt;C&gt;1&lt;/C&gt;&lt;D xsi:type="xsd:double"&gt;5919.6&lt;/D&gt;&lt;/FQL&gt;&lt;FQL&gt;&lt;Q&gt;MRVL-US^FF_SALES(ANN_R,-2AY,,,,USD)&lt;/Q&gt;&lt;R&gt;1&lt;/R&gt;&lt;C&gt;1&lt;/C&gt;&lt;D xsi:type="xsd:double"&gt;4462.383&lt;/D&gt;&lt;/FQL&gt;&lt;FQL&gt;&lt;Q&gt;NVDA-US^FF_NET_INC(ANN_R,0Y,,,,USD)&lt;/Q&gt;&lt;R&gt;1&lt;/R&gt;&lt;C&gt;1&lt;/C&gt;&lt;D xsi:type="xsd:double"&gt;29760&lt;/D&gt;&lt;/FQL&gt;&lt;FQL&gt;&lt;Q&gt;NVDA-US^FF_NET_INC(ANN_R,-1AY,,,,USD)&lt;/Q&gt;&lt;R&gt;1&lt;/R&gt;&lt;C&gt;1&lt;/C&gt;&lt;D xsi:type="xsd:double"&gt;4368&lt;/D&gt;&lt;/FQL&gt;&lt;FQL&gt;&lt;Q&gt;NVDA-US^FF_EBITDA_OPER(ANN_R,0Y,,,,USD)&lt;/Q&gt;&lt;R&gt;1&lt;/R&gt;&lt;C&gt;1&lt;/C&gt;&lt;D xsi:type="xsd:double"&gt;34480&lt;/D&gt;&lt;/FQL&gt;&lt;FQL&gt;&lt;Q&gt;NVDA-US^FF_EBITDA_OPER(ANN_R,-1AY,,,,USD)&lt;/Q&gt;&lt;R&gt;1&lt;/R&gt;&lt;C&gt;1&lt;/C&gt;&lt;D xsi:type="xsd:double"&gt;7121&lt;/D&gt;&lt;/FQL&gt;&lt;FQL&gt;&lt;Q&gt;NVDA-US^FF_SALES(ANN_R,0Y,,,,USD)&lt;/Q&gt;&lt;R&gt;1&lt;/R&gt;&lt;C&gt;1&lt;/C&gt;&lt;D xsi:type="xsd:double"&gt;60922&lt;/D&gt;&lt;/FQL&gt;&lt;FQL&gt;&lt;Q&gt;NVDA-US^FF_SALES(ANN_R,-1AY,,,,USD)&lt;/Q&gt;&lt;R&gt;1&lt;/R&gt;&lt;C&gt;1&lt;/C&gt;&lt;D xsi:type="xsd:double"&gt;26974&lt;/D&gt;&lt;/FQL&gt;&lt;FQL&gt;&lt;Q&gt;NVDA-US^FF_SALES(ANN_R,-2AY,,,,USD)&lt;/Q&gt;&lt;R&gt;1&lt;/R&gt;&lt;C&gt;1&lt;/C&gt;&lt;D xsi:type="xsd:double"&gt;26914&lt;/D&gt;&lt;/FQL&gt;&lt;FQL&gt;&lt;Q&gt;INTC-US^FF_NET_INC(ANN_R,0Y,,,,USD)&lt;/Q&gt;&lt;R&gt;1&lt;/R&gt;&lt;C&gt;1&lt;/C&gt;&lt;D xsi:type="xsd:double"&gt;1689&lt;/D&gt;&lt;/FQL&gt;&lt;FQL&gt;&lt;Q&gt;INTC-US^FF_NET_INC(ANN_R,-1AY,,,,USD)&lt;/Q&gt;&lt;R&gt;1&lt;/R&gt;&lt;C&gt;1&lt;/C&gt;&lt;D xsi:type="xsd:double"&gt;8014&lt;/D&gt;&lt;/FQL&gt;&lt;FQL&gt;&lt;Q&gt;INTC-US^FF_EBITDA_OPER(ANN_R,0Y,,,,USD)&lt;/Q&gt;&lt;R&gt;1&lt;/R&gt;&lt;C&gt;1&lt;/C&gt;&lt;D xsi:type="xsd:double"&gt;9633&lt;/D&gt;&lt;/FQL&gt;&lt;FQL&gt;&lt;Q&gt;INTC-US^FF_EBITDA_OPER(ANN_R,-1AY,,,,USD)&lt;/Q&gt;&lt;R&gt;1&lt;/R&gt;&lt;C&gt;1&lt;/C&gt;&lt;D xsi:type="xsd:double"&gt;15371&lt;/D&gt;&lt;/FQL&gt;&lt;FQL&gt;&lt;Q&gt;INTC-US^FF_SALES(ANN_R,0Y,,,,USD)&lt;/Q&gt;&lt;R&gt;1&lt;/R&gt;&lt;C&gt;1&lt;/C&gt;&lt;D xsi:type="xsd:double"&gt;54228&lt;/D&gt;&lt;/FQL&gt;&lt;FQL&gt;&lt;Q&gt;INTC-US^FF_SALES(ANN_R,-1AY,,,,USD)&lt;/Q&gt;&lt;R&gt;1&lt;/R&gt;&lt;C&gt;1&lt;/C&gt;&lt;D xsi:type="xsd:double"&gt;63054&lt;/D&gt;&lt;/FQL&gt;&lt;FQL&gt;&lt;Q&gt;INTC-US^FF_SALES(ANN_R,-2AY,,,,USD)&lt;/Q&gt;&lt;R&gt;1&lt;/R&gt;&lt;C&gt;1&lt;/C&gt;&lt;D xsi:type="xsd:double"&gt;79024&lt;/D&gt;&lt;/FQL&gt;&lt;FQL&gt;&lt;Q&gt;AMD-US^FF_NET_INC(ANN_R,0Y,,,,USD)&lt;/Q&gt;&lt;R&gt;1&lt;/R&gt;&lt;C&gt;1&lt;/C&gt;&lt;D xsi:type="xsd:double"&gt;854&lt;/D&gt;&lt;/FQL&gt;&lt;FQL&gt;&lt;Q&gt;AMD-US^FF_NET_INC(ANN_R,-1AY,,,,USD)&lt;/Q&gt;&lt;R&gt;1&lt;/R&gt;&lt;C&gt;1&lt;/C&gt;&lt;D xsi:type="xsd:double"&gt;1320&lt;/D&gt;&lt;/FQL&gt;&lt;FQL&gt;&lt;Q&gt;AMD-US^FF_EBITDA_OPER(ANN_R,0Y,,,,USD)&lt;/Q&gt;&lt;R&gt;1&lt;/R&gt;&lt;C&gt;1&lt;/C&gt;&lt;D xsi:type="xsd:double"&gt;4176&lt;/D&gt;&lt;/FQL&gt;&lt;FQL&gt;&lt;Q&gt;AMD-US^FF_EBITDA_OPER(ANN_R,-1AY,,,,USD)&lt;/Q&gt;&lt;R&gt;1&lt;/R&gt;&lt;C&gt;1&lt;/C&gt;&lt;D xsi:type="xsd:double"&gt;5876&lt;/D&gt;&lt;/FQL&gt;&lt;FQL&gt;&lt;Q&gt;AMD-US^FF_SALES(ANN_R,0Y,,,,USD)&lt;/Q&gt;&lt;R&gt;1&lt;/R&gt;&lt;C&gt;1&lt;/C&gt;&lt;D xsi:type="xsd:double"&gt;22680&lt;/D&gt;&lt;/FQL&gt;&lt;FQL&gt;&lt;Q&gt;AMD-US^FF_SALES(ANN_R,-1AY,,,,USD)&lt;/Q&gt;&lt;R&gt;1&lt;/R&gt;&lt;C&gt;1&lt;/C&gt;&lt;D xsi:type="xsd:double"&gt;23601&lt;/D&gt;&lt;/FQL&gt;&lt;FQL&gt;&lt;Q&gt;AMD-US^FF_SALES(ANN_R,-2AY,,,,USD)&lt;/Q&gt;&lt;R&gt;1&lt;/R&gt;&lt;C&gt;1&lt;/C&gt;&lt;D xsi:type="xsd:double"&gt;16434&lt;/D&gt;&lt;/FQL&gt;&lt;FQL&gt;&lt;Q&gt;AVGO-US^FF_NET_INC(ANN_R,0Y,,,,USD)&lt;/Q&gt;&lt;R&gt;1&lt;/R&gt;&lt;C&gt;1&lt;/C&gt;&lt;D xsi:type="xsd:double"&gt;14082&lt;/D&gt;&lt;/FQL&gt;&lt;FQL&gt;&lt;Q&gt;AVGO-US^FF_NET_INC(ANN_R,-1AY,,,,USD)&lt;/Q&gt;&lt;R&gt;1&lt;/R&gt;&lt;C&gt;1&lt;/C&gt;&lt;D xsi:type="xsd:double"&gt;11495&lt;/D&gt;&lt;/FQL&gt;&lt;FQL&gt;&lt;Q&gt;AVGO-US^FF_EBITDA_OPER(ANN_R,0Y,,,,USD)&lt;/Q&gt;&lt;R&gt;1&lt;/R&gt;&lt;C&gt;1&lt;/C&gt;&lt;D xsi:type="xsd:double"&gt;20290&lt;/D&gt;&lt;/FQL&gt;&lt;FQL&gt;&lt;Q&gt;AVGO-US^FF_EBITDA_OPER(ANN_R,-1AY,,,,USD)&lt;/Q&gt;&lt;R&gt;1&lt;/R&gt;&lt;C&gt;1&lt;/C&gt;&lt;D xsi:type="xsd:double"&gt;19271&lt;/D&gt;&lt;/FQL&gt;&lt;FQL&gt;&lt;Q&gt;AVGO-US^FF_SALES(ANN_R,0Y,,,,USD)&lt;/Q&gt;&lt;R&gt;1&lt;/R&gt;&lt;C&gt;1&lt;/C&gt;&lt;D xsi:type="xsd:double"&gt;35819&lt;/D&gt;&lt;/FQL&gt;&lt;FQL&gt;&lt;Q&gt;AVGO-US^FF_SALES(ANN_R,-1AY,,,,USD)&lt;/Q&gt;&lt;R&gt;1&lt;/R&gt;&lt;C&gt;1&lt;/C&gt;&lt;D xsi:type="xsd:double"&gt;33203&lt;/D&gt;&lt;/FQL&gt;&lt;FQL&gt;&lt;Q&gt;AVGO-US^FF_SALES(ANN_R,-2AY,,,,USD)&lt;/Q&gt;&lt;R&gt;1&lt;/R&gt;&lt;C&gt;1&lt;/C&gt;&lt;D xsi:type="xsd:double"&gt;27450&lt;/D&gt;&lt;/FQL&gt;&lt;FQL&gt;&lt;Q&gt;AVGO-US^FF_EPS(ANN_R,NOW,,,,USD)&lt;/Q&gt;&lt;R&gt;1&lt;/R&gt;&lt;C&gt;1&lt;/C&gt;&lt;D xsi:type="xsd:double"&gt;3.2979&lt;/D&gt;&lt;/FQL&gt;&lt;FQL&gt;&lt;Q&gt;CRWD-US^FF_DEBT(QTR_R,0)&lt;/Q&gt;&lt;R&gt;1&lt;/R&gt;&lt;C&gt;1&lt;/C&gt;&lt;D xsi:type="xsd:double"&gt;792.976&lt;/D&gt;&lt;/FQL&gt;&lt;FQL&gt;&lt;Q&gt;CRWD-US^FF_CASH_ST(QTR_R,0)&lt;/Q&gt;&lt;R&gt;1&lt;/R&gt;&lt;C&gt;1&lt;/C&gt;&lt;D xsi:type="xsd:double"&gt;3702.437&lt;/D&gt;&lt;/FQL&gt;&lt;FQL&gt;&lt;Q&gt;IBM-US^FF_DEBT(QTR_R,0)&lt;/Q&gt;&lt;R&gt;1&lt;/R&gt;&lt;C&gt;1&lt;/C&gt;&lt;D xsi:type="xsd:double"&gt;59839&lt;/D&gt;&lt;/FQL&gt;&lt;FQL&gt;&lt;Q&gt;IBM-US^FF_CASH_ST(QTR_R,0)&lt;/Q&gt;&lt;R&gt;1&lt;/R&gt;&lt;C&gt;1&lt;/C&gt;&lt;D xsi:type="xsd:double"&gt;15959&lt;/D&gt;&lt;/FQL&gt;&lt;FQL&gt;&lt;Q&gt;CSCO-US^FF_DEBT(QTR_R,0)&lt;/Q&gt;&lt;R&gt;1&lt;/R&gt;&lt;C&gt;1&lt;/C&gt;&lt;D xsi:type="xsd:double"&gt;30962&lt;/D&gt;&lt;/FQL&gt;&lt;FQL&gt;&lt;Q&gt;CSCO-US^FF_CASH_ST(QTR_R,0)&lt;/Q&gt;&lt;R&gt;1&lt;/R&gt;&lt;C&gt;1&lt;/C&gt;&lt;D xsi:type="xsd:double"&gt;17854&lt;/D&gt;&lt;/FQL&gt;&lt;FQL&gt;&lt;Q&gt;TSM-US^FF_DEBT(QTR_R,0)&lt;/Q&gt;&lt;R&gt;1&lt;/R&gt;&lt;C&gt;1&lt;/C&gt;&lt;D xsi:type="xsd:double"&gt;31695.8791979438&lt;/D&gt;&lt;/FQL&gt;&lt;FQL&gt;&lt;Q&gt;TSM-US^FF_CASH_ST(QTR_R,0)&lt;/Q&gt;&lt;R&gt;1&lt;/R&gt;&lt;C&gt;1&lt;/C&gt;&lt;D xsi:type="xsd:double"&gt;63152.5750042442&lt;/D&gt;&lt;/FQL&gt;&lt;FQL&gt;&lt;Q&gt;GFS-US^FF_DEBT(QTR_R,0)&lt;/Q&gt;&lt;R&gt;1&lt;/R&gt;&lt;C&gt;1&lt;/C&gt;&lt;D xsi:type="xsd:double"&gt;2753&lt;/D&gt;&lt;/FQL&gt;&lt;FQL&gt;&lt;Q&gt;GFS-US^FF_CASH_ST(QTR_R,0)&lt;/Q&gt;&lt;R&gt;1&lt;/R&gt;&lt;C&gt;1&lt;/C&gt;&lt;D xsi:type="xsd:double"&gt;3367&lt;/D&gt;&lt;/FQL&gt;&lt;FQL&gt;&lt;Q&gt;ADI-US^FF_DEBT(QTR_R,0)&lt;/Q&gt;&lt;R&gt;1&lt;/R&gt;&lt;C&gt;1&lt;/C&gt;&lt;D xsi:type="xsd:double"&gt;8102.417&lt;/D&gt;&lt;/FQL&gt;&lt;FQL&gt;&lt;Q&gt;ADI-US^FF_CASH_ST(QTR_R,0)&lt;/Q&gt;&lt;R&gt;1&lt;/R&gt;&lt;C&gt;1&lt;/C&gt;&lt;D xsi:type="xsd:double"&gt;2545.699&lt;/D&gt;&lt;/FQL&gt;&lt;FQL&gt;&lt;Q&gt;MRVL-US^FF_DEBT(QTR_R,0)&lt;/Q&gt;&lt;R&gt;1&lt;/R&gt;&lt;C&gt;1&lt;/C&gt;&lt;D xsi:type="xsd:double"&gt;4656.6&lt;/D&gt;&lt;/FQL&gt;&lt;FQL&gt;&lt;Q&gt;MRVL-US^FF_CASH_ST(QTR_R,0)&lt;/Q&gt;&lt;R&gt;1&lt;/R&gt;&lt;C&gt;1&lt;/C&gt;&lt;D xsi:type="xsd:double"&gt;847.7&lt;/D&gt;&lt;/FQL&gt;&lt;FQL&gt;&lt;Q&gt;NVDA-US^FF_DEBT(QTR_R,0)&lt;/Q&gt;&lt;R&gt;1&lt;/R&gt;&lt;C&gt;1&lt;/C&gt;&lt;D xsi:type="xsd:double"&gt;11237&lt;/D&gt;&lt;/FQL&gt;&lt;FQL&gt;&lt;Q&gt;NVDA-US^FF_CASH_ST(QTR_R,0)&lt;/Q&gt;&lt;R&gt;1&lt;/R&gt;&lt;C&gt;1&lt;/C&gt;&lt;D xsi:type="xsd:double"&gt;31438&lt;/D&gt;&lt;/FQL&gt;&lt;FQL&gt;&lt;Q&gt;INTC-US^FF_DEBT(QTR_R,0)&lt;/Q&gt;&lt;R&gt;1&lt;/R&gt;&lt;C&gt;1&lt;/C&gt;&lt;D xsi:type="xsd:double"&gt;53029&lt;/D&gt;&lt;/FQL&gt;&lt;FQL&gt;&lt;Q&gt;INTC-US^FF_CASH_ST(QTR_R,0)&lt;/Q&gt;&lt;R&gt;1&lt;/R&gt;&lt;C&gt;1&lt;/C&gt;&lt;D xsi:type="xsd:double"&gt;29273&lt;/D&gt;&lt;/FQL&gt;&lt;FQL&gt;&lt;Q&gt;AMD-US^FF_DEBT(QTR_R,0)&lt;/Q&gt;&lt;R&gt;1&lt;/R&gt;&lt;C&gt;1&lt;/C&gt;&lt;D xsi:type="xsd:double"&gt;2245&lt;/D&gt;&lt;/FQL&gt;&lt;FQL&gt;&lt;Q&gt;AMD-US^FF_CASH_ST(QTR_R,0)&lt;/Q&gt;&lt;R&gt;1&lt;/R&gt;&lt;C&gt;1&lt;/C&gt;&lt;D xsi:type="xsd:double"&gt;5340&lt;/D&gt;&lt;/FQL&gt;&lt;FQL&gt;&lt;Q&gt;CRWD-US^FCS_SHARES(TOT,SHS,ANN,0,,,,,M)&lt;/Q&gt;&lt;R&gt;1&lt;/R&gt;&lt;C&gt;1&lt;/C&gt;&lt;D xsi:type="xsd:double"&gt;254.530812&lt;/D&gt;&lt;/FQL&gt;&lt;FQL&gt;&lt;Q&gt;CRWD-US^FG_PRICE(0,,,USD)&lt;/Q&gt;&lt;R&gt;1&lt;/R&gt;&lt;C&gt;1&lt;/C&gt;&lt;D xsi:type="xsd:double"&gt;273.21&lt;/D&gt;&lt;/FQL&gt;&lt;FQL&gt;&lt;Q&gt;CRWD-US^FG_COMPANY_NAME&lt;/Q&gt;&lt;R&gt;1&lt;/R&gt;&lt;C&gt;1&lt;/C&gt;&lt;D xsi:type="xsd:string"&gt;CrowdStrike Holdings, Inc. Class A&lt;/D&gt;&lt;/FQL&gt;&lt;FQL&gt;&lt;Q&gt;IBM-US^FCS_SHARES(TOT,SHS,ANN,0,,,,,M)&lt;/Q&gt;&lt;R&gt;1&lt;/R&gt;&lt;C&gt;1&lt;/C&gt;&lt;D xsi:type="xsd:double"&gt;943.566264&lt;/D&gt;&lt;/FQL&gt;&lt;FQL&gt;&lt;Q&gt;IBM-US^FG_PRICE(0,,,USD)&lt;/Q&gt;&lt;R&gt;1&lt;/R&gt;&lt;C&gt;1&lt;/C&gt;&lt;D xsi:type="xsd:double"&gt;197.21&lt;/D&gt;&lt;/FQL&gt;&lt;FQL&gt;&lt;Q&gt;IBM-US^FG_COMPANY_NAME&lt;/Q&gt;&lt;R&gt;1&lt;/R&gt;&lt;C&gt;1&lt;/C&gt;&lt;D xsi:type="xsd:string"&gt;International Business Machines Corporation&lt;/D&gt;&lt;/FQL&gt;&lt;FQL&gt;&lt;Q&gt;CSCO-US^FCS_SHARES(TOT,SHS,ANN,0,,,,,M)&lt;/Q&gt;&lt;R&gt;0&lt;/R&gt;&lt;C&gt;0&lt;/C&gt;&lt;/FQL&gt;&lt;FQL&gt;&lt;Q&gt;CSCO-US^FG_PRICE(0,,,USD)&lt;/Q&gt;&lt;R&gt;1&lt;/R&gt;&lt;C&gt;1&lt;/C&gt;&lt;D xsi:type="xsd:double"&gt;50.45&lt;/D&gt;&lt;/FQL&gt;&lt;FQL&gt;&lt;Q&gt;CSCO-US^FG_COMPANY_NAME&lt;/Q&gt;&lt;R&gt;1&lt;/R&gt;&lt;C&gt;1&lt;/C&gt;&lt;D xsi:type="xsd:string"&gt;Cisco Systems, Inc.&lt;/D&gt;&lt;/FQL&gt;&lt;FQL&gt;&lt;Q&gt;TSM-US^FCS_SHARES(TOT,SHS,ANN,0,,,,,M)&lt;/Q&gt;&lt;R&gt;1&lt;/R&gt;&lt;C&gt;1&lt;/C&gt;&lt;D xsi:type="xsd:double"&gt;25934.180992&lt;/D&gt;&lt;/FQL&gt;&lt;FQL&gt;&lt;Q&gt;TSM-US^FG_PRICE(0,,,USD)&lt;/Q&gt;&lt;R&gt;1&lt;/R&gt;&lt;C&gt;1&lt;/C&gt;&lt;D xsi:type="xsd:double"&gt;171.44&lt;/D&gt;&lt;/FQL&gt;&lt;FQL&gt;&lt;Q&gt;TSM-US^FG_COMPANY_NAME&lt;/Q&gt;&lt;R&gt;1&lt;/R&gt;&lt;C&gt;1&lt;/C&gt;&lt;D xsi:type="xsd:string"&gt;Taiwan Semiconductor Manufacturing Co., Ltd. Sponsored ADR&lt;/D&gt;&lt;/FQL&gt;&lt;FQL&gt;&lt;Q&gt;GFS-US^FCS_SHARES(TOT,SHS,ANN,0,,,,,M)&lt;/Q&gt;&lt;R&gt;1&lt;/R&gt;&lt;C&gt;1&lt;/C&gt;&lt;D xsi:type="xsd:double"&gt;560.262986&lt;/D&gt;&lt;/FQL&gt;&lt;FQL&gt;&lt;Q&gt;GFS-US^FG_PRICE(0,,,USD)&lt;/Q&gt;&lt;R&gt;1&lt;/R&gt;&lt;C&gt;1&lt;/C&gt;&lt;D xsi:type="xsd:double"&gt;46.06&lt;/D&gt;&lt;/FQL&gt;&lt;FQL&gt;&lt;Q&gt;GFS-US^FG_COMPANY_NAME&lt;/Q&gt;&lt;R&gt;1&lt;/R&gt;&lt;C&gt;1&lt;/C&gt;&lt;D xsi:type="xsd:string"&gt;GlobalFoundries Inc.&lt;/D&gt;&lt;/FQL&gt;&lt;FQL&gt;&lt;Q&gt;ADI-US^FCS_SHARES(TOT,SHS,ANN,0,,,,,M)&lt;/Q&gt;&lt;R&gt;1&lt;/R&gt;&lt;C&gt;1&lt;/C&gt;&lt;D xsi:type="xsd:double"&gt;502.255655&lt;/D&gt;&lt;/FQL&gt;&lt;FQL&gt;&lt;Q&gt;ADI-US^FG_PRICE(0,,,USD)&lt;/Q&gt;&lt;R&gt;1&lt;/R&gt;&lt;C&gt;1&lt;/C&gt;&lt;D xsi:type="xsd:double"&gt;227.5&lt;/D&gt;&lt;/FQL&gt;&lt;FQL&gt;&lt;Q&gt;ADI-US^FG_COMPANY_NAME&lt;/Q&gt;&lt;R&gt;1&lt;/R&gt;&lt;C&gt;1&lt;/C&gt;&lt;D xsi:type="xsd:string"&gt;Analog Devices, Inc.&lt;/D&gt;&lt;/FQL&gt;&lt;FQL&gt;&lt;Q&gt;MRVL-US^FCS_SHARES(TOT,SHS,ANN,0,,,,,M)&lt;/Q&gt;&lt;R&gt;1&lt;/R&gt;&lt;C&gt;1&lt;/C&gt;&lt;D xsi:type="xsd:double"&gt;886.854879&lt;/D&gt;&lt;/FQL&gt;&lt;FQL&gt;&lt;Q&gt;MRVL-US^FG_PRICE(0,,,USD)&lt;/Q&gt;&lt;R&gt;1&lt;/R&gt;&lt;C&gt;1&lt;/C&gt;&lt;D xsi:type="xsd:double"&gt;71.34&lt;/D&gt;&lt;/FQL&gt;&lt;FQL&gt;&lt;Q&gt;MRVL-US^FG_COMPANY_NAME&lt;/Q&gt;&lt;R&gt;1&lt;/R&gt;&lt;C&gt;1&lt;/C&gt;&lt;D xsi:type="xsd:string"&gt;Marvell Technology, Inc.&lt;/D&gt;&lt;/FQL&gt;&lt;FQL&gt;&lt;Q&gt;NVDA-US^FCS_SHARES(TOT,SHS,ANN,0,,,,,M)&lt;/Q&gt;&lt;R&gt;1&lt;/R&gt;&lt;C&gt;1&lt;/C&gt;&lt;D xsi:type="xsd:double"&gt;25009.999627322&lt;/D&gt;&lt;/FQL&gt;&lt;FQL&gt;&lt;Q&gt;NVDA-US^FG_PRICE(0,,,USD)&lt;/Q&gt;&lt;R&gt;1&lt;/R&gt;&lt;C&gt;1&lt;/C&gt;&lt;D xsi:type="xsd:double"&gt;128.5&lt;/D&gt;&lt;/FQL&gt;&lt;FQL&gt;&lt;Q&gt;NVDA-US^FG_COMPANY_NAME&lt;/Q&gt;&lt;R&gt;1&lt;/R&gt;&lt;C&gt;1&lt;/C&gt;&lt;D xsi:type="xsd:string"&gt;NVIDIA Corporation&lt;/D&gt;&lt;/FQL&gt;&lt;FQL&gt;&lt;Q&gt;INTC-US^FCS_SHARES(TOT,SHS,ANN,0,,,,,M)&lt;/Q&gt;&lt;R&gt;1&lt;/R&gt;&lt;C&gt;1&lt;/C&gt;&lt;D xsi:type="xsd:double"&gt;4400.9&lt;/D&gt;&lt;/FQL&gt;&lt;FQL&gt;&lt;Q&gt;INTC-US^FG_PRICE(0,,,USD)&lt;/Q&gt;&lt;R&gt;1&lt;/R&gt;&lt;C&gt;1&lt;/C&gt;&lt;D xsi:type="xsd:double"&gt;21.41&lt;/D&gt;&lt;/FQL&gt;&lt;FQL&gt;&lt;Q&gt;INTC-US^FG_COMPANY_NAME&lt;/Q&gt;&lt;R&gt;1&lt;/R&gt;&lt;C&gt;1&lt;/C&gt;&lt;D xsi:type="xsd:string"&gt;Intel Corporation&lt;/D&gt;&lt;/FQL&gt;&lt;FQL&gt;&lt;Q&gt;AMD-US^FCS_SHARES(TOT,SHS,ANN,0,,,,,M)&lt;/Q&gt;&lt;R&gt;1&lt;/R&gt;&lt;C&gt;1&lt;/C&gt;&lt;D xsi:type="xsd:double"&gt;1651.609389&lt;/D&gt;&lt;/FQL&gt;&lt;FQL&gt;&lt;Q&gt;AMD-US^FG_PRICE(0,,,USD)&lt;/Q&gt;&lt;R&gt;1&lt;/R&gt;&lt;C&gt;1&lt;/C&gt;&lt;D xsi:type="xsd:double"&gt;157.81&lt;/D&gt;&lt;/FQL&gt;&lt;FQL&gt;&lt;Q&gt;AMD-US^FG_COMPANY_NAME&lt;/Q&gt;&lt;R&gt;1&lt;/R&gt;&lt;C&gt;1&lt;/C&gt;&lt;D xsi:type="xsd:string"&gt;Advanced Micro Devices, Inc.&lt;/D&gt;&lt;/FQL&gt;&lt;FQL&gt;&lt;Q&gt;AVGO-US^FCS_SHARES(TOT,SHS,ANN,0,,,,,M)&lt;/Q&gt;&lt;R&gt;1&lt;/R&gt;&lt;C&gt;1&lt;/C&gt;&lt;D xsi:type="xsd:double"&gt;4359.99993503094&lt;/D&gt;&lt;/FQL&gt;&lt;FQL&gt;&lt;Q&gt;AVGO-US^FG_PRICE(0,,,USD)&lt;/Q&gt;&lt;R&gt;1&lt;/R&gt;&lt;C&gt;1&lt;/C&gt;&lt;D xsi:type="xsd:double"&gt;165.78&lt;/D&gt;&lt;/FQL&gt;&lt;FQL&gt;&lt;Q&gt;AVGO-US^FG_COMPANY_NAME&lt;/Q&gt;&lt;R&gt;1&lt;/R&gt;&lt;C&gt;1&lt;/C&gt;&lt;D xsi:type="xsd:string"&gt;Broadcom Inc.&lt;/D&gt;&lt;/FQL&gt;&lt;FQL&gt;&lt;Q&gt;AVGO-US^FF_EPS(ANN_R,0)&lt;/Q&gt;&lt;R&gt;1&lt;/R&gt;&lt;C&gt;1&lt;/C&gt;&lt;D xsi:type="xsd:double"&gt;3.2979&lt;/D&gt;&lt;/FQL&gt;&lt;/Schema&gt;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Hongjia Cui</author>
  </authors>
  <commentList>
    <comment ref="AF7" authorId="0" shapeId="0" xr:uid="{AD35DC0B-D5A0-48F4-9F40-5F2FA5B63EB1}">
      <text>
        <r>
          <rPr>
            <b/>
            <sz val="9"/>
            <color indexed="81"/>
            <rFont val="Tahoma"/>
            <charset val="1"/>
          </rPr>
          <t>Hongjia Cui:</t>
        </r>
        <r>
          <rPr>
            <sz val="9"/>
            <color indexed="81"/>
            <rFont val="Tahoma"/>
            <charset val="1"/>
          </rPr>
          <t xml:space="preserve">
based on the guidence below
</t>
        </r>
      </text>
    </comment>
    <comment ref="AE21" authorId="0" shapeId="0" xr:uid="{B6919666-0407-4E0E-B903-54271D58B451}">
      <text>
        <r>
          <rPr>
            <b/>
            <sz val="9"/>
            <color indexed="81"/>
            <rFont val="Tahoma"/>
            <charset val="1"/>
          </rPr>
          <t>Hongjia Cui:</t>
        </r>
        <r>
          <rPr>
            <sz val="9"/>
            <color indexed="81"/>
            <rFont val="Tahoma"/>
            <charset val="1"/>
          </rPr>
          <t xml:space="preserve">
We doubled the number of switches we sold year-on-year, particularly Tomahawk 5 and Jericho3, which we deployed successfully in close collaboration with partners like Arista Networks, Dell, Juniper, and Supermicro.</t>
        </r>
      </text>
    </comment>
    <comment ref="AG34" authorId="0" shapeId="0" xr:uid="{E2C158F8-DD97-4193-8AB8-B943F2845CF8}">
      <text>
        <r>
          <rPr>
            <b/>
            <sz val="9"/>
            <color indexed="81"/>
            <rFont val="Tahoma"/>
            <charset val="1"/>
          </rPr>
          <t>Hongjia Cui:</t>
        </r>
        <r>
          <rPr>
            <sz val="9"/>
            <color indexed="81"/>
            <rFont val="Tahoma"/>
            <charset val="1"/>
          </rPr>
          <t xml:space="preserve">
from Q2
</t>
        </r>
      </text>
    </comment>
    <comment ref="AD48" authorId="0" shapeId="0" xr:uid="{F14FCAF5-00BC-4DA8-95EC-D22F94D04541}">
      <text>
        <r>
          <rPr>
            <b/>
            <sz val="9"/>
            <color indexed="81"/>
            <rFont val="Tahoma"/>
            <family val="2"/>
          </rPr>
          <t>Hongjia Cui:</t>
        </r>
        <r>
          <rPr>
            <sz val="9"/>
            <color indexed="81"/>
            <rFont val="Tahoma"/>
            <family val="2"/>
          </rPr>
          <t xml:space="preserve">
The increases were primarily due to higher compensation, including higher stock-based compensation, as a result of an increase in headcount from the VMware Merger. The increases in stock-based compensation expense were also due to annual employee equity awards granted at higher grant-date fair values.</t>
        </r>
      </text>
    </comment>
    <comment ref="AD51" authorId="0" shapeId="0" xr:uid="{02FAD8FB-1988-4FD2-9EDC-9EB50ABB933E}">
      <text>
        <r>
          <rPr>
            <b/>
            <sz val="9"/>
            <color indexed="81"/>
            <rFont val="Tahoma"/>
            <family val="2"/>
          </rPr>
          <t>Hongjia Cui:</t>
        </r>
        <r>
          <rPr>
            <sz val="9"/>
            <color indexed="81"/>
            <rFont val="Tahoma"/>
            <family val="2"/>
          </rPr>
          <t xml:space="preserve">
The increase was primarily due to higher stock-based compensation expense as a result of RSUs assumed in connection with the VMware Merger, higher acquisition-related costs, as well as higher compensation due to an increase in headcount from the VMware Merger.
</t>
        </r>
      </text>
    </comment>
    <comment ref="AE51" authorId="0" shapeId="0" xr:uid="{07684310-C615-4F20-AADB-34E9015C3B20}">
      <text>
        <r>
          <rPr>
            <b/>
            <sz val="9"/>
            <color indexed="81"/>
            <rFont val="Tahoma"/>
            <family val="2"/>
          </rPr>
          <t>Hongjia Cui:</t>
        </r>
        <r>
          <rPr>
            <sz val="9"/>
            <color indexed="81"/>
            <rFont val="Tahoma"/>
            <family val="2"/>
          </rPr>
          <t xml:space="preserve">
Transaction costs related to the VMware Merger of $20 million and $240 million, respectively, were primarily included in selling, general and administrative expense for the fiscal quarter and two fiscal quarters ended May 5, 2024.</t>
        </r>
      </text>
    </comment>
    <comment ref="AD54" authorId="0" shapeId="0" xr:uid="{D98E3522-0464-4428-AE21-37F9118C289C}">
      <text>
        <r>
          <rPr>
            <b/>
            <sz val="9"/>
            <color indexed="81"/>
            <rFont val="Tahoma"/>
            <family val="2"/>
          </rPr>
          <t>Hongjia Cui:</t>
        </r>
        <r>
          <rPr>
            <sz val="9"/>
            <color indexed="81"/>
            <rFont val="Tahoma"/>
            <family val="2"/>
          </rPr>
          <t xml:space="preserve">
primarily due to higher amortization of customer-related intangible assets from the VMware Merger.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<sst xmlns="http://schemas.openxmlformats.org/spreadsheetml/2006/main" count="535" uniqueCount="254">
  <si>
    <t>Total</t>
  </si>
  <si>
    <t>Revenue</t>
  </si>
  <si>
    <t>Date</t>
  </si>
  <si>
    <t>Currency</t>
  </si>
  <si>
    <t>USD million</t>
  </si>
  <si>
    <t>Current</t>
  </si>
  <si>
    <t>Share</t>
  </si>
  <si>
    <t>Market</t>
  </si>
  <si>
    <t>Enterprise</t>
  </si>
  <si>
    <t>EBITDA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</si>
  <si>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</si>
  <si>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</si>
  <si>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</si>
  <si>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</si>
  <si>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</si>
  <si>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</si>
  <si>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</si>
  <si>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Ticker</t>
  </si>
  <si>
    <t>Company Name</t>
  </si>
  <si>
    <t>Price</t>
  </si>
  <si>
    <t>Count</t>
  </si>
  <si>
    <t>Cap</t>
  </si>
  <si>
    <t>Value</t>
  </si>
  <si>
    <t>21</t>
  </si>
  <si>
    <t>22</t>
  </si>
  <si>
    <t>23</t>
  </si>
  <si>
    <t>'22</t>
  </si>
  <si>
    <t>'23</t>
  </si>
  <si>
    <t>'21-'22</t>
  </si>
  <si>
    <t>'22-'23</t>
  </si>
  <si>
    <t>Mean</t>
  </si>
  <si>
    <t>Median</t>
  </si>
  <si>
    <t>Forward Trading Multiple (FY1)</t>
  </si>
  <si>
    <t>2023 Financial Metric</t>
  </si>
  <si>
    <t>Enterprise Value</t>
  </si>
  <si>
    <t>Equity Value</t>
  </si>
  <si>
    <t>Implied Share Price (forward)</t>
  </si>
  <si>
    <t>Calculating Implied Share Price</t>
  </si>
  <si>
    <t>P/E</t>
  </si>
  <si>
    <t>EPS</t>
  </si>
  <si>
    <t>Cash</t>
  </si>
  <si>
    <t>Debt</t>
  </si>
  <si>
    <t>Shares</t>
  </si>
  <si>
    <t>Minimum</t>
  </si>
  <si>
    <t>--</t>
  </si>
  <si>
    <t>Maximum</t>
  </si>
  <si>
    <t>DATABASE</t>
  </si>
  <si>
    <t>% of total</t>
  </si>
  <si>
    <t>This sheet contains FactSet XML data for use with this workbook's =FDS codes.  Modifying the worksheet's contents may damage the workbook's =FDS functionality.</t>
  </si>
  <si>
    <t>Fiscal year ended December,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</si>
  <si>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</si>
  <si>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</si>
  <si>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</si>
  <si>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</si>
  <si>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</si>
  <si>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</si>
  <si>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</si>
  <si>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</si>
  <si>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</si>
  <si>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</si>
  <si>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</si>
  <si>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</si>
  <si>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</si>
  <si>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</si>
  <si>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</si>
  <si>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</si>
  <si>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</si>
  <si>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</si>
  <si>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</si>
  <si>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</si>
  <si>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</si>
  <si>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</si>
  <si>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</si>
  <si>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</si>
  <si>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2024E</t>
  </si>
  <si>
    <t>2025E</t>
  </si>
  <si>
    <t>2026E</t>
  </si>
  <si>
    <t>Period ending</t>
  </si>
  <si>
    <t>Days in period</t>
  </si>
  <si>
    <t>Income Statement</t>
  </si>
  <si>
    <t>Total revenue</t>
  </si>
  <si>
    <t>Income from operations</t>
  </si>
  <si>
    <t>Net income</t>
  </si>
  <si>
    <t>Earnings per share:</t>
  </si>
  <si>
    <t>Basic</t>
  </si>
  <si>
    <t>Diluted</t>
  </si>
  <si>
    <t>Weighted-average common shares outstanding:</t>
  </si>
  <si>
    <t>Cash Flow Statement</t>
  </si>
  <si>
    <t>Adjustments to reconcile net income to net cash provided by operating activities:</t>
  </si>
  <si>
    <t>Net cash provided by operating activities</t>
  </si>
  <si>
    <t>-</t>
  </si>
  <si>
    <t xml:space="preserve">YOY Growth </t>
  </si>
  <si>
    <t>Cost of revenues</t>
  </si>
  <si>
    <t>% of Sales</t>
  </si>
  <si>
    <t>Gross profit</t>
  </si>
  <si>
    <t xml:space="preserve">Gross Margin </t>
  </si>
  <si>
    <t>Operating expenses</t>
  </si>
  <si>
    <t xml:space="preserve">Operating Margin </t>
  </si>
  <si>
    <t xml:space="preserve">Net Margin </t>
  </si>
  <si>
    <t xml:space="preserve">EBITDA Margin </t>
  </si>
  <si>
    <t>Street-based consensus</t>
  </si>
  <si>
    <t>Change in Net Working Capital</t>
  </si>
  <si>
    <t>% of Incremental Sales</t>
  </si>
  <si>
    <t>Capex</t>
  </si>
  <si>
    <t>Diluted Shares</t>
  </si>
  <si>
    <t>Market Cap</t>
  </si>
  <si>
    <t>1 year return scenarios</t>
  </si>
  <si>
    <t>Action</t>
  </si>
  <si>
    <t>12m Target</t>
  </si>
  <si>
    <t>% return</t>
  </si>
  <si>
    <t>Last Updated</t>
  </si>
  <si>
    <t>Bull</t>
  </si>
  <si>
    <t>% yoy</t>
  </si>
  <si>
    <t>Base</t>
  </si>
  <si>
    <t>Bear</t>
  </si>
  <si>
    <t>Cap Table</t>
  </si>
  <si>
    <t>Current Price</t>
  </si>
  <si>
    <t>% margin</t>
  </si>
  <si>
    <t>Total Debt</t>
  </si>
  <si>
    <t>Adjusted EPS</t>
  </si>
  <si>
    <t>Net Debt</t>
  </si>
  <si>
    <t>Street EPS</t>
  </si>
  <si>
    <t>NCI</t>
  </si>
  <si>
    <t>Expected Delta</t>
  </si>
  <si>
    <t>EV/Sales</t>
  </si>
  <si>
    <t>EV/EBITDA</t>
  </si>
  <si>
    <t>Street P/E</t>
  </si>
  <si>
    <t>3 Year Target</t>
  </si>
  <si>
    <t>2026 EPS</t>
  </si>
  <si>
    <t>Target P/E</t>
  </si>
  <si>
    <t>x money multiple</t>
  </si>
  <si>
    <t>BUY</t>
  </si>
  <si>
    <t>% IRR</t>
  </si>
  <si>
    <t>12 Months Base Target</t>
  </si>
  <si>
    <t>2024 EPS</t>
  </si>
  <si>
    <t>EOY Target Price</t>
  </si>
  <si>
    <t>12 Months Risk Case</t>
  </si>
  <si>
    <t>2024 Risk EPS</t>
  </si>
  <si>
    <t>Next 12 Months Risk</t>
  </si>
  <si>
    <t>Restructuring charges</t>
  </si>
  <si>
    <t>Interest expense</t>
  </si>
  <si>
    <t>Other income (expense), net</t>
  </si>
  <si>
    <t>‘24</t>
  </si>
  <si>
    <t>’25</t>
  </si>
  <si>
    <t>Trading Multiples</t>
  </si>
  <si>
    <t>Subscriptions and services</t>
  </si>
  <si>
    <t>Cost of revenue:</t>
  </si>
  <si>
    <t>Cost of products sold</t>
  </si>
  <si>
    <t>Cost of subscriptions and services</t>
  </si>
  <si>
    <t>Amortization of acquisition-related intangible assets</t>
  </si>
  <si>
    <t>Total costs of revenue</t>
  </si>
  <si>
    <t>Gross margin</t>
  </si>
  <si>
    <t>Research and development</t>
  </si>
  <si>
    <t>Selling, general and administrative</t>
  </si>
  <si>
    <t>Restructuring and other charges</t>
  </si>
  <si>
    <t>Total operating expenses</t>
  </si>
  <si>
    <t>Income before income taxes</t>
  </si>
  <si>
    <t>Provision for income taxes</t>
  </si>
  <si>
    <t>Operating expenses:</t>
  </si>
  <si>
    <t>Dividends on preferred stock</t>
  </si>
  <si>
    <t>Net income attributable to common stock</t>
  </si>
  <si>
    <t>Cash flows from operating activities:</t>
  </si>
  <si>
    <t>Amortization of intangible and right-of-use assets</t>
  </si>
  <si>
    <t>Depreciation</t>
  </si>
  <si>
    <t>Stock-based compensation</t>
  </si>
  <si>
    <t>Deferred taxes and other non-cash taxes</t>
  </si>
  <si>
    <t>Loss on debt extinguishment</t>
  </si>
  <si>
    <t>Non-cash interest expense</t>
  </si>
  <si>
    <t>Other</t>
  </si>
  <si>
    <t>Changes in assets and liabilities, net of acquisitions and disposals:</t>
  </si>
  <si>
    <t>Trade accounts receivable, net</t>
  </si>
  <si>
    <t>Inventory</t>
  </si>
  <si>
    <t>Accounts payable</t>
  </si>
  <si>
    <t>Employee compensation and benefits</t>
  </si>
  <si>
    <t>Other current assets and current liabilities</t>
  </si>
  <si>
    <t>Other long-term assets and long-term liabilities</t>
  </si>
  <si>
    <t>Cash flows from investing activities:</t>
  </si>
  <si>
    <t>Acquisitions of businesses, net of cash acquired</t>
  </si>
  <si>
    <t>Proceeds from sales of businesses</t>
  </si>
  <si>
    <t>Purchases of property, plant and equipment</t>
  </si>
  <si>
    <t>Purchases of investments</t>
  </si>
  <si>
    <t>Sales of investments</t>
  </si>
  <si>
    <t>Net cash used in investing activities</t>
  </si>
  <si>
    <t>Cash flows from financing activities:</t>
  </si>
  <si>
    <t>Proceeds from long-term borrowings</t>
  </si>
  <si>
    <t>Payments on debt obligations</t>
  </si>
  <si>
    <t>Payments of dividends</t>
  </si>
  <si>
    <t>Repurchases of common stock - repurchase program</t>
  </si>
  <si>
    <t>Shares repurchased for tax withholdings on vesting of equity awards</t>
  </si>
  <si>
    <t>Issuance of common stock</t>
  </si>
  <si>
    <t>Net cash used in financing activities</t>
  </si>
  <si>
    <t>Net change in cash and cash equivalents</t>
  </si>
  <si>
    <t>Cash and cash equivalents at beginning of period</t>
  </si>
  <si>
    <t>Cash and cash equivalents at end of period</t>
  </si>
  <si>
    <t>Supplemental disclosure of cash flow information:</t>
  </si>
  <si>
    <t>Cash paid for interest</t>
  </si>
  <si>
    <t>Cash paid for income taxes</t>
  </si>
  <si>
    <t>Product</t>
  </si>
  <si>
    <t>Income/loss from discontinued operations, net of income taxes</t>
  </si>
  <si>
    <t>AVGO  08-07-2024</t>
  </si>
  <si>
    <t>Total operating expenses (excluding COGS)</t>
  </si>
  <si>
    <t>% of EBIT</t>
  </si>
  <si>
    <t>Vmware</t>
  </si>
  <si>
    <t>Vmware ABV</t>
  </si>
  <si>
    <t>AI revenue</t>
  </si>
  <si>
    <t>network</t>
  </si>
  <si>
    <t>11% of total-20%</t>
  </si>
  <si>
    <t>50% +40%</t>
  </si>
  <si>
    <t>Guidence from Q2</t>
  </si>
  <si>
    <t>the rest</t>
  </si>
  <si>
    <t>server storage connectivity</t>
  </si>
  <si>
    <t>Broadband</t>
  </si>
  <si>
    <t>Industrial</t>
  </si>
  <si>
    <t>120 shares reduction</t>
  </si>
  <si>
    <t>90 shares reduction</t>
  </si>
  <si>
    <t>EBIT：</t>
  </si>
  <si>
    <t>Adjusted EBIT:</t>
  </si>
  <si>
    <t>Adjusted EBIT</t>
  </si>
  <si>
    <t>Adjusted net income</t>
  </si>
  <si>
    <t>10% of total-just over 30%</t>
  </si>
  <si>
    <t>3% of total - to be down double-digit percentage</t>
  </si>
  <si>
    <t>wireless</t>
  </si>
  <si>
    <t>broadband</t>
  </si>
  <si>
    <t>industrial </t>
  </si>
  <si>
    <t>Semiconductor breakdown</t>
  </si>
  <si>
    <t>AVGO-US</t>
  </si>
  <si>
    <t>networking</t>
  </si>
  <si>
    <t>AMD-US</t>
  </si>
  <si>
    <t>INTC-US</t>
  </si>
  <si>
    <t>NVDA-US</t>
  </si>
  <si>
    <t>MRVL-US</t>
  </si>
  <si>
    <t>ADI-US</t>
  </si>
  <si>
    <t>CSCO-US</t>
  </si>
  <si>
    <t>GFS-US</t>
  </si>
  <si>
    <t>CRWD-US</t>
  </si>
  <si>
    <t>IBM-US</t>
  </si>
  <si>
    <t>AVGO</t>
  </si>
  <si>
    <t>Adjusted EBITDA</t>
  </si>
  <si>
    <t xml:space="preserve">We sell our products through our direct sales force and a select network of distributors and channel partners globally. Distributors and OEMs, or their contract manufacturers, typically account for the substantial majority of our semiconductor sales. A relatively small number of customers account for a significant portion of our net revenue. Sales to distributors accounted for 57% and 56% of our net revenue for fiscal years 2023 and 2022, respectively. We believe aggregate sales to our top five end customers, through all channels, accounted for approximately 35% of our net revenue for each of our fiscal years 2023 and 2022. We believe aggregate sales to Apple Inc., through all channels, accounted for approximately 20% of our net revenue for each of fiscal years 2023 and 2022. </t>
  </si>
  <si>
    <t>https://ai.stackexchange.com/questions/38701/how-exactly-are-ai-accelerator-chip-asics-built-differently-than-gpus-as-gpu-s</t>
  </si>
  <si>
    <t>TSM-US</t>
  </si>
  <si>
    <t>Annualized Returns</t>
  </si>
  <si>
    <t>1 yr</t>
  </si>
  <si>
    <t>3 yr</t>
  </si>
  <si>
    <t>5 yr</t>
  </si>
  <si>
    <t>NVDA</t>
  </si>
  <si>
    <t>AMD</t>
  </si>
  <si>
    <t>INTC</t>
  </si>
  <si>
    <t>MRVL</t>
  </si>
  <si>
    <t>ADI</t>
  </si>
  <si>
    <t>TSM</t>
  </si>
  <si>
    <t>GFS</t>
  </si>
  <si>
    <t>Dividend Growth</t>
  </si>
  <si>
    <t>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</si>
</sst>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0.0%"/>
    <numFmt numFmtId="165" formatCode="0%;\(0%\)"/>
    <numFmt numFmtId="166" formatCode="0.0\x"/>
    <numFmt numFmtId="167" formatCode="_([$$-409]* #,##0.00_);_([$$-409]* \(#,##0.00\);_([$$-409]* &quot;-&quot;??_);_(@_)"/>
    <numFmt numFmtId="168" formatCode="m/d/yy;@"/>
    <numFmt numFmtId="169" formatCode="#,##0.0_);\(#,##0.0\)"/>
    <numFmt numFmtId="170" formatCode="#,##0.0%_);\(#,##0.0%\)"/>
    <numFmt numFmtId="171" formatCode="0000\A"/>
    <numFmt numFmtId="172" formatCode="0000\E"/>
    <numFmt numFmtId="173" formatCode="#,##0.0\x"/>
    <numFmt numFmtId="174" formatCode="#,##0.0%;\(#,##0.0%\);&quot;0.0%&quot;;@"/>
    <numFmt numFmtId="175" formatCode="_(* #,##0_);_(* \(#,##0\);_(* &quot;-&quot;??_);_(@_)"/>
    <numFmt numFmtId="176" formatCode="&quot;$&quot;#,##0.0_);\(&quot;$&quot;#,##0.0\)"/>
    <numFmt numFmtId="177" formatCode="0.0\x;\(0.0\x\);&quot;–&quot;"/>
    <numFmt numFmtId="178" formatCode="#,##0%;\(#,##0%\);&quot;0.0%&quot;;@"/>
    <numFmt numFmtId="179" formatCode="0.0"/>
    <numFmt numFmtId="180" formatCode="0.0_);\(0.0\)"/>
    <numFmt numFmtId="181" formatCode="0.00_);\(0.00\)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5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1" fillId="0" borderId="0"/>
    <xf numFmtId="0" fontId="31" fillId="0" borderId="0"/>
    <xf numFmtId="44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</cellStyleXfs>
  <cellXfs count="289">
    <xf numFmtId="0" fontId="0" fillId="0" borderId="0" xfId="0"/>
    <xf numFmtId="0" fontId="2" fillId="0" borderId="0" xfId="0" applyFont="1"/>
    <xf numFmtId="0" fontId="3" fillId="0" borderId="7" xfId="2" applyBorder="1" applyAlignment="1">
      <alignment horizontal="center"/>
    </xf>
    <xf numFmtId="0" fontId="4" fillId="0" borderId="7" xfId="2" applyFont="1" applyBorder="1"/>
    <xf numFmtId="0" fontId="3" fillId="0" borderId="7" xfId="2" applyBorder="1"/>
    <xf numFmtId="0" fontId="5" fillId="0" borderId="7" xfId="2" applyFont="1" applyBorder="1" applyAlignment="1">
      <alignment horizontal="center"/>
    </xf>
    <xf numFmtId="0" fontId="3" fillId="0" borderId="0" xfId="2" applyAlignment="1">
      <alignment horizontal="center"/>
    </xf>
    <xf numFmtId="0" fontId="6" fillId="0" borderId="0" xfId="2" applyFont="1"/>
    <xf numFmtId="14" fontId="3" fillId="3" borderId="9" xfId="2" applyNumberFormat="1" applyFill="1" applyBorder="1" applyAlignment="1">
      <alignment horizontal="center"/>
    </xf>
    <xf numFmtId="0" fontId="3" fillId="0" borderId="0" xfId="2"/>
    <xf numFmtId="0" fontId="5" fillId="0" borderId="0" xfId="2" applyFont="1"/>
    <xf numFmtId="0" fontId="0" fillId="3" borderId="9" xfId="2" applyFont="1" applyFill="1" applyBorder="1" applyAlignment="1">
      <alignment horizontal="center"/>
    </xf>
    <xf numFmtId="0" fontId="6" fillId="4" borderId="0" xfId="2" applyFont="1" applyFill="1" applyAlignment="1">
      <alignment vertical="center"/>
    </xf>
    <xf numFmtId="0" fontId="3" fillId="4" borderId="0" xfId="2" applyFill="1" applyAlignment="1">
      <alignment horizontal="right" vertical="center"/>
    </xf>
    <xf numFmtId="0" fontId="6" fillId="4" borderId="0" xfId="2" applyFont="1" applyFill="1" applyAlignment="1">
      <alignment horizontal="center" vertical="center"/>
    </xf>
    <xf numFmtId="0" fontId="7" fillId="4" borderId="0" xfId="2" applyFont="1" applyFill="1" applyAlignment="1">
      <alignment horizontal="centerContinuous" vertical="center"/>
    </xf>
    <xf numFmtId="0" fontId="6" fillId="4" borderId="7" xfId="2" applyFont="1" applyFill="1" applyBorder="1" applyAlignment="1">
      <alignment vertical="center"/>
    </xf>
    <xf numFmtId="0" fontId="6" fillId="4" borderId="7" xfId="2" applyFont="1" applyFill="1" applyBorder="1" applyAlignment="1">
      <alignment horizontal="center" vertical="center"/>
    </xf>
    <xf numFmtId="0" fontId="6" fillId="4" borderId="7" xfId="2" quotePrefix="1" applyFont="1" applyFill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quotePrefix="1" applyFont="1" applyAlignment="1">
      <alignment horizontal="center" vertical="center"/>
    </xf>
    <xf numFmtId="0" fontId="8" fillId="0" borderId="10" xfId="2" applyFont="1" applyBorder="1"/>
    <xf numFmtId="0" fontId="3" fillId="0" borderId="11" xfId="2" applyBorder="1"/>
    <xf numFmtId="3" fontId="3" fillId="0" borderId="11" xfId="2" applyNumberFormat="1" applyBorder="1" applyAlignment="1">
      <alignment horizontal="center" vertical="center"/>
    </xf>
    <xf numFmtId="165" fontId="0" fillId="0" borderId="11" xfId="3" applyNumberFormat="1" applyFont="1" applyBorder="1" applyAlignment="1">
      <alignment horizontal="center"/>
    </xf>
    <xf numFmtId="165" fontId="9" fillId="0" borderId="11" xfId="3" applyNumberFormat="1" applyFont="1" applyFill="1" applyBorder="1" applyAlignment="1">
      <alignment horizontal="center"/>
    </xf>
    <xf numFmtId="166" fontId="3" fillId="0" borderId="11" xfId="2" applyNumberFormat="1" applyBorder="1" applyAlignment="1">
      <alignment horizontal="center"/>
    </xf>
    <xf numFmtId="0" fontId="8" fillId="0" borderId="0" xfId="2" applyFont="1"/>
    <xf numFmtId="0" fontId="3" fillId="0" borderId="2" xfId="2" applyBorder="1"/>
    <xf numFmtId="3" fontId="3" fillId="0" borderId="0" xfId="2" applyNumberFormat="1" applyAlignment="1">
      <alignment horizontal="center"/>
    </xf>
    <xf numFmtId="3" fontId="3" fillId="0" borderId="0" xfId="2" applyNumberFormat="1" applyAlignment="1">
      <alignment horizontal="center" vertical="center"/>
    </xf>
    <xf numFmtId="165" fontId="0" fillId="0" borderId="0" xfId="3" applyNumberFormat="1" applyFont="1" applyBorder="1" applyAlignment="1">
      <alignment horizontal="center"/>
    </xf>
    <xf numFmtId="166" fontId="3" fillId="0" borderId="0" xfId="2" applyNumberFormat="1" applyAlignment="1">
      <alignment horizontal="center"/>
    </xf>
    <xf numFmtId="165" fontId="0" fillId="0" borderId="0" xfId="3" applyNumberFormat="1" applyFont="1" applyAlignment="1">
      <alignment horizontal="center"/>
    </xf>
    <xf numFmtId="0" fontId="6" fillId="5" borderId="1" xfId="2" applyFont="1" applyFill="1" applyBorder="1"/>
    <xf numFmtId="0" fontId="3" fillId="5" borderId="2" xfId="2" applyFill="1" applyBorder="1"/>
    <xf numFmtId="165" fontId="6" fillId="5" borderId="2" xfId="2" applyNumberFormat="1" applyFont="1" applyFill="1" applyBorder="1" applyAlignment="1">
      <alignment horizontal="center"/>
    </xf>
    <xf numFmtId="166" fontId="6" fillId="5" borderId="2" xfId="2" applyNumberFormat="1" applyFont="1" applyFill="1" applyBorder="1" applyAlignment="1">
      <alignment horizontal="center"/>
    </xf>
    <xf numFmtId="0" fontId="6" fillId="5" borderId="6" xfId="2" applyFont="1" applyFill="1" applyBorder="1"/>
    <xf numFmtId="0" fontId="3" fillId="5" borderId="7" xfId="2" applyFill="1" applyBorder="1"/>
    <xf numFmtId="165" fontId="6" fillId="5" borderId="7" xfId="2" applyNumberFormat="1" applyFont="1" applyFill="1" applyBorder="1" applyAlignment="1">
      <alignment horizontal="center"/>
    </xf>
    <xf numFmtId="166" fontId="6" fillId="5" borderId="7" xfId="2" applyNumberFormat="1" applyFont="1" applyFill="1" applyBorder="1" applyAlignment="1">
      <alignment horizontal="center"/>
    </xf>
    <xf numFmtId="0" fontId="9" fillId="0" borderId="0" xfId="2" applyFont="1" applyAlignment="1">
      <alignment horizontal="center"/>
    </xf>
    <xf numFmtId="166" fontId="3" fillId="0" borderId="0" xfId="2" applyNumberFormat="1" applyAlignment="1">
      <alignment horizontal="center" vertical="center"/>
    </xf>
    <xf numFmtId="4" fontId="8" fillId="0" borderId="0" xfId="2" applyNumberFormat="1" applyFont="1" applyAlignment="1">
      <alignment horizontal="center" vertical="center"/>
    </xf>
    <xf numFmtId="3" fontId="8" fillId="0" borderId="0" xfId="2" applyNumberFormat="1" applyFont="1" applyAlignment="1">
      <alignment horizontal="center" vertical="center"/>
    </xf>
    <xf numFmtId="1" fontId="8" fillId="0" borderId="0" xfId="2" quotePrefix="1" applyNumberFormat="1" applyFont="1" applyAlignment="1">
      <alignment horizontal="center" vertical="center"/>
    </xf>
    <xf numFmtId="3" fontId="3" fillId="0" borderId="0" xfId="2" applyNumberFormat="1"/>
    <xf numFmtId="3" fontId="3" fillId="0" borderId="0" xfId="2" quotePrefix="1" applyNumberFormat="1" applyAlignment="1">
      <alignment horizontal="center" vertical="center"/>
    </xf>
    <xf numFmtId="167" fontId="3" fillId="0" borderId="0" xfId="2" quotePrefix="1" applyNumberFormat="1" applyAlignment="1">
      <alignment vertical="center"/>
    </xf>
    <xf numFmtId="1" fontId="3" fillId="0" borderId="0" xfId="2" quotePrefix="1" applyNumberFormat="1" applyAlignment="1">
      <alignment horizontal="center" vertical="center"/>
    </xf>
    <xf numFmtId="0" fontId="10" fillId="6" borderId="0" xfId="2" applyFont="1" applyFill="1" applyAlignment="1">
      <alignment horizontal="center"/>
    </xf>
    <xf numFmtId="0" fontId="11" fillId="6" borderId="0" xfId="2" applyFont="1" applyFill="1" applyAlignment="1">
      <alignment vertical="center"/>
    </xf>
    <xf numFmtId="166" fontId="10" fillId="6" borderId="0" xfId="2" applyNumberFormat="1" applyFont="1" applyFill="1" applyAlignment="1">
      <alignment horizontal="center" vertical="center"/>
    </xf>
    <xf numFmtId="0" fontId="11" fillId="6" borderId="0" xfId="2" applyFont="1" applyFill="1" applyAlignment="1">
      <alignment horizontal="center" vertical="center"/>
    </xf>
    <xf numFmtId="3" fontId="10" fillId="6" borderId="0" xfId="2" applyNumberFormat="1" applyFont="1" applyFill="1" applyAlignment="1">
      <alignment horizontal="center" vertical="center"/>
    </xf>
    <xf numFmtId="0" fontId="10" fillId="6" borderId="0" xfId="2" applyFont="1" applyFill="1"/>
    <xf numFmtId="1" fontId="10" fillId="6" borderId="0" xfId="2" quotePrefix="1" applyNumberFormat="1" applyFont="1" applyFill="1" applyAlignment="1">
      <alignment horizontal="center" vertical="center"/>
    </xf>
    <xf numFmtId="0" fontId="11" fillId="6" borderId="0" xfId="2" quotePrefix="1" applyFont="1" applyFill="1" applyAlignment="1">
      <alignment horizontal="center" vertical="center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3" fillId="7" borderId="0" xfId="2" applyFill="1"/>
    <xf numFmtId="4" fontId="3" fillId="0" borderId="0" xfId="2" applyNumberFormat="1" applyAlignment="1">
      <alignment horizontal="center"/>
    </xf>
    <xf numFmtId="0" fontId="1" fillId="0" borderId="0" xfId="4"/>
    <xf numFmtId="3" fontId="3" fillId="0" borderId="0" xfId="2" applyNumberFormat="1" applyAlignment="1">
      <alignment horizontal="center" vertical="justify"/>
    </xf>
    <xf numFmtId="0" fontId="3" fillId="0" borderId="0" xfId="2" applyAlignment="1">
      <alignment horizontal="center" vertical="top"/>
    </xf>
    <xf numFmtId="10" fontId="3" fillId="0" borderId="0" xfId="5" applyNumberFormat="1" applyFont="1" applyAlignment="1">
      <alignment horizontal="center" vertical="center"/>
    </xf>
    <xf numFmtId="3" fontId="3" fillId="9" borderId="0" xfId="2" applyNumberFormat="1" applyFill="1" applyAlignment="1">
      <alignment horizontal="center" vertical="center"/>
    </xf>
    <xf numFmtId="164" fontId="3" fillId="0" borderId="0" xfId="5" applyNumberFormat="1" applyFont="1" applyAlignment="1">
      <alignment horizontal="center" vertical="center"/>
    </xf>
    <xf numFmtId="3" fontId="3" fillId="0" borderId="0" xfId="2" applyNumberFormat="1" applyAlignment="1">
      <alignment vertical="center"/>
    </xf>
    <xf numFmtId="0" fontId="3" fillId="0" borderId="0" xfId="2" applyAlignment="1">
      <alignment horizontal="center" vertical="center" wrapText="1"/>
    </xf>
    <xf numFmtId="0" fontId="3" fillId="0" borderId="0" xfId="2" applyAlignment="1">
      <alignment vertical="center" wrapText="1"/>
    </xf>
    <xf numFmtId="0" fontId="14" fillId="0" borderId="0" xfId="0" applyFont="1"/>
    <xf numFmtId="0" fontId="15" fillId="0" borderId="0" xfId="0" applyFont="1"/>
    <xf numFmtId="7" fontId="16" fillId="0" borderId="0" xfId="0" applyNumberFormat="1" applyFont="1" applyAlignment="1">
      <alignment horizontal="center"/>
    </xf>
    <xf numFmtId="7" fontId="16" fillId="10" borderId="0" xfId="0" applyNumberFormat="1" applyFont="1" applyFill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13" fillId="11" borderId="10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left" indent="1"/>
    </xf>
    <xf numFmtId="168" fontId="0" fillId="0" borderId="0" xfId="0" applyNumberFormat="1" applyAlignment="1">
      <alignment horizontal="center"/>
    </xf>
    <xf numFmtId="168" fontId="0" fillId="10" borderId="0" xfId="0" applyNumberFormat="1" applyFill="1" applyAlignment="1">
      <alignment horizontal="center"/>
    </xf>
    <xf numFmtId="168" fontId="17" fillId="0" borderId="0" xfId="0" applyNumberFormat="1" applyFont="1" applyAlignment="1">
      <alignment horizontal="center"/>
    </xf>
    <xf numFmtId="168" fontId="17" fillId="10" borderId="0" xfId="0" applyNumberFormat="1" applyFont="1" applyFill="1" applyAlignment="1">
      <alignment horizontal="center"/>
    </xf>
    <xf numFmtId="168" fontId="18" fillId="0" borderId="0" xfId="0" applyNumberFormat="1" applyFont="1" applyAlignment="1">
      <alignment horizontal="center"/>
    </xf>
    <xf numFmtId="168" fontId="18" fillId="10" borderId="0" xfId="0" applyNumberFormat="1" applyFont="1" applyFill="1" applyAlignment="1">
      <alignment horizontal="center"/>
    </xf>
    <xf numFmtId="168" fontId="19" fillId="10" borderId="0" xfId="0" applyNumberFormat="1" applyFont="1" applyFill="1" applyAlignment="1">
      <alignment horizontal="center"/>
    </xf>
    <xf numFmtId="0" fontId="0" fillId="0" borderId="0" xfId="0" applyAlignment="1">
      <alignment horizontal="left" indent="1"/>
    </xf>
    <xf numFmtId="37" fontId="0" fillId="0" borderId="0" xfId="0" applyNumberFormat="1" applyAlignment="1">
      <alignment horizontal="center"/>
    </xf>
    <xf numFmtId="37" fontId="0" fillId="10" borderId="0" xfId="0" applyNumberFormat="1" applyFill="1" applyAlignment="1">
      <alignment horizontal="center"/>
    </xf>
    <xf numFmtId="37" fontId="17" fillId="0" borderId="0" xfId="0" applyNumberFormat="1" applyFont="1" applyAlignment="1">
      <alignment horizontal="center"/>
    </xf>
    <xf numFmtId="37" fontId="17" fillId="10" borderId="0" xfId="0" applyNumberFormat="1" applyFont="1" applyFill="1" applyAlignment="1">
      <alignment horizontal="center"/>
    </xf>
    <xf numFmtId="37" fontId="18" fillId="0" borderId="0" xfId="0" applyNumberFormat="1" applyFont="1" applyAlignment="1">
      <alignment horizontal="center"/>
    </xf>
    <xf numFmtId="37" fontId="18" fillId="10" borderId="0" xfId="0" applyNumberFormat="1" applyFont="1" applyFill="1" applyAlignment="1">
      <alignment horizontal="center"/>
    </xf>
    <xf numFmtId="37" fontId="19" fillId="10" borderId="0" xfId="0" applyNumberFormat="1" applyFont="1" applyFill="1" applyAlignment="1">
      <alignment horizontal="center"/>
    </xf>
    <xf numFmtId="0" fontId="13" fillId="12" borderId="0" xfId="0" applyFont="1" applyFill="1"/>
    <xf numFmtId="0" fontId="0" fillId="12" borderId="0" xfId="0" applyFill="1"/>
    <xf numFmtId="0" fontId="18" fillId="12" borderId="0" xfId="0" applyFont="1" applyFill="1"/>
    <xf numFmtId="0" fontId="2" fillId="0" borderId="0" xfId="0" applyFont="1" applyAlignment="1">
      <alignment horizontal="left" indent="1"/>
    </xf>
    <xf numFmtId="37" fontId="2" fillId="0" borderId="0" xfId="0" applyNumberFormat="1" applyFont="1" applyAlignment="1">
      <alignment horizontal="center"/>
    </xf>
    <xf numFmtId="7" fontId="16" fillId="13" borderId="0" xfId="0" applyNumberFormat="1" applyFont="1" applyFill="1" applyAlignment="1">
      <alignment horizontal="center"/>
    </xf>
    <xf numFmtId="0" fontId="13" fillId="2" borderId="10" xfId="0" applyFont="1" applyFill="1" applyBorder="1" applyAlignment="1">
      <alignment horizontal="center"/>
    </xf>
    <xf numFmtId="168" fontId="0" fillId="13" borderId="0" xfId="0" applyNumberFormat="1" applyFill="1" applyAlignment="1">
      <alignment horizontal="center"/>
    </xf>
    <xf numFmtId="168" fontId="17" fillId="13" borderId="0" xfId="0" applyNumberFormat="1" applyFont="1" applyFill="1" applyAlignment="1">
      <alignment horizontal="center"/>
    </xf>
    <xf numFmtId="168" fontId="18" fillId="13" borderId="0" xfId="0" applyNumberFormat="1" applyFont="1" applyFill="1" applyAlignment="1">
      <alignment horizontal="center"/>
    </xf>
    <xf numFmtId="168" fontId="19" fillId="13" borderId="0" xfId="0" applyNumberFormat="1" applyFont="1" applyFill="1" applyAlignment="1">
      <alignment horizontal="center"/>
    </xf>
    <xf numFmtId="37" fontId="0" fillId="13" borderId="0" xfId="0" applyNumberFormat="1" applyFill="1" applyAlignment="1">
      <alignment horizontal="center"/>
    </xf>
    <xf numFmtId="37" fontId="17" fillId="13" borderId="0" xfId="0" applyNumberFormat="1" applyFont="1" applyFill="1" applyAlignment="1">
      <alignment horizontal="center"/>
    </xf>
    <xf numFmtId="37" fontId="18" fillId="13" borderId="0" xfId="0" applyNumberFormat="1" applyFont="1" applyFill="1" applyAlignment="1">
      <alignment horizontal="center"/>
    </xf>
    <xf numFmtId="37" fontId="19" fillId="13" borderId="0" xfId="0" applyNumberFormat="1" applyFont="1" applyFill="1" applyAlignment="1">
      <alignment horizontal="center"/>
    </xf>
    <xf numFmtId="0" fontId="22" fillId="0" borderId="0" xfId="6" applyFont="1" applyAlignment="1">
      <alignment horizontal="left" indent="1"/>
    </xf>
    <xf numFmtId="0" fontId="2" fillId="0" borderId="11" xfId="0" applyFont="1" applyBorder="1"/>
    <xf numFmtId="0" fontId="2" fillId="0" borderId="11" xfId="0" applyFont="1" applyBorder="1" applyAlignment="1">
      <alignment horizontal="left" indent="1"/>
    </xf>
    <xf numFmtId="37" fontId="2" fillId="0" borderId="11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23" fillId="0" borderId="0" xfId="6" applyFont="1" applyAlignment="1">
      <alignment horizontal="left" indent="1"/>
    </xf>
    <xf numFmtId="0" fontId="24" fillId="0" borderId="0" xfId="6" applyFont="1" applyAlignment="1">
      <alignment horizontal="left" indent="1"/>
    </xf>
    <xf numFmtId="0" fontId="25" fillId="0" borderId="0" xfId="0" applyFont="1" applyAlignment="1">
      <alignment horizontal="left" indent="1"/>
    </xf>
    <xf numFmtId="0" fontId="25" fillId="0" borderId="0" xfId="0" applyFont="1"/>
    <xf numFmtId="37" fontId="25" fillId="0" borderId="0" xfId="0" applyNumberFormat="1" applyFont="1" applyAlignment="1">
      <alignment horizontal="center"/>
    </xf>
    <xf numFmtId="0" fontId="2" fillId="15" borderId="0" xfId="0" applyFont="1" applyFill="1"/>
    <xf numFmtId="0" fontId="26" fillId="0" borderId="0" xfId="6" applyFont="1" applyAlignment="1">
      <alignment horizontal="left" indent="1"/>
    </xf>
    <xf numFmtId="0" fontId="0" fillId="13" borderId="0" xfId="0" applyFill="1"/>
    <xf numFmtId="0" fontId="27" fillId="15" borderId="0" xfId="0" applyFont="1" applyFill="1" applyAlignment="1">
      <alignment horizontal="left" vertical="center" wrapText="1"/>
    </xf>
    <xf numFmtId="0" fontId="0" fillId="15" borderId="0" xfId="0" applyFill="1"/>
    <xf numFmtId="0" fontId="28" fillId="0" borderId="0" xfId="0" applyFont="1"/>
    <xf numFmtId="0" fontId="13" fillId="0" borderId="0" xfId="0" applyFont="1"/>
    <xf numFmtId="0" fontId="18" fillId="0" borderId="0" xfId="0" applyFont="1"/>
    <xf numFmtId="0" fontId="18" fillId="0" borderId="0" xfId="0" applyFont="1" applyAlignment="1">
      <alignment horizontal="left" indent="1"/>
    </xf>
    <xf numFmtId="0" fontId="2" fillId="0" borderId="10" xfId="0" applyFont="1" applyBorder="1" applyAlignment="1">
      <alignment horizontal="center"/>
    </xf>
    <xf numFmtId="0" fontId="34" fillId="0" borderId="0" xfId="0" applyFont="1" applyAlignment="1">
      <alignment horizontal="left" indent="1"/>
    </xf>
    <xf numFmtId="0" fontId="34" fillId="0" borderId="0" xfId="0" applyFont="1"/>
    <xf numFmtId="37" fontId="34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169" fontId="18" fillId="0" borderId="0" xfId="0" applyNumberFormat="1" applyFont="1" applyAlignment="1">
      <alignment horizontal="center" vertical="center"/>
    </xf>
    <xf numFmtId="169" fontId="18" fillId="10" borderId="0" xfId="0" applyNumberFormat="1" applyFont="1" applyFill="1" applyAlignment="1">
      <alignment horizontal="center" vertical="center"/>
    </xf>
    <xf numFmtId="169" fontId="18" fillId="9" borderId="0" xfId="0" applyNumberFormat="1" applyFont="1" applyFill="1" applyAlignment="1">
      <alignment horizontal="center" vertical="center"/>
    </xf>
    <xf numFmtId="39" fontId="18" fillId="10" borderId="0" xfId="0" applyNumberFormat="1" applyFont="1" applyFill="1" applyAlignment="1">
      <alignment horizontal="center" vertical="center"/>
    </xf>
    <xf numFmtId="39" fontId="18" fillId="0" borderId="0" xfId="0" applyNumberFormat="1" applyFont="1" applyAlignment="1">
      <alignment horizontal="center" vertical="center"/>
    </xf>
    <xf numFmtId="169" fontId="29" fillId="10" borderId="0" xfId="0" applyNumberFormat="1" applyFont="1" applyFill="1" applyAlignment="1">
      <alignment horizontal="center" vertical="center"/>
    </xf>
    <xf numFmtId="169" fontId="29" fillId="0" borderId="0" xfId="0" applyNumberFormat="1" applyFont="1" applyAlignment="1">
      <alignment horizontal="center" vertical="center"/>
    </xf>
    <xf numFmtId="169" fontId="29" fillId="9" borderId="0" xfId="0" applyNumberFormat="1" applyFont="1" applyFill="1" applyAlignment="1">
      <alignment horizontal="center" vertical="center"/>
    </xf>
    <xf numFmtId="0" fontId="0" fillId="8" borderId="0" xfId="0" applyFill="1" applyAlignment="1">
      <alignment wrapText="1"/>
    </xf>
    <xf numFmtId="0" fontId="25" fillId="0" borderId="11" xfId="0" applyFont="1" applyBorder="1" applyAlignment="1">
      <alignment horizontal="left" indent="1"/>
    </xf>
    <xf numFmtId="0" fontId="25" fillId="0" borderId="11" xfId="0" applyFont="1" applyBorder="1"/>
    <xf numFmtId="37" fontId="25" fillId="0" borderId="11" xfId="0" applyNumberFormat="1" applyFont="1" applyBorder="1" applyAlignment="1">
      <alignment horizontal="center"/>
    </xf>
    <xf numFmtId="10" fontId="22" fillId="13" borderId="0" xfId="1" applyNumberFormat="1" applyFont="1" applyFill="1" applyAlignment="1">
      <alignment horizontal="center" vertical="center"/>
    </xf>
    <xf numFmtId="179" fontId="18" fillId="13" borderId="0" xfId="0" applyNumberFormat="1" applyFont="1" applyFill="1" applyAlignment="1">
      <alignment horizontal="center" vertical="center"/>
    </xf>
    <xf numFmtId="180" fontId="18" fillId="13" borderId="0" xfId="0" applyNumberFormat="1" applyFont="1" applyFill="1" applyAlignment="1">
      <alignment horizontal="center" vertical="center"/>
    </xf>
    <xf numFmtId="180" fontId="18" fillId="13" borderId="0" xfId="0" quotePrefix="1" applyNumberFormat="1" applyFont="1" applyFill="1" applyAlignment="1">
      <alignment horizontal="center" vertical="center"/>
    </xf>
    <xf numFmtId="180" fontId="18" fillId="13" borderId="0" xfId="1" applyNumberFormat="1" applyFont="1" applyFill="1" applyAlignment="1">
      <alignment horizontal="center" vertical="center"/>
    </xf>
    <xf numFmtId="180" fontId="18" fillId="13" borderId="0" xfId="1" quotePrefix="1" applyNumberFormat="1" applyFont="1" applyFill="1" applyAlignment="1">
      <alignment horizontal="center" vertical="center"/>
    </xf>
    <xf numFmtId="180" fontId="18" fillId="13" borderId="0" xfId="1" applyNumberFormat="1" applyFont="1" applyFill="1" applyBorder="1" applyAlignment="1">
      <alignment horizontal="center" vertical="center"/>
    </xf>
    <xf numFmtId="180" fontId="18" fillId="14" borderId="0" xfId="0" applyNumberFormat="1" applyFont="1" applyFill="1" applyAlignment="1">
      <alignment horizontal="center" vertical="center"/>
    </xf>
    <xf numFmtId="180" fontId="18" fillId="15" borderId="0" xfId="0" applyNumberFormat="1" applyFont="1" applyFill="1" applyAlignment="1">
      <alignment horizontal="center" vertical="center"/>
    </xf>
    <xf numFmtId="180" fontId="18" fillId="12" borderId="0" xfId="0" applyNumberFormat="1" applyFont="1" applyFill="1" applyAlignment="1">
      <alignment horizontal="center" vertical="center"/>
    </xf>
    <xf numFmtId="181" fontId="18" fillId="13" borderId="0" xfId="0" applyNumberFormat="1" applyFont="1" applyFill="1" applyAlignment="1">
      <alignment horizontal="center" vertical="center"/>
    </xf>
    <xf numFmtId="180" fontId="29" fillId="13" borderId="11" xfId="0" applyNumberFormat="1" applyFont="1" applyFill="1" applyBorder="1" applyAlignment="1">
      <alignment horizontal="center" vertical="center"/>
    </xf>
    <xf numFmtId="180" fontId="29" fillId="13" borderId="0" xfId="1" quotePrefix="1" applyNumberFormat="1" applyFont="1" applyFill="1" applyAlignment="1">
      <alignment horizontal="center" vertical="center"/>
    </xf>
    <xf numFmtId="180" fontId="29" fillId="13" borderId="0" xfId="1" applyNumberFormat="1" applyFont="1" applyFill="1" applyBorder="1" applyAlignment="1">
      <alignment horizontal="center" vertical="center"/>
    </xf>
    <xf numFmtId="180" fontId="29" fillId="13" borderId="0" xfId="0" applyNumberFormat="1" applyFont="1" applyFill="1" applyAlignment="1">
      <alignment horizontal="center" vertical="center"/>
    </xf>
    <xf numFmtId="180" fontId="29" fillId="13" borderId="11" xfId="1" quotePrefix="1" applyNumberFormat="1" applyFont="1" applyFill="1" applyBorder="1" applyAlignment="1">
      <alignment horizontal="center" vertical="center"/>
    </xf>
    <xf numFmtId="180" fontId="29" fillId="13" borderId="11" xfId="1" applyNumberFormat="1" applyFont="1" applyFill="1" applyBorder="1" applyAlignment="1">
      <alignment horizontal="center" vertical="center"/>
    </xf>
    <xf numFmtId="180" fontId="29" fillId="13" borderId="0" xfId="1" applyNumberFormat="1" applyFont="1" applyFill="1" applyAlignment="1">
      <alignment horizontal="center" vertical="center"/>
    </xf>
    <xf numFmtId="181" fontId="29" fillId="15" borderId="0" xfId="0" applyNumberFormat="1" applyFont="1" applyFill="1" applyAlignment="1">
      <alignment horizontal="center" vertical="center"/>
    </xf>
    <xf numFmtId="0" fontId="22" fillId="13" borderId="0" xfId="6" applyFont="1" applyFill="1" applyAlignment="1">
      <alignment horizontal="center" vertical="center"/>
    </xf>
    <xf numFmtId="0" fontId="35" fillId="0" borderId="0" xfId="6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36" fillId="0" borderId="0" xfId="0" applyFont="1"/>
    <xf numFmtId="37" fontId="36" fillId="0" borderId="0" xfId="0" applyNumberFormat="1" applyFont="1" applyAlignment="1">
      <alignment horizontal="center"/>
    </xf>
    <xf numFmtId="10" fontId="35" fillId="13" borderId="0" xfId="1" applyNumberFormat="1" applyFont="1" applyFill="1" applyAlignment="1">
      <alignment horizontal="center" vertical="center"/>
    </xf>
    <xf numFmtId="180" fontId="36" fillId="13" borderId="0" xfId="0" applyNumberFormat="1" applyFont="1" applyFill="1" applyAlignment="1">
      <alignment horizontal="center" vertical="center"/>
    </xf>
    <xf numFmtId="0" fontId="37" fillId="0" borderId="0" xfId="0" applyFont="1" applyAlignment="1">
      <alignment horizontal="left" indent="1"/>
    </xf>
    <xf numFmtId="0" fontId="37" fillId="0" borderId="0" xfId="0" applyFont="1"/>
    <xf numFmtId="37" fontId="37" fillId="0" borderId="0" xfId="0" applyNumberFormat="1" applyFont="1" applyAlignment="1">
      <alignment horizontal="center"/>
    </xf>
    <xf numFmtId="164" fontId="18" fillId="13" borderId="0" xfId="1" applyNumberFormat="1" applyFont="1" applyFill="1" applyAlignment="1">
      <alignment horizontal="center" vertical="center"/>
    </xf>
    <xf numFmtId="180" fontId="0" fillId="13" borderId="0" xfId="0" applyNumberFormat="1" applyFill="1" applyAlignment="1">
      <alignment horizontal="center" vertical="center"/>
    </xf>
    <xf numFmtId="180" fontId="18" fillId="13" borderId="0" xfId="1" applyNumberFormat="1" applyFont="1" applyFill="1" applyAlignment="1">
      <alignment horizontal="center" vertical="center" wrapText="1"/>
    </xf>
    <xf numFmtId="164" fontId="0" fillId="13" borderId="0" xfId="1" applyNumberFormat="1" applyFont="1" applyFill="1" applyAlignment="1">
      <alignment horizontal="center" vertical="center"/>
    </xf>
    <xf numFmtId="10" fontId="18" fillId="13" borderId="0" xfId="1" applyNumberFormat="1" applyFont="1" applyFill="1" applyAlignment="1">
      <alignment horizontal="center" vertical="center"/>
    </xf>
    <xf numFmtId="180" fontId="29" fillId="14" borderId="0" xfId="0" applyNumberFormat="1" applyFont="1" applyFill="1" applyAlignment="1">
      <alignment horizontal="center" vertical="center"/>
    </xf>
    <xf numFmtId="0" fontId="40" fillId="0" borderId="0" xfId="0" applyFont="1"/>
    <xf numFmtId="179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10" applyFont="1"/>
    <xf numFmtId="0" fontId="20" fillId="17" borderId="0" xfId="10" applyFont="1" applyFill="1" applyAlignment="1">
      <alignment horizontal="right"/>
    </xf>
    <xf numFmtId="0" fontId="1" fillId="0" borderId="0" xfId="10"/>
    <xf numFmtId="170" fontId="1" fillId="0" borderId="0" xfId="10" applyNumberFormat="1"/>
    <xf numFmtId="0" fontId="13" fillId="0" borderId="0" xfId="10" applyFont="1"/>
    <xf numFmtId="171" fontId="14" fillId="4" borderId="0" xfId="10" applyNumberFormat="1" applyFont="1" applyFill="1" applyAlignment="1">
      <alignment horizontal="center"/>
    </xf>
    <xf numFmtId="172" fontId="14" fillId="4" borderId="0" xfId="10" applyNumberFormat="1" applyFont="1" applyFill="1" applyAlignment="1">
      <alignment horizontal="center"/>
    </xf>
    <xf numFmtId="172" fontId="14" fillId="0" borderId="0" xfId="10" applyNumberFormat="1" applyFont="1" applyAlignment="1">
      <alignment horizontal="center"/>
    </xf>
    <xf numFmtId="14" fontId="20" fillId="17" borderId="0" xfId="10" applyNumberFormat="1" applyFont="1" applyFill="1" applyAlignment="1">
      <alignment horizontal="right"/>
    </xf>
    <xf numFmtId="0" fontId="2" fillId="0" borderId="0" xfId="10" applyFont="1"/>
    <xf numFmtId="5" fontId="29" fillId="0" borderId="0" xfId="10" applyNumberFormat="1" applyFont="1" applyAlignment="1">
      <alignment horizontal="right"/>
    </xf>
    <xf numFmtId="5" fontId="15" fillId="0" borderId="0" xfId="10" applyNumberFormat="1" applyFont="1" applyAlignment="1">
      <alignment horizontal="right"/>
    </xf>
    <xf numFmtId="0" fontId="1" fillId="0" borderId="0" xfId="10" applyAlignment="1">
      <alignment horizontal="left" indent="1"/>
    </xf>
    <xf numFmtId="174" fontId="18" fillId="0" borderId="0" xfId="10" applyNumberFormat="1" applyFont="1" applyAlignment="1">
      <alignment horizontal="right"/>
    </xf>
    <xf numFmtId="174" fontId="17" fillId="0" borderId="0" xfId="10" applyNumberFormat="1" applyFont="1" applyAlignment="1">
      <alignment horizontal="right"/>
    </xf>
    <xf numFmtId="175" fontId="29" fillId="0" borderId="0" xfId="10" applyNumberFormat="1" applyFont="1" applyAlignment="1">
      <alignment horizontal="right"/>
    </xf>
    <xf numFmtId="0" fontId="2" fillId="0" borderId="13" xfId="10" applyFont="1" applyBorder="1"/>
    <xf numFmtId="44" fontId="20" fillId="17" borderId="14" xfId="10" applyNumberFormat="1" applyFont="1" applyFill="1" applyBorder="1" applyAlignment="1">
      <alignment horizontal="right"/>
    </xf>
    <xf numFmtId="0" fontId="1" fillId="0" borderId="13" xfId="10" applyBorder="1"/>
    <xf numFmtId="39" fontId="30" fillId="0" borderId="14" xfId="10" applyNumberFormat="1" applyFont="1" applyBorder="1" applyAlignment="1">
      <alignment horizontal="right"/>
    </xf>
    <xf numFmtId="5" fontId="2" fillId="0" borderId="14" xfId="10" applyNumberFormat="1" applyFont="1" applyBorder="1" applyAlignment="1">
      <alignment horizontal="right"/>
    </xf>
    <xf numFmtId="0" fontId="18" fillId="0" borderId="0" xfId="10" applyFont="1"/>
    <xf numFmtId="0" fontId="2" fillId="17" borderId="1" xfId="10" applyFont="1" applyFill="1" applyBorder="1"/>
    <xf numFmtId="7" fontId="29" fillId="17" borderId="2" xfId="10" applyNumberFormat="1" applyFont="1" applyFill="1" applyBorder="1" applyAlignment="1">
      <alignment horizontal="right"/>
    </xf>
    <xf numFmtId="7" fontId="15" fillId="17" borderId="2" xfId="10" applyNumberFormat="1" applyFont="1" applyFill="1" applyBorder="1" applyAlignment="1">
      <alignment horizontal="right"/>
    </xf>
    <xf numFmtId="7" fontId="15" fillId="17" borderId="3" xfId="10" applyNumberFormat="1" applyFont="1" applyFill="1" applyBorder="1" applyAlignment="1">
      <alignment horizontal="right"/>
    </xf>
    <xf numFmtId="7" fontId="15" fillId="0" borderId="0" xfId="10" applyNumberFormat="1" applyFont="1" applyAlignment="1">
      <alignment horizontal="right"/>
    </xf>
    <xf numFmtId="0" fontId="1" fillId="17" borderId="6" xfId="10" applyFill="1" applyBorder="1" applyAlignment="1">
      <alignment horizontal="left" indent="1"/>
    </xf>
    <xf numFmtId="174" fontId="18" fillId="17" borderId="7" xfId="10" applyNumberFormat="1" applyFont="1" applyFill="1" applyBorder="1" applyAlignment="1">
      <alignment horizontal="right"/>
    </xf>
    <xf numFmtId="178" fontId="17" fillId="17" borderId="7" xfId="10" applyNumberFormat="1" applyFont="1" applyFill="1" applyBorder="1" applyAlignment="1">
      <alignment horizontal="right"/>
    </xf>
    <xf numFmtId="174" fontId="17" fillId="17" borderId="7" xfId="10" applyNumberFormat="1" applyFont="1" applyFill="1" applyBorder="1" applyAlignment="1">
      <alignment horizontal="right"/>
    </xf>
    <xf numFmtId="174" fontId="17" fillId="17" borderId="8" xfId="10" applyNumberFormat="1" applyFont="1" applyFill="1" applyBorder="1" applyAlignment="1">
      <alignment horizontal="right"/>
    </xf>
    <xf numFmtId="4" fontId="2" fillId="0" borderId="0" xfId="10" applyNumberFormat="1" applyFont="1"/>
    <xf numFmtId="5" fontId="30" fillId="0" borderId="14" xfId="10" applyNumberFormat="1" applyFont="1" applyBorder="1" applyAlignment="1">
      <alignment horizontal="right"/>
    </xf>
    <xf numFmtId="170" fontId="1" fillId="0" borderId="0" xfId="10" applyNumberFormat="1" applyAlignment="1">
      <alignment horizontal="right"/>
    </xf>
    <xf numFmtId="0" fontId="2" fillId="0" borderId="15" xfId="10" applyFont="1" applyBorder="1"/>
    <xf numFmtId="5" fontId="2" fillId="0" borderId="16" xfId="10" applyNumberFormat="1" applyFont="1" applyBorder="1" applyAlignment="1">
      <alignment horizontal="right"/>
    </xf>
    <xf numFmtId="0" fontId="2" fillId="17" borderId="10" xfId="10" applyFont="1" applyFill="1" applyBorder="1"/>
    <xf numFmtId="0" fontId="2" fillId="17" borderId="11" xfId="10" applyFont="1" applyFill="1" applyBorder="1"/>
    <xf numFmtId="170" fontId="2" fillId="17" borderId="11" xfId="10" applyNumberFormat="1" applyFont="1" applyFill="1" applyBorder="1"/>
    <xf numFmtId="170" fontId="2" fillId="17" borderId="11" xfId="10" applyNumberFormat="1" applyFont="1" applyFill="1" applyBorder="1" applyAlignment="1">
      <alignment horizontal="right"/>
    </xf>
    <xf numFmtId="170" fontId="2" fillId="17" borderId="12" xfId="10" applyNumberFormat="1" applyFont="1" applyFill="1" applyBorder="1" applyAlignment="1">
      <alignment horizontal="right"/>
    </xf>
    <xf numFmtId="170" fontId="2" fillId="0" borderId="0" xfId="10" applyNumberFormat="1" applyFont="1" applyAlignment="1">
      <alignment horizontal="right"/>
    </xf>
    <xf numFmtId="176" fontId="1" fillId="0" borderId="0" xfId="10" applyNumberFormat="1"/>
    <xf numFmtId="177" fontId="2" fillId="0" borderId="0" xfId="10" applyNumberFormat="1" applyFont="1" applyAlignment="1">
      <alignment horizontal="right"/>
    </xf>
    <xf numFmtId="171" fontId="2" fillId="4" borderId="0" xfId="10" applyNumberFormat="1" applyFont="1" applyFill="1" applyAlignment="1">
      <alignment horizontal="center"/>
    </xf>
    <xf numFmtId="171" fontId="2" fillId="0" borderId="0" xfId="10" applyNumberFormat="1" applyFont="1" applyAlignment="1">
      <alignment horizontal="center"/>
    </xf>
    <xf numFmtId="0" fontId="13" fillId="16" borderId="0" xfId="10" applyFont="1" applyFill="1" applyAlignment="1">
      <alignment horizontal="center"/>
    </xf>
    <xf numFmtId="0" fontId="2" fillId="0" borderId="1" xfId="10" applyFont="1" applyBorder="1" applyAlignment="1">
      <alignment horizontal="left"/>
    </xf>
    <xf numFmtId="173" fontId="29" fillId="0" borderId="2" xfId="10" applyNumberFormat="1" applyFont="1" applyBorder="1"/>
    <xf numFmtId="173" fontId="29" fillId="17" borderId="2" xfId="10" applyNumberFormat="1" applyFont="1" applyFill="1" applyBorder="1"/>
    <xf numFmtId="173" fontId="29" fillId="17" borderId="3" xfId="10" applyNumberFormat="1" applyFont="1" applyFill="1" applyBorder="1"/>
    <xf numFmtId="173" fontId="29" fillId="0" borderId="0" xfId="10" applyNumberFormat="1" applyFont="1"/>
    <xf numFmtId="7" fontId="30" fillId="0" borderId="0" xfId="10" applyNumberFormat="1" applyFont="1"/>
    <xf numFmtId="0" fontId="2" fillId="0" borderId="4" xfId="10" applyFont="1" applyBorder="1" applyAlignment="1">
      <alignment horizontal="left"/>
    </xf>
    <xf numFmtId="173" fontId="29" fillId="17" borderId="0" xfId="10" applyNumberFormat="1" applyFont="1" applyFill="1"/>
    <xf numFmtId="173" fontId="29" fillId="17" borderId="5" xfId="10" applyNumberFormat="1" applyFont="1" applyFill="1" applyBorder="1"/>
    <xf numFmtId="173" fontId="20" fillId="17" borderId="0" xfId="10" applyNumberFormat="1" applyFont="1" applyFill="1"/>
    <xf numFmtId="7" fontId="2" fillId="0" borderId="0" xfId="10" applyNumberFormat="1" applyFont="1"/>
    <xf numFmtId="0" fontId="2" fillId="0" borderId="6" xfId="10" applyFont="1" applyBorder="1" applyAlignment="1">
      <alignment horizontal="left"/>
    </xf>
    <xf numFmtId="173" fontId="29" fillId="0" borderId="7" xfId="10" applyNumberFormat="1" applyFont="1" applyBorder="1"/>
    <xf numFmtId="173" fontId="29" fillId="17" borderId="7" xfId="10" applyNumberFormat="1" applyFont="1" applyFill="1" applyBorder="1"/>
    <xf numFmtId="173" fontId="29" fillId="17" borderId="8" xfId="10" applyNumberFormat="1" applyFont="1" applyFill="1" applyBorder="1"/>
    <xf numFmtId="0" fontId="2" fillId="17" borderId="1" xfId="10" applyFont="1" applyFill="1" applyBorder="1" applyAlignment="1">
      <alignment horizontal="left" indent="1"/>
    </xf>
    <xf numFmtId="170" fontId="2" fillId="17" borderId="3" xfId="10" applyNumberFormat="1" applyFont="1" applyFill="1" applyBorder="1"/>
    <xf numFmtId="0" fontId="2" fillId="17" borderId="4" xfId="10" applyFont="1" applyFill="1" applyBorder="1" applyAlignment="1">
      <alignment horizontal="left" indent="1"/>
    </xf>
    <xf numFmtId="173" fontId="2" fillId="17" borderId="5" xfId="10" applyNumberFormat="1" applyFont="1" applyFill="1" applyBorder="1"/>
    <xf numFmtId="0" fontId="1" fillId="0" borderId="0" xfId="10" applyAlignment="1">
      <alignment vertical="center" wrapText="1"/>
    </xf>
    <xf numFmtId="0" fontId="2" fillId="17" borderId="6" xfId="10" applyFont="1" applyFill="1" applyBorder="1" applyAlignment="1">
      <alignment horizontal="left" indent="1"/>
    </xf>
    <xf numFmtId="170" fontId="2" fillId="17" borderId="8" xfId="10" applyNumberFormat="1" applyFont="1" applyFill="1" applyBorder="1"/>
    <xf numFmtId="0" fontId="17" fillId="0" borderId="0" xfId="10" applyFont="1" applyAlignment="1">
      <alignment horizontal="center"/>
    </xf>
    <xf numFmtId="0" fontId="14" fillId="4" borderId="0" xfId="10" applyFont="1" applyFill="1" applyAlignment="1">
      <alignment horizontal="center"/>
    </xf>
    <xf numFmtId="7" fontId="15" fillId="17" borderId="0" xfId="10" applyNumberFormat="1" applyFont="1" applyFill="1" applyAlignment="1">
      <alignment horizontal="right"/>
    </xf>
    <xf numFmtId="173" fontId="20" fillId="17" borderId="0" xfId="10" applyNumberFormat="1" applyFont="1" applyFill="1" applyAlignment="1">
      <alignment horizontal="right"/>
    </xf>
    <xf numFmtId="7" fontId="29" fillId="0" borderId="0" xfId="10" applyNumberFormat="1" applyFont="1" applyAlignment="1">
      <alignment horizontal="right"/>
    </xf>
    <xf numFmtId="170" fontId="29" fillId="17" borderId="0" xfId="10" applyNumberFormat="1" applyFont="1" applyFill="1" applyAlignment="1">
      <alignment horizontal="right"/>
    </xf>
    <xf numFmtId="7" fontId="2" fillId="17" borderId="3" xfId="10" applyNumberFormat="1" applyFont="1" applyFill="1" applyBorder="1"/>
    <xf numFmtId="0" fontId="18" fillId="0" borderId="0" xfId="10" applyFont="1" applyAlignment="1">
      <alignment horizontal="center"/>
    </xf>
    <xf numFmtId="7" fontId="17" fillId="0" borderId="0" xfId="10" applyNumberFormat="1" applyFont="1" applyAlignment="1">
      <alignment horizontal="center"/>
    </xf>
    <xf numFmtId="0" fontId="17" fillId="0" borderId="0" xfId="10" applyFont="1"/>
    <xf numFmtId="169" fontId="2" fillId="4" borderId="0" xfId="10" applyNumberFormat="1" applyFont="1" applyFill="1" applyAlignment="1">
      <alignment horizontal="center"/>
    </xf>
    <xf numFmtId="169" fontId="1" fillId="4" borderId="0" xfId="10" applyNumberFormat="1" applyFill="1" applyAlignment="1">
      <alignment horizontal="center"/>
    </xf>
    <xf numFmtId="0" fontId="3" fillId="18" borderId="0" xfId="2" applyFill="1"/>
    <xf numFmtId="0" fontId="2" fillId="0" borderId="0" xfId="0" applyFont="1" applyBorder="1"/>
    <xf numFmtId="180" fontId="29" fillId="13" borderId="0" xfId="0" applyNumberFormat="1" applyFont="1" applyFill="1" applyBorder="1" applyAlignment="1">
      <alignment horizontal="center" vertical="center"/>
    </xf>
    <xf numFmtId="10" fontId="35" fillId="13" borderId="0" xfId="1" applyNumberFormat="1" applyFont="1" applyFill="1" applyBorder="1" applyAlignment="1">
      <alignment horizontal="center" vertical="center"/>
    </xf>
    <xf numFmtId="0" fontId="41" fillId="0" borderId="0" xfId="0" applyFont="1"/>
    <xf numFmtId="180" fontId="41" fillId="13" borderId="0" xfId="0" applyNumberFormat="1" applyFont="1" applyFill="1" applyAlignment="1">
      <alignment horizontal="center" vertical="center"/>
    </xf>
    <xf numFmtId="181" fontId="41" fillId="13" borderId="0" xfId="0" applyNumberFormat="1" applyFont="1" applyFill="1" applyAlignment="1">
      <alignment horizontal="center" vertical="center"/>
    </xf>
    <xf numFmtId="180" fontId="41" fillId="13" borderId="0" xfId="1" quotePrefix="1" applyNumberFormat="1" applyFont="1" applyFill="1" applyAlignment="1">
      <alignment horizontal="center" vertical="center"/>
    </xf>
    <xf numFmtId="180" fontId="41" fillId="13" borderId="0" xfId="1" applyNumberFormat="1" applyFont="1" applyFill="1" applyAlignment="1">
      <alignment horizontal="center" vertical="center"/>
    </xf>
    <xf numFmtId="180" fontId="41" fillId="14" borderId="0" xfId="0" applyNumberFormat="1" applyFont="1" applyFill="1" applyAlignment="1">
      <alignment horizontal="center" vertical="center"/>
    </xf>
    <xf numFmtId="0" fontId="41" fillId="13" borderId="0" xfId="0" applyFont="1" applyFill="1" applyAlignment="1">
      <alignment horizontal="center" vertical="center"/>
    </xf>
    <xf numFmtId="0" fontId="41" fillId="13" borderId="0" xfId="0" applyFont="1" applyFill="1"/>
    <xf numFmtId="0" fontId="17" fillId="0" borderId="0" xfId="10" applyNumberFormat="1" applyFont="1" applyFill="1" applyBorder="1" applyAlignment="1"/>
    <xf numFmtId="10" fontId="0" fillId="0" borderId="0" xfId="1" applyNumberFormat="1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0" fontId="0" fillId="8" borderId="0" xfId="1" applyNumberFormat="1" applyFont="1" applyFill="1" applyAlignment="1">
      <alignment horizontal="center" vertical="center"/>
    </xf>
    <xf numFmtId="4" fontId="8" fillId="0" borderId="0" xfId="2" applyNumberFormat="1" applyFont="1" applyFill="1" applyAlignment="1">
      <alignment horizontal="center" vertical="center"/>
    </xf>
    <xf numFmtId="0" fontId="13" fillId="16" borderId="0" xfId="1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1">
    <cellStyle name="Currency 2" xfId="8" xr:uid="{BCEFECF1-850D-47A1-AF1C-973EA979CEB7}"/>
    <cellStyle name="Normal" xfId="0" builtinId="0"/>
    <cellStyle name="Normal 2 2" xfId="7" xr:uid="{F490F50B-F831-475B-B53F-BF46716CD124}"/>
    <cellStyle name="Normal 3" xfId="2" xr:uid="{41FE513B-2181-4715-919D-1E0CCA73628C}"/>
    <cellStyle name="Normal 3 2" xfId="6" xr:uid="{D7C433A5-4F21-4170-B715-0556367CC168}"/>
    <cellStyle name="Normal 3 3" xfId="10" xr:uid="{B170458C-8DF0-429E-A106-EA428DD8897B}"/>
    <cellStyle name="Normal 4" xfId="4" xr:uid="{96A18E37-2CE0-453D-B491-ABB7934673F1}"/>
    <cellStyle name="Percent" xfId="1" builtinId="5"/>
    <cellStyle name="Percent 2" xfId="5" xr:uid="{FDE56DB0-4B22-4885-817A-FF696E823F03}"/>
    <cellStyle name="Percent 2 2" xfId="9" xr:uid="{02D78A53-BEA0-4094-92F5-123E9863B1A5}"/>
    <cellStyle name="Percent 3" xfId="3" xr:uid="{6E0F6892-4329-4343-A390-87FC7C3E3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MOD!$B$8</c:f>
              <c:strCache>
                <c:ptCount val="1"/>
                <c:pt idx="0">
                  <c:v>Subscriptions and services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(MOD!$T$2:$W$2,MOD!$Y$2:$AB$2,MOD!$AD$2:$AE$2)</c:f>
            </c:multiLvlStrRef>
          </c:cat>
          <c:val>
            <c:numRef>
              <c:f>(MOD!$T$13:$W$13,MOD!$Y$13:$AB$13,MOD!$AD$14:$AE$14)</c:f>
            </c:numRef>
          </c:val>
          <c:extLst>
            <c:ext xmlns:c16="http://schemas.microsoft.com/office/drawing/2014/chart" uri="{C3380CC4-5D6E-409C-BE32-E72D297353CC}">
              <c16:uniqueId val="{00000000-8441-4712-9482-911E411D17BD}"/>
            </c:ext>
          </c:extLst>
        </c:ser>
        <c:ser>
          <c:idx val="1"/>
          <c:order val="1"/>
          <c:tx>
            <c:strRef>
              <c:f>MOD!$AF$16</c:f>
              <c:strCache>
                <c:ptCount val="1"/>
                <c:pt idx="0">
                  <c:v>Vmware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(MOD!$T$2:$W$2,MOD!$Y$2:$AB$2,MOD!$AD$2:$AE$2)</c:f>
            </c:multiLvlStrRef>
          </c:cat>
          <c:val>
            <c:numRef>
              <c:f>(MOD!$T$15:$W$15,MOD!$Y$15:$AB$15,MOD!$AD$16:$AE$16)</c:f>
            </c:numRef>
          </c:val>
          <c:extLst>
            <c:ext xmlns:c16="http://schemas.microsoft.com/office/drawing/2014/chart" uri="{C3380CC4-5D6E-409C-BE32-E72D297353CC}">
              <c16:uniqueId val="{00000001-8441-4712-9482-911E411D17B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10752216"/>
        <c:axId val="412586784"/>
      </c:barChart>
      <c:catAx>
        <c:axId val="410752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86784"/>
        <c:crosses val="autoZero"/>
        <c:auto val="1"/>
        <c:lblAlgn val="ctr"/>
        <c:lblOffset val="100"/>
        <c:noMultiLvlLbl val="0"/>
      </c:catAx>
      <c:valAx>
        <c:axId val="4125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52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Market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8F-4144-8196-20E66FE1CC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8F-4144-8196-20E66FE1CC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28F-4144-8196-20E66FE1CC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28F-4144-8196-20E66FE1CC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28F-4144-8196-20E66FE1CC6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28F-4144-8196-20E66FE1CC6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28F-4144-8196-20E66FE1CC6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28F-4144-8196-20E66FE1CC6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28F-4144-8196-20E66FE1CC6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428F-4144-8196-20E66FE1CC6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28F-4144-8196-20E66FE1CC6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28F-4144-8196-20E66FE1CC6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28F-4144-8196-20E66FE1CC6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428F-4144-8196-20E66FE1CC6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428F-4144-8196-20E66FE1CC62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428F-4144-8196-20E66FE1CC62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428F-4144-8196-20E66FE1CC62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428F-4144-8196-20E66FE1CC6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'AVGO Comps &amp; market share'!$D$54:$D$62</c:f>
              <c:strCache>
                <c:ptCount val="9"/>
                <c:pt idx="0">
                  <c:v>AVGO-US</c:v>
                </c:pt>
                <c:pt idx="1">
                  <c:v>AMD-US</c:v>
                </c:pt>
                <c:pt idx="2">
                  <c:v>INTC-US</c:v>
                </c:pt>
                <c:pt idx="3">
                  <c:v>NVDA-US</c:v>
                </c:pt>
                <c:pt idx="4">
                  <c:v>MRVL-US</c:v>
                </c:pt>
                <c:pt idx="5">
                  <c:v>ADI-US</c:v>
                </c:pt>
                <c:pt idx="6">
                  <c:v>GFS-US</c:v>
                </c:pt>
                <c:pt idx="7">
                  <c:v>TSM-US</c:v>
                </c:pt>
                <c:pt idx="8">
                  <c:v>CSCO-US</c:v>
                </c:pt>
              </c:strCache>
            </c:strRef>
          </c:cat>
          <c:val>
            <c:numRef>
              <c:f>'AVGO Comps &amp; market share'!$G$54:$G$62</c:f>
              <c:numCache>
                <c:formatCode>#,##0</c:formatCode>
                <c:ptCount val="9"/>
                <c:pt idx="0">
                  <c:v>35819</c:v>
                </c:pt>
                <c:pt idx="1">
                  <c:v>22680</c:v>
                </c:pt>
                <c:pt idx="2">
                  <c:v>54228</c:v>
                </c:pt>
                <c:pt idx="3">
                  <c:v>60922</c:v>
                </c:pt>
                <c:pt idx="4">
                  <c:v>5507.7</c:v>
                </c:pt>
                <c:pt idx="5">
                  <c:v>12305.539000000001</c:v>
                </c:pt>
                <c:pt idx="6">
                  <c:v>7392</c:v>
                </c:pt>
                <c:pt idx="7">
                  <c:v>69350.225288014102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8F-4144-8196-20E66FE1CC6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13-472C-8746-EA1FD6FDAD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13-472C-8746-EA1FD6FDAD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13-472C-8746-EA1FD6FDAD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913-472C-8746-EA1FD6FDAD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913-472C-8746-EA1FD6FDAD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913-472C-8746-EA1FD6FDADA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913-472C-8746-EA1FD6FDADA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913-472C-8746-EA1FD6FDAD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913-472C-8746-EA1FD6FDADA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C913-472C-8746-EA1FD6FDADA5}"/>
                </c:ext>
              </c:extLst>
            </c:dLbl>
            <c:dLbl>
              <c:idx val="2"/>
              <c:layout>
                <c:manualLayout>
                  <c:x val="8.6572933401826927E-3"/>
                  <c:y val="4.438963896893004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913-472C-8746-EA1FD6FDADA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913-472C-8746-EA1FD6FDADA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C913-472C-8746-EA1FD6FDADA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C913-472C-8746-EA1FD6FDADA5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C913-472C-8746-EA1FD6FDADA5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C913-472C-8746-EA1FD6FDADA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'AVGO Comps &amp; market share'!$D$54:$D$61</c:f>
              <c:strCache>
                <c:ptCount val="8"/>
                <c:pt idx="0">
                  <c:v>AVGO-US</c:v>
                </c:pt>
                <c:pt idx="1">
                  <c:v>AMD-US</c:v>
                </c:pt>
                <c:pt idx="2">
                  <c:v>INTC-US</c:v>
                </c:pt>
                <c:pt idx="3">
                  <c:v>NVDA-US</c:v>
                </c:pt>
                <c:pt idx="4">
                  <c:v>MRVL-US</c:v>
                </c:pt>
                <c:pt idx="5">
                  <c:v>ADI-US</c:v>
                </c:pt>
                <c:pt idx="6">
                  <c:v>GFS-US</c:v>
                </c:pt>
                <c:pt idx="7">
                  <c:v>TSM-US</c:v>
                </c:pt>
              </c:strCache>
            </c:strRef>
          </c:cat>
          <c:val>
            <c:numRef>
              <c:f>'AVGO Comps &amp; market share'!$K$54:$K$61</c:f>
              <c:numCache>
                <c:formatCode>#,##0</c:formatCode>
                <c:ptCount val="8"/>
                <c:pt idx="0">
                  <c:v>14082</c:v>
                </c:pt>
                <c:pt idx="1">
                  <c:v>854</c:v>
                </c:pt>
                <c:pt idx="2">
                  <c:v>1689</c:v>
                </c:pt>
                <c:pt idx="3">
                  <c:v>29760</c:v>
                </c:pt>
                <c:pt idx="4">
                  <c:v>-933.4</c:v>
                </c:pt>
                <c:pt idx="5">
                  <c:v>3314.5790000000002</c:v>
                </c:pt>
                <c:pt idx="6">
                  <c:v>1020</c:v>
                </c:pt>
                <c:pt idx="7">
                  <c:v>26899.679784637301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913-472C-8746-EA1FD6FDADA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'Semiconductor breakdown'!$A$2</c:f>
              <c:strCache>
                <c:ptCount val="1"/>
                <c:pt idx="0">
                  <c:v>networking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'Semiconductor breakdown'!$B$1:$O$1</c:f>
              <c:strCache>
                <c:ptCount val="14"/>
                <c:pt idx="0">
                  <c:v>Q1 21</c:v>
                </c:pt>
                <c:pt idx="1">
                  <c:v>Q2 21</c:v>
                </c:pt>
                <c:pt idx="2">
                  <c:v>Q3 21</c:v>
                </c:pt>
                <c:pt idx="3">
                  <c:v>Q4 21</c:v>
                </c:pt>
                <c:pt idx="4">
                  <c:v>Q1 22</c:v>
                </c:pt>
                <c:pt idx="5">
                  <c:v>Q2 22</c:v>
                </c:pt>
                <c:pt idx="6">
                  <c:v>Q3 22</c:v>
                </c:pt>
                <c:pt idx="7">
                  <c:v>Q4 22</c:v>
                </c:pt>
                <c:pt idx="8">
                  <c:v>Q1 23</c:v>
                </c:pt>
                <c:pt idx="9">
                  <c:v>Q2 23</c:v>
                </c:pt>
                <c:pt idx="10">
                  <c:v>Q3 23</c:v>
                </c:pt>
                <c:pt idx="11">
                  <c:v>Q4 23</c:v>
                </c:pt>
                <c:pt idx="12">
                  <c:v>Q1 24</c:v>
                </c:pt>
                <c:pt idx="13">
                  <c:v>Q2 24</c:v>
                </c:pt>
              </c:strCache>
            </c:strRef>
          </c:cat>
          <c:val>
            <c:numRef>
              <c:f>'Semiconductor breakdown'!$B$2:$O$2</c:f>
              <c:numCache>
                <c:formatCode>General</c:formatCode>
                <c:ptCount val="14"/>
                <c:pt idx="0">
                  <c:v>1420</c:v>
                </c:pt>
                <c:pt idx="1">
                  <c:v>1530</c:v>
                </c:pt>
                <c:pt idx="2">
                  <c:v>1800</c:v>
                </c:pt>
                <c:pt idx="3">
                  <c:v>1900</c:v>
                </c:pt>
                <c:pt idx="4">
                  <c:v>1900</c:v>
                </c:pt>
                <c:pt idx="5">
                  <c:v>2200</c:v>
                </c:pt>
                <c:pt idx="6">
                  <c:v>2300</c:v>
                </c:pt>
                <c:pt idx="7">
                  <c:v>2500</c:v>
                </c:pt>
                <c:pt idx="8">
                  <c:v>2300</c:v>
                </c:pt>
                <c:pt idx="9">
                  <c:v>2600</c:v>
                </c:pt>
                <c:pt idx="10">
                  <c:v>2800</c:v>
                </c:pt>
                <c:pt idx="11">
                  <c:v>3100</c:v>
                </c:pt>
                <c:pt idx="12">
                  <c:v>3300</c:v>
                </c:pt>
                <c:pt idx="13" formatCode="0.0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1-41EE-87F4-E0A590B7C682}"/>
            </c:ext>
          </c:extLst>
        </c:ser>
        <c:ser>
          <c:idx val="1"/>
          <c:order val="1"/>
          <c:tx>
            <c:strRef>
              <c:f>'Semiconductor breakdown'!$A$3</c:f>
              <c:strCache>
                <c:ptCount val="1"/>
                <c:pt idx="0">
                  <c:v>wireless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'Semiconductor breakdown'!$B$1:$O$1</c:f>
              <c:strCache>
                <c:ptCount val="14"/>
                <c:pt idx="0">
                  <c:v>Q1 21</c:v>
                </c:pt>
                <c:pt idx="1">
                  <c:v>Q2 21</c:v>
                </c:pt>
                <c:pt idx="2">
                  <c:v>Q3 21</c:v>
                </c:pt>
                <c:pt idx="3">
                  <c:v>Q4 21</c:v>
                </c:pt>
                <c:pt idx="4">
                  <c:v>Q1 22</c:v>
                </c:pt>
                <c:pt idx="5">
                  <c:v>Q2 22</c:v>
                </c:pt>
                <c:pt idx="6">
                  <c:v>Q3 22</c:v>
                </c:pt>
                <c:pt idx="7">
                  <c:v>Q4 22</c:v>
                </c:pt>
                <c:pt idx="8">
                  <c:v>Q1 23</c:v>
                </c:pt>
                <c:pt idx="9">
                  <c:v>Q2 23</c:v>
                </c:pt>
                <c:pt idx="10">
                  <c:v>Q3 23</c:v>
                </c:pt>
                <c:pt idx="11">
                  <c:v>Q4 23</c:v>
                </c:pt>
                <c:pt idx="12">
                  <c:v>Q1 24</c:v>
                </c:pt>
                <c:pt idx="13">
                  <c:v>Q2 24</c:v>
                </c:pt>
              </c:strCache>
            </c:strRef>
          </c:cat>
          <c:val>
            <c:numRef>
              <c:f>'Semiconductor breakdown'!$B$3:$O$3</c:f>
              <c:numCache>
                <c:formatCode>General</c:formatCode>
                <c:ptCount val="14"/>
                <c:pt idx="0">
                  <c:v>1960</c:v>
                </c:pt>
                <c:pt idx="1">
                  <c:v>1630</c:v>
                </c:pt>
                <c:pt idx="2">
                  <c:v>1400</c:v>
                </c:pt>
                <c:pt idx="3">
                  <c:v>1800</c:v>
                </c:pt>
                <c:pt idx="4">
                  <c:v>2000</c:v>
                </c:pt>
                <c:pt idx="5">
                  <c:v>1700</c:v>
                </c:pt>
                <c:pt idx="6">
                  <c:v>1600</c:v>
                </c:pt>
                <c:pt idx="7">
                  <c:v>2100</c:v>
                </c:pt>
                <c:pt idx="8">
                  <c:v>2100</c:v>
                </c:pt>
                <c:pt idx="9">
                  <c:v>1600</c:v>
                </c:pt>
                <c:pt idx="10">
                  <c:v>1600</c:v>
                </c:pt>
                <c:pt idx="11">
                  <c:v>2000</c:v>
                </c:pt>
                <c:pt idx="12">
                  <c:v>2000</c:v>
                </c:pt>
                <c:pt idx="13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1-41EE-87F4-E0A590B7C682}"/>
            </c:ext>
          </c:extLst>
        </c:ser>
        <c:ser>
          <c:idx val="2"/>
          <c:order val="2"/>
          <c:tx>
            <c:strRef>
              <c:f>'Semiconductor breakdown'!$A$4</c:f>
              <c:strCache>
                <c:ptCount val="1"/>
                <c:pt idx="0">
                  <c:v>server storage connectivity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'Semiconductor breakdown'!$B$1:$O$1</c:f>
              <c:strCache>
                <c:ptCount val="14"/>
                <c:pt idx="0">
                  <c:v>Q1 21</c:v>
                </c:pt>
                <c:pt idx="1">
                  <c:v>Q2 21</c:v>
                </c:pt>
                <c:pt idx="2">
                  <c:v>Q3 21</c:v>
                </c:pt>
                <c:pt idx="3">
                  <c:v>Q4 21</c:v>
                </c:pt>
                <c:pt idx="4">
                  <c:v>Q1 22</c:v>
                </c:pt>
                <c:pt idx="5">
                  <c:v>Q2 22</c:v>
                </c:pt>
                <c:pt idx="6">
                  <c:v>Q3 22</c:v>
                </c:pt>
                <c:pt idx="7">
                  <c:v>Q4 22</c:v>
                </c:pt>
                <c:pt idx="8">
                  <c:v>Q1 23</c:v>
                </c:pt>
                <c:pt idx="9">
                  <c:v>Q2 23</c:v>
                </c:pt>
                <c:pt idx="10">
                  <c:v>Q3 23</c:v>
                </c:pt>
                <c:pt idx="11">
                  <c:v>Q4 23</c:v>
                </c:pt>
                <c:pt idx="12">
                  <c:v>Q1 24</c:v>
                </c:pt>
                <c:pt idx="13">
                  <c:v>Q2 24</c:v>
                </c:pt>
              </c:strCache>
            </c:strRef>
          </c:cat>
          <c:val>
            <c:numRef>
              <c:f>'Semiconductor breakdown'!$B$4:$O$4</c:f>
              <c:numCache>
                <c:formatCode>General</c:formatCode>
                <c:ptCount val="14"/>
                <c:pt idx="0">
                  <c:v>588</c:v>
                </c:pt>
                <c:pt idx="1">
                  <c:v>576</c:v>
                </c:pt>
                <c:pt idx="2">
                  <c:v>673</c:v>
                </c:pt>
                <c:pt idx="3">
                  <c:v>815</c:v>
                </c:pt>
                <c:pt idx="4">
                  <c:v>801</c:v>
                </c:pt>
                <c:pt idx="5">
                  <c:v>939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1100</c:v>
                </c:pt>
                <c:pt idx="10">
                  <c:v>1100</c:v>
                </c:pt>
                <c:pt idx="11">
                  <c:v>1000</c:v>
                </c:pt>
                <c:pt idx="12">
                  <c:v>887</c:v>
                </c:pt>
                <c:pt idx="13" formatCode="0.0">
                  <c:v>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1-41EE-87F4-E0A590B7C682}"/>
            </c:ext>
          </c:extLst>
        </c:ser>
        <c:ser>
          <c:idx val="3"/>
          <c:order val="3"/>
          <c:tx>
            <c:strRef>
              <c:f>'Semiconductor breakdown'!$A$5</c:f>
              <c:strCache>
                <c:ptCount val="1"/>
                <c:pt idx="0">
                  <c:v>broadband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'Semiconductor breakdown'!$B$1:$O$1</c:f>
              <c:strCache>
                <c:ptCount val="14"/>
                <c:pt idx="0">
                  <c:v>Q1 21</c:v>
                </c:pt>
                <c:pt idx="1">
                  <c:v>Q2 21</c:v>
                </c:pt>
                <c:pt idx="2">
                  <c:v>Q3 21</c:v>
                </c:pt>
                <c:pt idx="3">
                  <c:v>Q4 21</c:v>
                </c:pt>
                <c:pt idx="4">
                  <c:v>Q1 22</c:v>
                </c:pt>
                <c:pt idx="5">
                  <c:v>Q2 22</c:v>
                </c:pt>
                <c:pt idx="6">
                  <c:v>Q3 22</c:v>
                </c:pt>
                <c:pt idx="7">
                  <c:v>Q4 22</c:v>
                </c:pt>
                <c:pt idx="8">
                  <c:v>Q1 23</c:v>
                </c:pt>
                <c:pt idx="9">
                  <c:v>Q2 23</c:v>
                </c:pt>
                <c:pt idx="10">
                  <c:v>Q3 23</c:v>
                </c:pt>
                <c:pt idx="11">
                  <c:v>Q4 23</c:v>
                </c:pt>
                <c:pt idx="12">
                  <c:v>Q1 24</c:v>
                </c:pt>
                <c:pt idx="13">
                  <c:v>Q2 24</c:v>
                </c:pt>
              </c:strCache>
            </c:strRef>
          </c:cat>
          <c:val>
            <c:numRef>
              <c:f>'Semiconductor breakdown'!$B$5:$O$5</c:f>
              <c:numCache>
                <c:formatCode>General</c:formatCode>
                <c:ptCount val="14"/>
                <c:pt idx="0">
                  <c:v>735</c:v>
                </c:pt>
                <c:pt idx="1">
                  <c:v>864</c:v>
                </c:pt>
                <c:pt idx="2">
                  <c:v>910</c:v>
                </c:pt>
                <c:pt idx="3">
                  <c:v>872</c:v>
                </c:pt>
                <c:pt idx="4">
                  <c:v>911</c:v>
                </c:pt>
                <c:pt idx="5">
                  <c:v>1100</c:v>
                </c:pt>
                <c:pt idx="6">
                  <c:v>1100</c:v>
                </c:pt>
                <c:pt idx="7">
                  <c:v>1000</c:v>
                </c:pt>
                <c:pt idx="8">
                  <c:v>1200</c:v>
                </c:pt>
                <c:pt idx="9">
                  <c:v>1200</c:v>
                </c:pt>
                <c:pt idx="10">
                  <c:v>1100</c:v>
                </c:pt>
                <c:pt idx="11">
                  <c:v>950</c:v>
                </c:pt>
                <c:pt idx="12">
                  <c:v>940</c:v>
                </c:pt>
                <c:pt idx="13" formatCode="0.0">
                  <c:v>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A1-41EE-87F4-E0A590B7C682}"/>
            </c:ext>
          </c:extLst>
        </c:ser>
        <c:ser>
          <c:idx val="4"/>
          <c:order val="4"/>
          <c:tx>
            <c:strRef>
              <c:f>'Semiconductor breakdown'!$A$6</c:f>
              <c:strCache>
                <c:ptCount val="1"/>
                <c:pt idx="0">
                  <c:v>industrial 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'Semiconductor breakdown'!$B$1:$O$1</c:f>
              <c:strCache>
                <c:ptCount val="14"/>
                <c:pt idx="0">
                  <c:v>Q1 21</c:v>
                </c:pt>
                <c:pt idx="1">
                  <c:v>Q2 21</c:v>
                </c:pt>
                <c:pt idx="2">
                  <c:v>Q3 21</c:v>
                </c:pt>
                <c:pt idx="3">
                  <c:v>Q4 21</c:v>
                </c:pt>
                <c:pt idx="4">
                  <c:v>Q1 22</c:v>
                </c:pt>
                <c:pt idx="5">
                  <c:v>Q2 22</c:v>
                </c:pt>
                <c:pt idx="6">
                  <c:v>Q3 22</c:v>
                </c:pt>
                <c:pt idx="7">
                  <c:v>Q4 22</c:v>
                </c:pt>
                <c:pt idx="8">
                  <c:v>Q1 23</c:v>
                </c:pt>
                <c:pt idx="9">
                  <c:v>Q2 23</c:v>
                </c:pt>
                <c:pt idx="10">
                  <c:v>Q3 23</c:v>
                </c:pt>
                <c:pt idx="11">
                  <c:v>Q4 23</c:v>
                </c:pt>
                <c:pt idx="12">
                  <c:v>Q1 24</c:v>
                </c:pt>
                <c:pt idx="13">
                  <c:v>Q2 24</c:v>
                </c:pt>
              </c:strCache>
            </c:strRef>
          </c:cat>
          <c:val>
            <c:numRef>
              <c:f>'Semiconductor breakdown'!$B$6:$O$6</c:f>
              <c:numCache>
                <c:formatCode>General</c:formatCode>
                <c:ptCount val="14"/>
                <c:pt idx="0">
                  <c:v>196</c:v>
                </c:pt>
                <c:pt idx="1">
                  <c:v>192</c:v>
                </c:pt>
                <c:pt idx="2">
                  <c:v>205</c:v>
                </c:pt>
                <c:pt idx="3">
                  <c:v>197</c:v>
                </c:pt>
                <c:pt idx="4">
                  <c:v>243</c:v>
                </c:pt>
                <c:pt idx="5">
                  <c:v>254</c:v>
                </c:pt>
                <c:pt idx="6">
                  <c:v>244</c:v>
                </c:pt>
                <c:pt idx="7">
                  <c:v>234</c:v>
                </c:pt>
                <c:pt idx="8">
                  <c:v>229</c:v>
                </c:pt>
                <c:pt idx="9">
                  <c:v>260</c:v>
                </c:pt>
                <c:pt idx="10">
                  <c:v>236</c:v>
                </c:pt>
                <c:pt idx="11">
                  <c:v>236</c:v>
                </c:pt>
                <c:pt idx="12">
                  <c:v>215</c:v>
                </c:pt>
                <c:pt idx="13" formatCode="0.0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A1-41EE-87F4-E0A590B7C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00721423"/>
        <c:axId val="2000721903"/>
      </c:barChart>
      <c:catAx>
        <c:axId val="20007214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721903"/>
        <c:crosses val="autoZero"/>
        <c:auto val="1"/>
        <c:lblAlgn val="ctr"/>
        <c:lblOffset val="100"/>
        <c:noMultiLvlLbl val="0"/>
      </c:catAx>
      <c:valAx>
        <c:axId val="20007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72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95249</xdr:colOff>
      <xdr:row>4</xdr:row>
      <xdr:rowOff>41275</xdr:rowOff>
    </xdr:from>
    <xdr:to>
      <xdr:col>48</xdr:col>
      <xdr:colOff>178593</xdr:colOff>
      <xdr:row>33</xdr:row>
      <xdr:rowOff>130969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864C3E-4C40-42C8-A4D7-D78AC104E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530678</xdr:colOff>
      <xdr:row>52</xdr:row>
      <xdr:rowOff>97971</xdr:rowOff>
    </xdr:from>
    <xdr:to>
      <xdr:col>24</xdr:col>
      <xdr:colOff>754441</xdr:colOff>
      <xdr:row>73</xdr:row>
      <xdr:rowOff>188988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7AF9A-A29D-4A06-869B-47DD6D933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612321</xdr:colOff>
      <xdr:row>72</xdr:row>
      <xdr:rowOff>54429</xdr:rowOff>
    </xdr:from>
    <xdr:to>
      <xdr:col>13</xdr:col>
      <xdr:colOff>822477</xdr:colOff>
      <xdr:row>93</xdr:row>
      <xdr:rowOff>145446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89EE80-7A96-465B-8B06-1CFBB6F6B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11</xdr:row>
      <xdr:rowOff>61912</xdr:rowOff>
    </xdr:from>
    <xdr:to>
      <xdr:col>22</xdr:col>
      <xdr:colOff>28575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8372A-41AF-CCC8-2258-A80651437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15</xdr:row>
      <xdr:rowOff>114300</xdr:rowOff>
    </xdr:from>
    <xdr:to>
      <xdr:col>23</xdr:col>
      <xdr:colOff>429957</xdr:colOff>
      <xdr:row>26</xdr:row>
      <xdr:rowOff>28856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7230BA-5D77-4E45-8936-51D6148C1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2971800"/>
          <a:ext cx="9545382" cy="2010056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0</xdr:row>
      <xdr:rowOff>133350</xdr:rowOff>
    </xdr:from>
    <xdr:to>
      <xdr:col>23</xdr:col>
      <xdr:colOff>420432</xdr:colOff>
      <xdr:row>15</xdr:row>
      <xdr:rowOff>86117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6ACCCF-C49D-4A21-8AF6-6C0ECC60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133350"/>
          <a:ext cx="9545382" cy="2810267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26</xdr:row>
      <xdr:rowOff>114300</xdr:rowOff>
    </xdr:from>
    <xdr:to>
      <xdr:col>20</xdr:col>
      <xdr:colOff>524962</xdr:colOff>
      <xdr:row>45</xdr:row>
      <xdr:rowOff>10016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E41C2E-E49D-438E-9D9A-B091D849D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24425" y="5067300"/>
          <a:ext cx="7792537" cy="351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7AE1-E8A7-4985-879C-F0B22D265147}">
  <dimension ref="A1:B1"/>
  <sheetViews>
    <sheetView workbookViewId="0"/>
  </sheetViews>
  <sheetFormatPr defaultRowHeight="15" x14ac:dyDescent="0.25"/>
  <sheetData>
    <row r="1" spans="1:2" x14ac:dyDescent="0.25">
      <c r="B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914C-1DAA-491F-816B-5952FB3E961F}">
  <sheetPr>
    <tabColor theme="0" tint="-0.499984740745262"/>
  </sheetPr>
  <dimension ref="A1:AQ92"/>
  <sheetViews>
    <sheetView tabSelected="1" zoomScale="80" zoomScaleNormal="80" workbookViewId="0">
      <pane xSplit="3" ySplit="4" topLeftCell="I5" activePane="bottomRight" state="frozen"/>
      <selection activeCell="B27" sqref="B27"/>
      <selection pane="topRight" activeCell="B27" sqref="B27"/>
      <selection pane="bottomLeft" activeCell="B27" sqref="B27"/>
      <selection pane="bottomRight" activeCell="AG9" sqref="AG9"/>
    </sheetView>
  </sheetViews>
  <sheetFormatPr defaultColWidth="8.85546875" defaultRowHeight="15" outlineLevelCol="1" x14ac:dyDescent="0.25"/>
  <cols>
    <col min="1" max="1" width="1.7109375" customWidth="1"/>
    <col min="2" max="2" width="69.28515625" customWidth="1"/>
    <col min="3" max="3" width="2" customWidth="1"/>
    <col min="4" max="4" width="1.7109375" hidden="1" customWidth="1" outlineLevel="1"/>
    <col min="5" max="6" width="11.42578125" hidden="1" customWidth="1" outlineLevel="1"/>
    <col min="7" max="7" width="12.42578125" hidden="1" customWidth="1" outlineLevel="1"/>
    <col min="8" max="8" width="12.28515625" hidden="1" customWidth="1" outlineLevel="1"/>
    <col min="9" max="9" width="12.42578125" customWidth="1" collapsed="1"/>
    <col min="10" max="13" width="12.140625" hidden="1" customWidth="1" outlineLevel="1"/>
    <col min="14" max="14" width="12.42578125" bestFit="1" customWidth="1" collapsed="1"/>
    <col min="15" max="18" width="12.140625" customWidth="1" outlineLevel="1"/>
    <col min="19" max="19" width="13.140625" bestFit="1" customWidth="1"/>
    <col min="20" max="23" width="12.28515625" customWidth="1" outlineLevel="1"/>
    <col min="24" max="24" width="12.42578125" bestFit="1" customWidth="1"/>
    <col min="25" max="28" width="12.28515625" customWidth="1" outlineLevel="1"/>
    <col min="29" max="29" width="12.42578125" bestFit="1" customWidth="1"/>
    <col min="30" max="33" width="12.28515625" customWidth="1" outlineLevel="1"/>
    <col min="34" max="36" width="12.85546875" bestFit="1" customWidth="1"/>
  </cols>
  <sheetData>
    <row r="1" spans="1:43" s="1" customFormat="1" x14ac:dyDescent="0.25">
      <c r="B1" s="73" t="s">
        <v>199</v>
      </c>
      <c r="C1" s="74"/>
      <c r="E1" s="75"/>
      <c r="F1" s="75"/>
      <c r="G1" s="75"/>
      <c r="H1" s="75"/>
      <c r="I1" s="76"/>
      <c r="J1" s="75"/>
      <c r="K1" s="75"/>
      <c r="L1" s="75"/>
      <c r="M1" s="75"/>
      <c r="N1" s="76"/>
      <c r="O1" s="75"/>
      <c r="P1" s="75"/>
      <c r="Q1" s="75"/>
      <c r="R1" s="75"/>
      <c r="S1" s="76"/>
      <c r="T1" s="75"/>
      <c r="U1" s="75"/>
      <c r="V1" s="75"/>
      <c r="W1" s="75"/>
      <c r="X1" s="76"/>
      <c r="Y1" s="75"/>
      <c r="Z1" s="75"/>
      <c r="AA1" s="75"/>
      <c r="AB1" s="75"/>
      <c r="AC1" s="76"/>
      <c r="AD1" s="75"/>
      <c r="AE1" s="75"/>
      <c r="AF1" s="75"/>
      <c r="AG1" s="75"/>
      <c r="AH1" s="76"/>
      <c r="AI1" s="76"/>
      <c r="AJ1" s="76"/>
      <c r="AK1"/>
      <c r="AL1"/>
      <c r="AM1"/>
      <c r="AN1"/>
      <c r="AO1"/>
      <c r="AP1"/>
      <c r="AQ1"/>
    </row>
    <row r="2" spans="1:43" x14ac:dyDescent="0.25">
      <c r="B2" s="1" t="s">
        <v>49</v>
      </c>
      <c r="C2" s="1"/>
      <c r="D2" s="77"/>
      <c r="E2" s="77" t="s">
        <v>50</v>
      </c>
      <c r="F2" s="77" t="s">
        <v>51</v>
      </c>
      <c r="G2" s="77" t="s">
        <v>52</v>
      </c>
      <c r="H2" s="77" t="s">
        <v>53</v>
      </c>
      <c r="I2" s="78">
        <v>2019</v>
      </c>
      <c r="J2" s="77" t="s">
        <v>54</v>
      </c>
      <c r="K2" s="77" t="s">
        <v>55</v>
      </c>
      <c r="L2" s="77" t="s">
        <v>56</v>
      </c>
      <c r="M2" s="77" t="s">
        <v>57</v>
      </c>
      <c r="N2" s="78">
        <v>2020</v>
      </c>
      <c r="O2" s="130" t="s">
        <v>58</v>
      </c>
      <c r="P2" s="130" t="s">
        <v>59</v>
      </c>
      <c r="Q2" s="130" t="s">
        <v>60</v>
      </c>
      <c r="R2" s="130" t="s">
        <v>61</v>
      </c>
      <c r="S2" s="78">
        <v>2021</v>
      </c>
      <c r="T2" s="77" t="s">
        <v>62</v>
      </c>
      <c r="U2" s="77" t="s">
        <v>63</v>
      </c>
      <c r="V2" s="77" t="s">
        <v>64</v>
      </c>
      <c r="W2" s="77" t="s">
        <v>65</v>
      </c>
      <c r="X2" s="78">
        <v>2022</v>
      </c>
      <c r="Y2" s="77" t="s">
        <v>66</v>
      </c>
      <c r="Z2" s="77" t="s">
        <v>67</v>
      </c>
      <c r="AA2" s="77" t="s">
        <v>68</v>
      </c>
      <c r="AB2" s="77" t="s">
        <v>69</v>
      </c>
      <c r="AC2" s="78">
        <v>2023</v>
      </c>
      <c r="AD2" s="130" t="s">
        <v>70</v>
      </c>
      <c r="AE2" s="130" t="s">
        <v>71</v>
      </c>
      <c r="AF2" s="130" t="s">
        <v>72</v>
      </c>
      <c r="AG2" s="130" t="s">
        <v>73</v>
      </c>
      <c r="AH2" s="78" t="s">
        <v>74</v>
      </c>
      <c r="AI2" s="78" t="s">
        <v>75</v>
      </c>
      <c r="AJ2" s="78" t="s">
        <v>76</v>
      </c>
    </row>
    <row r="3" spans="1:43" x14ac:dyDescent="0.25">
      <c r="A3" s="79"/>
      <c r="B3" s="80" t="s">
        <v>77</v>
      </c>
      <c r="C3" s="80"/>
      <c r="D3" s="81"/>
      <c r="E3" s="81">
        <v>43555</v>
      </c>
      <c r="F3" s="81">
        <f>EOMONTH(E3,3)</f>
        <v>43646</v>
      </c>
      <c r="G3" s="81">
        <f>EOMONTH(F3,3)</f>
        <v>43738</v>
      </c>
      <c r="H3" s="81">
        <f>EOMONTH(G3,3)</f>
        <v>43830</v>
      </c>
      <c r="I3" s="82">
        <f>+H3</f>
        <v>43830</v>
      </c>
      <c r="J3" s="83">
        <f>EOMONTH(I3,3)</f>
        <v>43921</v>
      </c>
      <c r="K3" s="83">
        <f>EOMONTH(J3,3)</f>
        <v>44012</v>
      </c>
      <c r="L3" s="83">
        <f>EOMONTH(K3,3)</f>
        <v>44104</v>
      </c>
      <c r="M3" s="83">
        <f>EOMONTH(L3,3)</f>
        <v>44196</v>
      </c>
      <c r="N3" s="84">
        <f>+M3</f>
        <v>44196</v>
      </c>
      <c r="O3" s="83">
        <f>EOMONTH(N3,3)</f>
        <v>44286</v>
      </c>
      <c r="P3" s="83">
        <f>EOMONTH(O3,3)</f>
        <v>44377</v>
      </c>
      <c r="Q3" s="83">
        <f>EOMONTH(P3,3)</f>
        <v>44469</v>
      </c>
      <c r="R3" s="83">
        <f>EOMONTH(Q3,3)</f>
        <v>44561</v>
      </c>
      <c r="S3" s="84">
        <f>+R3</f>
        <v>44561</v>
      </c>
      <c r="T3" s="83">
        <f>EOMONTH(S3,3)</f>
        <v>44651</v>
      </c>
      <c r="U3" s="83">
        <f>EOMONTH(T3,3)</f>
        <v>44742</v>
      </c>
      <c r="V3" s="85">
        <f>EOMONTH(U3,3)</f>
        <v>44834</v>
      </c>
      <c r="W3" s="85">
        <f>EOMONTH(V3,3)</f>
        <v>44926</v>
      </c>
      <c r="X3" s="86">
        <f>+EOMONTH(S3,12)</f>
        <v>44926</v>
      </c>
      <c r="Y3" s="83">
        <f>EOMONTH(W3,3)</f>
        <v>45016</v>
      </c>
      <c r="Z3" s="83">
        <f>EOMONTH(Y3,3)</f>
        <v>45107</v>
      </c>
      <c r="AA3" s="85">
        <f>EOMONTH(Z3,3)</f>
        <v>45199</v>
      </c>
      <c r="AB3" s="85">
        <f>EOMONTH(AA3,3)</f>
        <v>45291</v>
      </c>
      <c r="AC3" s="86">
        <f>+EOMONTH(X3,12)</f>
        <v>45291</v>
      </c>
      <c r="AD3" s="83">
        <f>EOMONTH(AB3,3)</f>
        <v>45382</v>
      </c>
      <c r="AE3" s="83">
        <f>EOMONTH(AD3,3)</f>
        <v>45473</v>
      </c>
      <c r="AF3" s="85">
        <f>EOMONTH(AE3,3)</f>
        <v>45565</v>
      </c>
      <c r="AG3" s="85">
        <f>EOMONTH(AF3,3)</f>
        <v>45657</v>
      </c>
      <c r="AH3" s="87">
        <f>+EOMONTH(AC3,12)</f>
        <v>45657</v>
      </c>
      <c r="AI3" s="87">
        <f>+EOMONTH(AG3,12)</f>
        <v>46022</v>
      </c>
      <c r="AJ3" s="87">
        <f>+EOMONTH(AH3,12)</f>
        <v>46022</v>
      </c>
    </row>
    <row r="4" spans="1:43" x14ac:dyDescent="0.25">
      <c r="B4" s="88" t="s">
        <v>78</v>
      </c>
      <c r="C4" s="88"/>
      <c r="E4" s="89">
        <v>90</v>
      </c>
      <c r="F4" s="89">
        <f>+F3-E3</f>
        <v>91</v>
      </c>
      <c r="G4" s="89">
        <f>+G3-F3</f>
        <v>92</v>
      </c>
      <c r="H4" s="89">
        <f>+H3-G3</f>
        <v>92</v>
      </c>
      <c r="I4" s="90">
        <v>365</v>
      </c>
      <c r="J4" s="91">
        <f>+J3-I3</f>
        <v>91</v>
      </c>
      <c r="K4" s="91">
        <f>+K3-J3</f>
        <v>91</v>
      </c>
      <c r="L4" s="91">
        <f>+L3-K3</f>
        <v>92</v>
      </c>
      <c r="M4" s="91">
        <f>+M3-L3</f>
        <v>92</v>
      </c>
      <c r="N4" s="92">
        <f>+N3-I3</f>
        <v>366</v>
      </c>
      <c r="O4" s="91">
        <f>+O3-N3</f>
        <v>90</v>
      </c>
      <c r="P4" s="91">
        <f>+P3-O3</f>
        <v>91</v>
      </c>
      <c r="Q4" s="91">
        <f>+Q3-P3</f>
        <v>92</v>
      </c>
      <c r="R4" s="91">
        <f>+R3-Q3</f>
        <v>92</v>
      </c>
      <c r="S4" s="92">
        <f>+S3-N3</f>
        <v>365</v>
      </c>
      <c r="T4" s="91">
        <f>+T3-S3</f>
        <v>90</v>
      </c>
      <c r="U4" s="91">
        <f>+U3-T3</f>
        <v>91</v>
      </c>
      <c r="V4" s="93">
        <f>+V3-U3</f>
        <v>92</v>
      </c>
      <c r="W4" s="93">
        <f>+W3-V3</f>
        <v>92</v>
      </c>
      <c r="X4" s="94">
        <f>X3-S3</f>
        <v>365</v>
      </c>
      <c r="Y4" s="91">
        <f>+Y3-W3</f>
        <v>90</v>
      </c>
      <c r="Z4" s="91">
        <f>+Z3-Y3</f>
        <v>91</v>
      </c>
      <c r="AA4" s="93">
        <f>+AA3-Z3</f>
        <v>92</v>
      </c>
      <c r="AB4" s="93">
        <f>+AB3-AA3</f>
        <v>92</v>
      </c>
      <c r="AC4" s="94">
        <f>AC3-X3</f>
        <v>365</v>
      </c>
      <c r="AD4" s="91">
        <f>+AD3-AB3</f>
        <v>91</v>
      </c>
      <c r="AE4" s="91">
        <f>+AE3-AD3</f>
        <v>91</v>
      </c>
      <c r="AF4" s="93">
        <f>+AF3-AE3</f>
        <v>92</v>
      </c>
      <c r="AG4" s="93">
        <f>+AG3-AF3</f>
        <v>92</v>
      </c>
      <c r="AH4" s="95">
        <f>AH3-AC3</f>
        <v>366</v>
      </c>
      <c r="AI4" s="95">
        <f>AI3-AG3</f>
        <v>365</v>
      </c>
      <c r="AJ4" s="95">
        <f>AJ3-AH3</f>
        <v>365</v>
      </c>
    </row>
    <row r="5" spans="1:43" x14ac:dyDescent="0.25">
      <c r="A5" s="96"/>
      <c r="B5" s="96" t="s">
        <v>79</v>
      </c>
      <c r="C5" s="96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8"/>
      <c r="W5" s="98"/>
      <c r="X5" s="97"/>
      <c r="Y5" s="97"/>
      <c r="Z5" s="97"/>
      <c r="AA5" s="98"/>
      <c r="AB5" s="98"/>
      <c r="AC5" s="97"/>
      <c r="AD5" s="97"/>
      <c r="AE5" s="97"/>
      <c r="AF5" s="98"/>
      <c r="AG5" s="98"/>
      <c r="AH5" s="97"/>
      <c r="AI5" s="97"/>
      <c r="AJ5" s="97"/>
    </row>
    <row r="6" spans="1:43" x14ac:dyDescent="0.25">
      <c r="B6" t="s">
        <v>197</v>
      </c>
      <c r="C6" s="88"/>
      <c r="E6" s="89"/>
      <c r="F6" s="89"/>
      <c r="G6" s="89"/>
      <c r="H6" s="89"/>
      <c r="I6" s="136">
        <v>18117</v>
      </c>
      <c r="J6" s="135"/>
      <c r="K6" s="135"/>
      <c r="L6" s="135"/>
      <c r="M6" s="135"/>
      <c r="N6" s="136">
        <v>17435</v>
      </c>
      <c r="O6" s="135">
        <v>5081</v>
      </c>
      <c r="P6" s="135">
        <v>4983</v>
      </c>
      <c r="Q6" s="135">
        <v>5064</v>
      </c>
      <c r="R6" s="135">
        <f>S6-Q6-P6-O6</f>
        <v>5758</v>
      </c>
      <c r="S6" s="136">
        <v>20886</v>
      </c>
      <c r="T6" s="135">
        <v>6053</v>
      </c>
      <c r="U6" s="135">
        <v>6417</v>
      </c>
      <c r="V6" s="135">
        <v>6627</v>
      </c>
      <c r="W6" s="135">
        <f>X6-V6-U6-T6</f>
        <v>7180</v>
      </c>
      <c r="X6" s="136">
        <v>26277</v>
      </c>
      <c r="Y6" s="135">
        <v>7082</v>
      </c>
      <c r="Z6" s="135">
        <v>6741</v>
      </c>
      <c r="AA6" s="135">
        <v>6917</v>
      </c>
      <c r="AB6" s="135">
        <f>AC6-AA6-Z6-Y6</f>
        <v>7151</v>
      </c>
      <c r="AC6" s="136">
        <v>27891</v>
      </c>
      <c r="AD6" s="135">
        <v>7412</v>
      </c>
      <c r="AE6" s="135">
        <v>7192</v>
      </c>
      <c r="AF6" s="135"/>
      <c r="AG6" s="135"/>
      <c r="AH6" s="136"/>
      <c r="AI6" s="136"/>
      <c r="AJ6" s="136"/>
    </row>
    <row r="7" spans="1:43" x14ac:dyDescent="0.25">
      <c r="B7" t="s">
        <v>145</v>
      </c>
      <c r="C7" s="88"/>
      <c r="E7" s="89"/>
      <c r="F7" s="89"/>
      <c r="G7" s="89"/>
      <c r="H7" s="89"/>
      <c r="I7" s="136">
        <v>4480</v>
      </c>
      <c r="J7" s="135"/>
      <c r="K7" s="135"/>
      <c r="L7" s="135"/>
      <c r="M7" s="135"/>
      <c r="N7" s="136">
        <v>6453</v>
      </c>
      <c r="O7" s="135">
        <v>1574</v>
      </c>
      <c r="P7" s="135">
        <v>1627</v>
      </c>
      <c r="Q7" s="135">
        <v>1714</v>
      </c>
      <c r="R7" s="135">
        <f t="shared" ref="R7:R8" si="0">S7-Q7-P7-O7</f>
        <v>1649</v>
      </c>
      <c r="S7" s="136">
        <v>6564</v>
      </c>
      <c r="T7" s="135">
        <v>1653</v>
      </c>
      <c r="U7" s="135">
        <v>1686</v>
      </c>
      <c r="V7" s="135">
        <v>1837</v>
      </c>
      <c r="W7" s="135">
        <f t="shared" ref="W7:W8" si="1">X7-V7-U7-T7</f>
        <v>1750</v>
      </c>
      <c r="X7" s="136">
        <v>6926</v>
      </c>
      <c r="Y7" s="135">
        <v>1833</v>
      </c>
      <c r="Z7" s="135">
        <v>1992</v>
      </c>
      <c r="AA7" s="135">
        <v>1959</v>
      </c>
      <c r="AB7" s="135">
        <f t="shared" ref="AB7:AB8" si="2">AC7-AA7-Z7-Y7</f>
        <v>2144</v>
      </c>
      <c r="AC7" s="136">
        <v>7928</v>
      </c>
      <c r="AD7" s="135">
        <v>4549</v>
      </c>
      <c r="AE7" s="135">
        <v>5295</v>
      </c>
      <c r="AF7" s="135"/>
      <c r="AG7" s="135"/>
      <c r="AH7" s="136"/>
      <c r="AI7" s="136"/>
      <c r="AJ7" s="136"/>
    </row>
    <row r="8" spans="1:43" s="1" customFormat="1" x14ac:dyDescent="0.25">
      <c r="B8" s="1" t="s">
        <v>80</v>
      </c>
      <c r="C8" s="99"/>
      <c r="E8" s="100"/>
      <c r="F8" s="100"/>
      <c r="G8" s="100"/>
      <c r="H8" s="100"/>
      <c r="I8" s="140">
        <v>22597</v>
      </c>
      <c r="J8" s="141"/>
      <c r="K8" s="141"/>
      <c r="L8" s="141"/>
      <c r="M8" s="141"/>
      <c r="N8" s="140">
        <v>23888</v>
      </c>
      <c r="O8" s="141">
        <v>6655</v>
      </c>
      <c r="P8" s="141">
        <v>6610</v>
      </c>
      <c r="Q8" s="141">
        <v>6778</v>
      </c>
      <c r="R8" s="141">
        <f t="shared" si="0"/>
        <v>7407</v>
      </c>
      <c r="S8" s="140">
        <v>27450</v>
      </c>
      <c r="T8" s="141">
        <v>7706</v>
      </c>
      <c r="U8" s="141">
        <v>8103</v>
      </c>
      <c r="V8" s="141">
        <v>8464</v>
      </c>
      <c r="W8" s="141">
        <f t="shared" si="1"/>
        <v>8930</v>
      </c>
      <c r="X8" s="140">
        <v>33203</v>
      </c>
      <c r="Y8" s="141">
        <v>8915</v>
      </c>
      <c r="Z8" s="141">
        <v>8733</v>
      </c>
      <c r="AA8" s="141">
        <v>8876</v>
      </c>
      <c r="AB8" s="141">
        <f t="shared" si="2"/>
        <v>9295</v>
      </c>
      <c r="AC8" s="140">
        <v>35819</v>
      </c>
      <c r="AD8" s="141">
        <v>11961</v>
      </c>
      <c r="AE8" s="141">
        <v>12487</v>
      </c>
      <c r="AF8" s="141"/>
      <c r="AG8" s="141"/>
      <c r="AH8" s="140"/>
      <c r="AI8" s="140"/>
      <c r="AJ8" s="140"/>
    </row>
    <row r="9" spans="1:43" x14ac:dyDescent="0.25">
      <c r="B9" s="1" t="s">
        <v>146</v>
      </c>
      <c r="C9" s="88"/>
      <c r="E9" s="89"/>
      <c r="F9" s="89"/>
      <c r="G9" s="89"/>
      <c r="H9" s="89"/>
      <c r="I9" s="136"/>
      <c r="J9" s="135"/>
      <c r="K9" s="135"/>
      <c r="L9" s="135"/>
      <c r="M9" s="135"/>
      <c r="N9" s="136"/>
      <c r="O9" s="135"/>
      <c r="P9" s="135"/>
      <c r="Q9" s="135"/>
      <c r="R9" s="135"/>
      <c r="S9" s="136"/>
      <c r="T9" s="135"/>
      <c r="U9" s="135"/>
      <c r="V9" s="135"/>
      <c r="W9" s="135"/>
      <c r="X9" s="136"/>
      <c r="Y9" s="135"/>
      <c r="Z9" s="135"/>
      <c r="AA9" s="135"/>
      <c r="AB9" s="135"/>
      <c r="AC9" s="136"/>
      <c r="AD9" s="135"/>
      <c r="AE9" s="135"/>
      <c r="AF9" s="135"/>
      <c r="AG9" s="135"/>
      <c r="AH9" s="136"/>
      <c r="AI9" s="136"/>
      <c r="AJ9" s="136"/>
    </row>
    <row r="10" spans="1:43" x14ac:dyDescent="0.25">
      <c r="B10" t="s">
        <v>147</v>
      </c>
      <c r="C10" s="88"/>
      <c r="E10" s="89"/>
      <c r="F10" s="89"/>
      <c r="G10" s="89"/>
      <c r="H10" s="89"/>
      <c r="I10" s="136">
        <v>6208</v>
      </c>
      <c r="J10" s="135"/>
      <c r="K10" s="135"/>
      <c r="L10" s="135"/>
      <c r="M10" s="135"/>
      <c r="N10" s="136">
        <v>5892</v>
      </c>
      <c r="O10" s="135">
        <v>1672</v>
      </c>
      <c r="P10" s="135">
        <v>1548</v>
      </c>
      <c r="Q10" s="135">
        <v>1572</v>
      </c>
      <c r="R10" s="135">
        <f t="shared" ref="R10:R15" si="3">S10-Q10-P10-O10</f>
        <v>1763</v>
      </c>
      <c r="S10" s="136">
        <v>6555</v>
      </c>
      <c r="T10" s="135">
        <v>1769</v>
      </c>
      <c r="U10" s="135">
        <v>1798</v>
      </c>
      <c r="V10" s="135">
        <v>1921</v>
      </c>
      <c r="W10" s="135">
        <f t="shared" ref="W10:W15" si="4">X10-V10-U10-T10</f>
        <v>2141</v>
      </c>
      <c r="X10" s="136">
        <v>7629</v>
      </c>
      <c r="Y10" s="135">
        <v>2225</v>
      </c>
      <c r="Z10" s="135">
        <v>2019</v>
      </c>
      <c r="AA10" s="135">
        <v>2107</v>
      </c>
      <c r="AB10" s="135">
        <f t="shared" ref="AB10:AB14" si="5">AC10-AA10-Z10-Y10</f>
        <v>2285</v>
      </c>
      <c r="AC10" s="136">
        <v>8636</v>
      </c>
      <c r="AD10" s="135">
        <v>2160</v>
      </c>
      <c r="AE10" s="135">
        <v>2429</v>
      </c>
      <c r="AF10" s="135"/>
      <c r="AG10" s="135"/>
      <c r="AH10" s="136"/>
      <c r="AI10" s="136"/>
      <c r="AJ10" s="136"/>
    </row>
    <row r="11" spans="1:43" x14ac:dyDescent="0.25">
      <c r="B11" s="134" t="s">
        <v>148</v>
      </c>
      <c r="C11" s="88"/>
      <c r="E11" s="89"/>
      <c r="F11" s="89"/>
      <c r="G11" s="89"/>
      <c r="H11" s="89"/>
      <c r="I11" s="136">
        <v>515</v>
      </c>
      <c r="J11" s="135"/>
      <c r="K11" s="135"/>
      <c r="L11" s="135"/>
      <c r="M11" s="135"/>
      <c r="N11" s="136">
        <v>626</v>
      </c>
      <c r="O11" s="135">
        <v>142</v>
      </c>
      <c r="P11" s="135">
        <v>151</v>
      </c>
      <c r="Q11" s="135">
        <v>157</v>
      </c>
      <c r="R11" s="135">
        <f t="shared" si="3"/>
        <v>157</v>
      </c>
      <c r="S11" s="136">
        <v>607</v>
      </c>
      <c r="T11" s="135">
        <v>156</v>
      </c>
      <c r="U11" s="135">
        <v>158</v>
      </c>
      <c r="V11" s="135">
        <v>156</v>
      </c>
      <c r="W11" s="135">
        <f t="shared" si="4"/>
        <v>157</v>
      </c>
      <c r="X11" s="136">
        <v>627</v>
      </c>
      <c r="Y11" s="135">
        <v>149</v>
      </c>
      <c r="Z11" s="135">
        <v>158</v>
      </c>
      <c r="AA11" s="135">
        <v>165</v>
      </c>
      <c r="AB11" s="135">
        <f t="shared" si="5"/>
        <v>164</v>
      </c>
      <c r="AC11" s="136">
        <v>636</v>
      </c>
      <c r="AD11" s="135">
        <v>954</v>
      </c>
      <c r="AE11" s="135">
        <v>713</v>
      </c>
      <c r="AF11" s="135"/>
      <c r="AG11" s="135"/>
      <c r="AH11" s="136"/>
      <c r="AI11" s="136"/>
      <c r="AJ11" s="136"/>
    </row>
    <row r="12" spans="1:43" x14ac:dyDescent="0.25">
      <c r="B12" s="134" t="s">
        <v>149</v>
      </c>
      <c r="C12" s="88"/>
      <c r="E12" s="89"/>
      <c r="F12" s="89"/>
      <c r="G12" s="89"/>
      <c r="H12" s="89"/>
      <c r="I12" s="136">
        <v>3314</v>
      </c>
      <c r="J12" s="135"/>
      <c r="K12" s="135"/>
      <c r="L12" s="135"/>
      <c r="M12" s="135"/>
      <c r="N12" s="136">
        <v>3819</v>
      </c>
      <c r="O12" s="135">
        <v>874</v>
      </c>
      <c r="P12" s="135">
        <v>853</v>
      </c>
      <c r="Q12" s="135">
        <v>851</v>
      </c>
      <c r="R12" s="135">
        <f t="shared" si="3"/>
        <v>849</v>
      </c>
      <c r="S12" s="136">
        <v>3427</v>
      </c>
      <c r="T12" s="135">
        <v>730</v>
      </c>
      <c r="U12" s="135">
        <v>707</v>
      </c>
      <c r="V12" s="135">
        <v>705</v>
      </c>
      <c r="W12" s="135">
        <f t="shared" si="4"/>
        <v>705</v>
      </c>
      <c r="X12" s="136">
        <v>2847</v>
      </c>
      <c r="Y12" s="135">
        <v>535</v>
      </c>
      <c r="Z12" s="135">
        <v>441</v>
      </c>
      <c r="AA12" s="135">
        <v>439</v>
      </c>
      <c r="AB12" s="135">
        <f t="shared" si="5"/>
        <v>438</v>
      </c>
      <c r="AC12" s="136">
        <v>1853</v>
      </c>
      <c r="AD12" s="135">
        <v>1380</v>
      </c>
      <c r="AE12" s="135">
        <v>1516</v>
      </c>
      <c r="AF12" s="135"/>
      <c r="AG12" s="135"/>
      <c r="AH12" s="136"/>
      <c r="AI12" s="136"/>
      <c r="AJ12" s="136"/>
    </row>
    <row r="13" spans="1:43" x14ac:dyDescent="0.25">
      <c r="B13" t="s">
        <v>139</v>
      </c>
      <c r="C13" s="88"/>
      <c r="E13" s="89"/>
      <c r="F13" s="89"/>
      <c r="G13" s="89"/>
      <c r="H13" s="89"/>
      <c r="I13" s="136">
        <v>77</v>
      </c>
      <c r="J13" s="135"/>
      <c r="K13" s="135"/>
      <c r="L13" s="135"/>
      <c r="M13" s="135"/>
      <c r="N13" s="136">
        <v>35</v>
      </c>
      <c r="O13" s="135">
        <v>15</v>
      </c>
      <c r="P13" s="135">
        <v>1</v>
      </c>
      <c r="Q13" s="135">
        <v>1</v>
      </c>
      <c r="R13" s="135">
        <f t="shared" si="3"/>
        <v>0</v>
      </c>
      <c r="S13" s="136">
        <v>17</v>
      </c>
      <c r="T13" s="135">
        <v>2</v>
      </c>
      <c r="U13" s="135">
        <v>1</v>
      </c>
      <c r="V13" s="135">
        <v>1</v>
      </c>
      <c r="W13" s="135">
        <f t="shared" si="4"/>
        <v>1</v>
      </c>
      <c r="X13" s="136">
        <v>5</v>
      </c>
      <c r="Y13" s="135">
        <v>2</v>
      </c>
      <c r="Z13" s="135" t="s">
        <v>90</v>
      </c>
      <c r="AA13" s="135">
        <v>1</v>
      </c>
      <c r="AB13" s="135">
        <f>AC13-AA13-Y13</f>
        <v>1</v>
      </c>
      <c r="AC13" s="136">
        <v>4</v>
      </c>
      <c r="AD13" s="135">
        <v>92</v>
      </c>
      <c r="AE13" s="135">
        <v>53</v>
      </c>
      <c r="AF13" s="135"/>
      <c r="AG13" s="135"/>
      <c r="AH13" s="136"/>
      <c r="AI13" s="136"/>
      <c r="AJ13" s="136"/>
    </row>
    <row r="14" spans="1:43" s="1" customFormat="1" x14ac:dyDescent="0.25">
      <c r="B14" s="1" t="s">
        <v>150</v>
      </c>
      <c r="C14" s="99"/>
      <c r="E14" s="100"/>
      <c r="F14" s="100"/>
      <c r="G14" s="100"/>
      <c r="H14" s="100"/>
      <c r="I14" s="140">
        <v>10114</v>
      </c>
      <c r="J14" s="141"/>
      <c r="K14" s="141"/>
      <c r="L14" s="141"/>
      <c r="M14" s="141"/>
      <c r="N14" s="140">
        <v>10372</v>
      </c>
      <c r="O14" s="141">
        <v>2703</v>
      </c>
      <c r="P14" s="141">
        <v>2553</v>
      </c>
      <c r="Q14" s="141">
        <v>2581</v>
      </c>
      <c r="R14" s="141">
        <f t="shared" si="3"/>
        <v>2769</v>
      </c>
      <c r="S14" s="140">
        <v>10606</v>
      </c>
      <c r="T14" s="141">
        <v>2657</v>
      </c>
      <c r="U14" s="141">
        <v>2664</v>
      </c>
      <c r="V14" s="141">
        <v>2783</v>
      </c>
      <c r="W14" s="141">
        <f t="shared" si="4"/>
        <v>3004</v>
      </c>
      <c r="X14" s="140">
        <v>11108</v>
      </c>
      <c r="Y14" s="141">
        <v>2911</v>
      </c>
      <c r="Z14" s="141">
        <v>2618</v>
      </c>
      <c r="AA14" s="141">
        <v>2712</v>
      </c>
      <c r="AB14" s="141">
        <f t="shared" si="5"/>
        <v>2888</v>
      </c>
      <c r="AC14" s="140">
        <v>11129</v>
      </c>
      <c r="AD14" s="141">
        <v>4586</v>
      </c>
      <c r="AE14" s="141">
        <v>4711</v>
      </c>
      <c r="AF14" s="141"/>
      <c r="AG14" s="141"/>
      <c r="AH14" s="140"/>
      <c r="AI14" s="140"/>
      <c r="AJ14" s="140"/>
    </row>
    <row r="15" spans="1:43" s="1" customFormat="1" x14ac:dyDescent="0.25">
      <c r="B15" s="1" t="s">
        <v>151</v>
      </c>
      <c r="C15" s="99"/>
      <c r="E15" s="100"/>
      <c r="F15" s="100"/>
      <c r="G15" s="100"/>
      <c r="H15" s="100"/>
      <c r="I15" s="140">
        <v>12483</v>
      </c>
      <c r="J15" s="141"/>
      <c r="K15" s="141"/>
      <c r="L15" s="141"/>
      <c r="M15" s="141"/>
      <c r="N15" s="140">
        <v>13516</v>
      </c>
      <c r="O15" s="141">
        <v>3952</v>
      </c>
      <c r="P15" s="141">
        <v>4057</v>
      </c>
      <c r="Q15" s="141">
        <v>4197</v>
      </c>
      <c r="R15" s="141">
        <f t="shared" si="3"/>
        <v>4638</v>
      </c>
      <c r="S15" s="140">
        <v>16844</v>
      </c>
      <c r="T15" s="141">
        <v>5049</v>
      </c>
      <c r="U15" s="141">
        <v>5439</v>
      </c>
      <c r="V15" s="141">
        <v>5681</v>
      </c>
      <c r="W15" s="141">
        <f t="shared" si="4"/>
        <v>5926</v>
      </c>
      <c r="X15" s="140">
        <v>22095</v>
      </c>
      <c r="Y15" s="141">
        <v>6004</v>
      </c>
      <c r="Z15" s="141">
        <v>6115</v>
      </c>
      <c r="AA15" s="141">
        <v>6164</v>
      </c>
      <c r="AB15" s="141">
        <f>AC15-AA15-Z15-Y15</f>
        <v>6407</v>
      </c>
      <c r="AC15" s="140">
        <v>24690</v>
      </c>
      <c r="AD15" s="141">
        <v>7375</v>
      </c>
      <c r="AE15" s="141">
        <v>7776</v>
      </c>
      <c r="AF15" s="141"/>
      <c r="AG15" s="141"/>
      <c r="AH15" s="140"/>
      <c r="AI15" s="140"/>
      <c r="AJ15" s="140"/>
    </row>
    <row r="16" spans="1:43" s="1" customFormat="1" x14ac:dyDescent="0.25">
      <c r="C16" s="99"/>
      <c r="E16" s="100"/>
      <c r="F16" s="100"/>
      <c r="G16" s="100"/>
      <c r="H16" s="100"/>
      <c r="I16" s="140"/>
      <c r="J16" s="141"/>
      <c r="K16" s="141"/>
      <c r="L16" s="141"/>
      <c r="M16" s="141"/>
      <c r="N16" s="140"/>
      <c r="O16" s="141"/>
      <c r="P16" s="141"/>
      <c r="Q16" s="141"/>
      <c r="R16" s="141"/>
      <c r="S16" s="140"/>
      <c r="T16" s="141"/>
      <c r="U16" s="141"/>
      <c r="V16" s="141"/>
      <c r="W16" s="141"/>
      <c r="X16" s="140"/>
      <c r="Y16" s="141"/>
      <c r="Z16" s="141"/>
      <c r="AA16" s="141"/>
      <c r="AB16" s="141"/>
      <c r="AC16" s="140"/>
      <c r="AD16" s="141"/>
      <c r="AE16" s="141"/>
      <c r="AF16" s="141"/>
      <c r="AG16" s="141"/>
      <c r="AH16" s="140"/>
      <c r="AI16" s="140"/>
      <c r="AJ16" s="140"/>
    </row>
    <row r="17" spans="2:36" x14ac:dyDescent="0.25">
      <c r="B17" s="1" t="s">
        <v>158</v>
      </c>
      <c r="C17" s="88"/>
      <c r="E17" s="89"/>
      <c r="F17" s="89"/>
      <c r="G17" s="89"/>
      <c r="H17" s="89"/>
      <c r="I17" s="136"/>
      <c r="J17" s="135"/>
      <c r="K17" s="135"/>
      <c r="L17" s="135"/>
      <c r="M17" s="135"/>
      <c r="N17" s="136"/>
      <c r="O17" s="135"/>
      <c r="P17" s="135"/>
      <c r="Q17" s="135"/>
      <c r="R17" s="135"/>
      <c r="S17" s="136"/>
      <c r="T17" s="135"/>
      <c r="U17" s="135"/>
      <c r="V17" s="135"/>
      <c r="W17" s="135"/>
      <c r="X17" s="136"/>
      <c r="Y17" s="135"/>
      <c r="Z17" s="135"/>
      <c r="AA17" s="135"/>
      <c r="AB17" s="135"/>
      <c r="AC17" s="136"/>
      <c r="AD17" s="135"/>
      <c r="AE17" s="135"/>
      <c r="AF17" s="135"/>
      <c r="AG17" s="135"/>
      <c r="AH17" s="136"/>
      <c r="AI17" s="136"/>
      <c r="AJ17" s="136"/>
    </row>
    <row r="18" spans="2:36" s="1" customFormat="1" x14ac:dyDescent="0.25">
      <c r="B18" t="s">
        <v>152</v>
      </c>
      <c r="C18" s="99"/>
      <c r="E18" s="100"/>
      <c r="F18" s="100"/>
      <c r="G18" s="100"/>
      <c r="H18" s="100"/>
      <c r="I18" s="136">
        <v>4696</v>
      </c>
      <c r="J18" s="135"/>
      <c r="K18" s="135"/>
      <c r="L18" s="135"/>
      <c r="M18" s="135"/>
      <c r="N18" s="136">
        <v>4968</v>
      </c>
      <c r="O18" s="135">
        <v>1211</v>
      </c>
      <c r="P18" s="135">
        <v>1238</v>
      </c>
      <c r="Q18" s="135">
        <v>1205</v>
      </c>
      <c r="R18" s="135">
        <f t="shared" ref="R18:R34" si="6">S18-Q18-P18-O18</f>
        <v>1200</v>
      </c>
      <c r="S18" s="136">
        <v>4854</v>
      </c>
      <c r="T18" s="135">
        <v>1206</v>
      </c>
      <c r="U18" s="135">
        <v>1261</v>
      </c>
      <c r="V18" s="135">
        <v>1255</v>
      </c>
      <c r="W18" s="135">
        <f t="shared" ref="W18:W23" si="7">X18-V18-U18-T18</f>
        <v>1197</v>
      </c>
      <c r="X18" s="136">
        <v>4919</v>
      </c>
      <c r="Y18" s="135">
        <v>1195</v>
      </c>
      <c r="Z18" s="135">
        <v>1312</v>
      </c>
      <c r="AA18" s="135">
        <v>1358</v>
      </c>
      <c r="AB18" s="135">
        <f t="shared" ref="AB18:AB23" si="8">AC18-AA18-Z18-Y18</f>
        <v>1388</v>
      </c>
      <c r="AC18" s="136">
        <v>5253</v>
      </c>
      <c r="AD18" s="135">
        <v>2308</v>
      </c>
      <c r="AE18" s="135">
        <v>2415</v>
      </c>
      <c r="AF18" s="135"/>
      <c r="AG18" s="135"/>
      <c r="AH18" s="136"/>
      <c r="AI18" s="136"/>
      <c r="AJ18" s="136"/>
    </row>
    <row r="19" spans="2:36" x14ac:dyDescent="0.25">
      <c r="B19" s="134" t="s">
        <v>153</v>
      </c>
      <c r="C19" s="88"/>
      <c r="E19" s="89"/>
      <c r="F19" s="89"/>
      <c r="G19" s="89"/>
      <c r="H19" s="89"/>
      <c r="I19" s="136">
        <v>1709</v>
      </c>
      <c r="J19" s="135"/>
      <c r="K19" s="135"/>
      <c r="L19" s="135"/>
      <c r="M19" s="135"/>
      <c r="N19" s="136">
        <v>1935</v>
      </c>
      <c r="O19" s="135">
        <v>339</v>
      </c>
      <c r="P19" s="135">
        <v>325</v>
      </c>
      <c r="Q19" s="135">
        <v>346</v>
      </c>
      <c r="R19" s="135">
        <f t="shared" si="6"/>
        <v>337</v>
      </c>
      <c r="S19" s="136">
        <v>1347</v>
      </c>
      <c r="T19" s="135">
        <v>321</v>
      </c>
      <c r="U19" s="135">
        <v>368</v>
      </c>
      <c r="V19" s="135">
        <v>323</v>
      </c>
      <c r="W19" s="135">
        <f t="shared" si="7"/>
        <v>370</v>
      </c>
      <c r="X19" s="136">
        <v>1382</v>
      </c>
      <c r="Y19" s="135">
        <v>348</v>
      </c>
      <c r="Z19" s="135">
        <v>438</v>
      </c>
      <c r="AA19" s="135">
        <v>388</v>
      </c>
      <c r="AB19" s="135">
        <f t="shared" si="8"/>
        <v>418</v>
      </c>
      <c r="AC19" s="136">
        <v>1592</v>
      </c>
      <c r="AD19" s="135">
        <v>1572</v>
      </c>
      <c r="AE19" s="135">
        <v>1277</v>
      </c>
      <c r="AF19" s="135"/>
      <c r="AG19" s="135"/>
      <c r="AH19" s="136"/>
      <c r="AI19" s="136"/>
      <c r="AJ19" s="136"/>
    </row>
    <row r="20" spans="2:36" x14ac:dyDescent="0.25">
      <c r="B20" s="134" t="s">
        <v>149</v>
      </c>
      <c r="C20" s="88"/>
      <c r="E20" s="89"/>
      <c r="F20" s="89"/>
      <c r="G20" s="89"/>
      <c r="H20" s="89"/>
      <c r="I20" s="136">
        <v>1898</v>
      </c>
      <c r="J20" s="135"/>
      <c r="K20" s="135"/>
      <c r="L20" s="135"/>
      <c r="M20" s="135"/>
      <c r="N20" s="136">
        <v>2401</v>
      </c>
      <c r="O20" s="135">
        <v>494</v>
      </c>
      <c r="P20" s="135">
        <v>494</v>
      </c>
      <c r="Q20" s="135">
        <v>494</v>
      </c>
      <c r="R20" s="135">
        <f t="shared" si="6"/>
        <v>494</v>
      </c>
      <c r="S20" s="136">
        <v>1976</v>
      </c>
      <c r="T20" s="135">
        <v>397</v>
      </c>
      <c r="U20" s="135">
        <v>398</v>
      </c>
      <c r="V20" s="135">
        <v>359</v>
      </c>
      <c r="W20" s="135">
        <f t="shared" si="7"/>
        <v>358</v>
      </c>
      <c r="X20" s="136">
        <v>1512</v>
      </c>
      <c r="Y20" s="135">
        <v>348</v>
      </c>
      <c r="Z20" s="135">
        <v>348</v>
      </c>
      <c r="AA20" s="135">
        <v>350</v>
      </c>
      <c r="AB20" s="135">
        <f t="shared" si="8"/>
        <v>348</v>
      </c>
      <c r="AC20" s="136">
        <v>1394</v>
      </c>
      <c r="AD20" s="135">
        <v>792</v>
      </c>
      <c r="AE20" s="135">
        <v>827</v>
      </c>
      <c r="AF20" s="135"/>
      <c r="AG20" s="135"/>
      <c r="AH20" s="136"/>
      <c r="AI20" s="136"/>
      <c r="AJ20" s="136"/>
    </row>
    <row r="21" spans="2:36" x14ac:dyDescent="0.25">
      <c r="B21" s="134" t="s">
        <v>154</v>
      </c>
      <c r="C21" s="88"/>
      <c r="E21" s="89"/>
      <c r="F21" s="89"/>
      <c r="G21" s="89"/>
      <c r="H21" s="89"/>
      <c r="I21" s="136">
        <v>736</v>
      </c>
      <c r="J21" s="135"/>
      <c r="K21" s="135"/>
      <c r="L21" s="135"/>
      <c r="M21" s="135"/>
      <c r="N21" s="136">
        <v>198</v>
      </c>
      <c r="O21" s="135">
        <v>71</v>
      </c>
      <c r="P21" s="135">
        <v>25</v>
      </c>
      <c r="Q21" s="135">
        <v>26</v>
      </c>
      <c r="R21" s="135">
        <f t="shared" si="6"/>
        <v>26</v>
      </c>
      <c r="S21" s="136">
        <v>148</v>
      </c>
      <c r="T21" s="135">
        <v>17</v>
      </c>
      <c r="U21" s="135">
        <v>18</v>
      </c>
      <c r="V21" s="135">
        <v>7</v>
      </c>
      <c r="W21" s="135">
        <f t="shared" si="7"/>
        <v>15</v>
      </c>
      <c r="X21" s="136">
        <v>57</v>
      </c>
      <c r="Y21" s="135">
        <v>10</v>
      </c>
      <c r="Z21" s="135">
        <v>9</v>
      </c>
      <c r="AA21" s="135">
        <v>212</v>
      </c>
      <c r="AB21" s="135">
        <f t="shared" si="8"/>
        <v>13</v>
      </c>
      <c r="AC21" s="136">
        <v>244</v>
      </c>
      <c r="AD21" s="135">
        <v>620</v>
      </c>
      <c r="AE21" s="135">
        <v>292</v>
      </c>
      <c r="AF21" s="135"/>
      <c r="AG21" s="135"/>
      <c r="AH21" s="136"/>
      <c r="AI21" s="136"/>
      <c r="AJ21" s="136"/>
    </row>
    <row r="22" spans="2:36" s="1" customFormat="1" x14ac:dyDescent="0.25">
      <c r="B22" s="1" t="s">
        <v>155</v>
      </c>
      <c r="C22" s="99"/>
      <c r="E22" s="100"/>
      <c r="F22" s="100"/>
      <c r="G22" s="100"/>
      <c r="H22" s="100"/>
      <c r="I22" s="140">
        <v>9039</v>
      </c>
      <c r="J22" s="141"/>
      <c r="K22" s="141"/>
      <c r="L22" s="141"/>
      <c r="M22" s="141"/>
      <c r="N22" s="140">
        <v>9502</v>
      </c>
      <c r="O22" s="141">
        <v>2115</v>
      </c>
      <c r="P22" s="141">
        <v>2082</v>
      </c>
      <c r="Q22" s="141">
        <v>2071</v>
      </c>
      <c r="R22" s="135">
        <f t="shared" si="6"/>
        <v>2057</v>
      </c>
      <c r="S22" s="140">
        <v>8325</v>
      </c>
      <c r="T22" s="141">
        <v>1941</v>
      </c>
      <c r="U22" s="141">
        <v>2045</v>
      </c>
      <c r="V22" s="141">
        <v>1944</v>
      </c>
      <c r="W22" s="135">
        <f t="shared" si="7"/>
        <v>1940</v>
      </c>
      <c r="X22" s="140">
        <v>7870</v>
      </c>
      <c r="Y22" s="141">
        <v>1901</v>
      </c>
      <c r="Z22" s="141">
        <v>2107</v>
      </c>
      <c r="AA22" s="141">
        <v>2308</v>
      </c>
      <c r="AB22" s="135">
        <f t="shared" si="8"/>
        <v>2167</v>
      </c>
      <c r="AC22" s="140">
        <v>8483</v>
      </c>
      <c r="AD22" s="141">
        <v>5292</v>
      </c>
      <c r="AE22" s="141">
        <v>4811</v>
      </c>
      <c r="AF22" s="141"/>
      <c r="AG22" s="141"/>
      <c r="AH22" s="140"/>
      <c r="AI22" s="140"/>
      <c r="AJ22" s="140"/>
    </row>
    <row r="23" spans="2:36" s="1" customFormat="1" x14ac:dyDescent="0.25">
      <c r="B23" s="1" t="s">
        <v>215</v>
      </c>
      <c r="C23" s="99"/>
      <c r="E23" s="100"/>
      <c r="F23" s="100"/>
      <c r="G23" s="100"/>
      <c r="H23" s="100"/>
      <c r="I23" s="140">
        <v>3444</v>
      </c>
      <c r="J23" s="142"/>
      <c r="K23" s="142"/>
      <c r="L23" s="142"/>
      <c r="M23" s="142"/>
      <c r="N23" s="140">
        <v>4014</v>
      </c>
      <c r="O23" s="141">
        <v>1837</v>
      </c>
      <c r="P23" s="141">
        <v>1975</v>
      </c>
      <c r="Q23" s="141">
        <v>2126</v>
      </c>
      <c r="R23" s="135">
        <f t="shared" si="6"/>
        <v>2581</v>
      </c>
      <c r="S23" s="140">
        <v>8519</v>
      </c>
      <c r="T23" s="142">
        <v>3108</v>
      </c>
      <c r="U23" s="142">
        <v>3394</v>
      </c>
      <c r="V23" s="142">
        <v>3737</v>
      </c>
      <c r="W23" s="135">
        <f t="shared" si="7"/>
        <v>3986</v>
      </c>
      <c r="X23" s="140">
        <v>14225</v>
      </c>
      <c r="Y23" s="141">
        <v>4103</v>
      </c>
      <c r="Z23" s="141">
        <v>4008</v>
      </c>
      <c r="AA23" s="141">
        <v>3856</v>
      </c>
      <c r="AB23" s="135">
        <f t="shared" si="8"/>
        <v>4240</v>
      </c>
      <c r="AC23" s="140">
        <v>16207</v>
      </c>
      <c r="AD23" s="141">
        <v>2083</v>
      </c>
      <c r="AE23" s="141">
        <v>2965</v>
      </c>
      <c r="AF23" s="141"/>
      <c r="AG23" s="141"/>
      <c r="AH23" s="140"/>
      <c r="AI23" s="140"/>
      <c r="AJ23" s="140"/>
    </row>
    <row r="24" spans="2:36" s="1" customFormat="1" x14ac:dyDescent="0.25">
      <c r="B24" s="1" t="s">
        <v>216</v>
      </c>
      <c r="C24" s="99"/>
      <c r="E24" s="100"/>
      <c r="F24" s="100"/>
      <c r="G24" s="100"/>
      <c r="H24" s="100"/>
      <c r="I24" s="140">
        <f>I23+I21+I20+I13+I12</f>
        <v>9469</v>
      </c>
      <c r="J24" s="140">
        <f t="shared" ref="J24:AE24" si="9">J23+J21+J20+J13+J12</f>
        <v>0</v>
      </c>
      <c r="K24" s="140">
        <f t="shared" si="9"/>
        <v>0</v>
      </c>
      <c r="L24" s="140">
        <f t="shared" si="9"/>
        <v>0</v>
      </c>
      <c r="M24" s="140">
        <f t="shared" si="9"/>
        <v>0</v>
      </c>
      <c r="N24" s="140">
        <f t="shared" si="9"/>
        <v>10467</v>
      </c>
      <c r="O24" s="140">
        <f t="shared" si="9"/>
        <v>3291</v>
      </c>
      <c r="P24" s="140">
        <f t="shared" si="9"/>
        <v>3348</v>
      </c>
      <c r="Q24" s="140">
        <f t="shared" si="9"/>
        <v>3498</v>
      </c>
      <c r="R24" s="140">
        <f t="shared" si="9"/>
        <v>3950</v>
      </c>
      <c r="S24" s="140">
        <f t="shared" si="9"/>
        <v>14087</v>
      </c>
      <c r="T24" s="140">
        <f t="shared" si="9"/>
        <v>4254</v>
      </c>
      <c r="U24" s="140">
        <f t="shared" si="9"/>
        <v>4518</v>
      </c>
      <c r="V24" s="140">
        <f t="shared" si="9"/>
        <v>4809</v>
      </c>
      <c r="W24" s="140">
        <f t="shared" si="9"/>
        <v>5065</v>
      </c>
      <c r="X24" s="140">
        <f t="shared" si="9"/>
        <v>18646</v>
      </c>
      <c r="Y24" s="140">
        <f t="shared" si="9"/>
        <v>4998</v>
      </c>
      <c r="Z24" s="140">
        <f>Z23+Z21+Z20+Z12</f>
        <v>4806</v>
      </c>
      <c r="AA24" s="140">
        <f>AA23+AA21+AA20+AA13+AA12</f>
        <v>4858</v>
      </c>
      <c r="AB24" s="140">
        <f t="shared" si="9"/>
        <v>5040</v>
      </c>
      <c r="AC24" s="140">
        <f t="shared" si="9"/>
        <v>19702</v>
      </c>
      <c r="AD24" s="140">
        <f t="shared" si="9"/>
        <v>4967</v>
      </c>
      <c r="AE24" s="140">
        <f t="shared" si="9"/>
        <v>5653</v>
      </c>
      <c r="AF24" s="141"/>
      <c r="AG24" s="141"/>
      <c r="AH24" s="140"/>
      <c r="AI24" s="140"/>
      <c r="AJ24" s="140"/>
    </row>
    <row r="25" spans="2:36" x14ac:dyDescent="0.25">
      <c r="B25" s="1"/>
      <c r="C25" s="88"/>
      <c r="E25" s="89"/>
      <c r="F25" s="89"/>
      <c r="G25" s="89"/>
      <c r="H25" s="89"/>
      <c r="I25" s="136"/>
      <c r="J25" s="137"/>
      <c r="K25" s="137"/>
      <c r="L25" s="137"/>
      <c r="M25" s="137"/>
      <c r="N25" s="136"/>
      <c r="O25" s="135"/>
      <c r="P25" s="135"/>
      <c r="Q25" s="135"/>
      <c r="R25" s="135"/>
      <c r="S25" s="136"/>
      <c r="T25" s="137"/>
      <c r="U25" s="137"/>
      <c r="V25" s="137"/>
      <c r="W25" s="137"/>
      <c r="X25" s="136"/>
      <c r="Y25" s="135"/>
      <c r="Z25" s="135"/>
      <c r="AB25" s="137"/>
      <c r="AC25" s="136"/>
      <c r="AD25" s="135"/>
      <c r="AE25" s="135"/>
      <c r="AF25" s="135"/>
      <c r="AG25" s="135"/>
      <c r="AH25" s="136"/>
      <c r="AI25" s="136"/>
      <c r="AJ25" s="136"/>
    </row>
    <row r="26" spans="2:36" x14ac:dyDescent="0.25">
      <c r="B26" t="s">
        <v>140</v>
      </c>
      <c r="C26" s="88"/>
      <c r="E26" s="89"/>
      <c r="F26" s="89"/>
      <c r="G26" s="89"/>
      <c r="H26" s="89"/>
      <c r="I26" s="136">
        <v>-1444</v>
      </c>
      <c r="J26" s="137"/>
      <c r="K26" s="137"/>
      <c r="L26" s="137"/>
      <c r="M26" s="137"/>
      <c r="N26" s="136">
        <v>-1777</v>
      </c>
      <c r="O26" s="135">
        <v>-570</v>
      </c>
      <c r="P26" s="135">
        <v>-466</v>
      </c>
      <c r="Q26" s="135">
        <v>-415</v>
      </c>
      <c r="R26" s="135">
        <f t="shared" si="6"/>
        <v>-434</v>
      </c>
      <c r="S26" s="136">
        <v>-1885</v>
      </c>
      <c r="T26" s="137">
        <v>-407</v>
      </c>
      <c r="U26" s="137">
        <v>-518</v>
      </c>
      <c r="V26" s="137">
        <v>-406</v>
      </c>
      <c r="W26" s="135">
        <f>X26-V26-U26-T26</f>
        <v>-406</v>
      </c>
      <c r="X26" s="136">
        <v>-1737</v>
      </c>
      <c r="Y26" s="135">
        <v>-406</v>
      </c>
      <c r="Z26" s="135">
        <v>-405</v>
      </c>
      <c r="AA26" s="135">
        <v>-406</v>
      </c>
      <c r="AB26" s="135">
        <f t="shared" ref="AB26:AB29" si="10">AC26-AA26-Z26-Y26</f>
        <v>-405</v>
      </c>
      <c r="AC26" s="136">
        <v>-1622</v>
      </c>
      <c r="AD26" s="135">
        <v>-926</v>
      </c>
      <c r="AE26" s="135">
        <v>-1047</v>
      </c>
      <c r="AF26" s="135"/>
      <c r="AG26" s="135"/>
      <c r="AH26" s="136"/>
      <c r="AI26" s="136"/>
      <c r="AJ26" s="136"/>
    </row>
    <row r="27" spans="2:36" s="1" customFormat="1" x14ac:dyDescent="0.25">
      <c r="B27" t="s">
        <v>141</v>
      </c>
      <c r="C27" s="99"/>
      <c r="E27" s="100"/>
      <c r="F27" s="100"/>
      <c r="G27" s="100"/>
      <c r="H27" s="100"/>
      <c r="I27" s="136">
        <v>226</v>
      </c>
      <c r="J27" s="135"/>
      <c r="K27" s="135"/>
      <c r="L27" s="135"/>
      <c r="M27" s="135"/>
      <c r="N27" s="136">
        <v>206</v>
      </c>
      <c r="O27" s="135">
        <v>117</v>
      </c>
      <c r="P27" s="135">
        <v>-23</v>
      </c>
      <c r="Q27" s="135">
        <v>15</v>
      </c>
      <c r="R27" s="135">
        <f t="shared" si="6"/>
        <v>22</v>
      </c>
      <c r="S27" s="136">
        <v>131</v>
      </c>
      <c r="T27" s="135">
        <v>-14</v>
      </c>
      <c r="U27" s="135">
        <v>-86</v>
      </c>
      <c r="V27" s="135">
        <v>6</v>
      </c>
      <c r="W27" s="135">
        <f t="shared" ref="W27:W29" si="11">X27-V27-U27-T27</f>
        <v>40</v>
      </c>
      <c r="X27" s="136">
        <v>-54</v>
      </c>
      <c r="Y27" s="135">
        <v>143</v>
      </c>
      <c r="Z27" s="135">
        <v>113</v>
      </c>
      <c r="AA27" s="135">
        <v>124</v>
      </c>
      <c r="AB27" s="135">
        <f t="shared" si="10"/>
        <v>132</v>
      </c>
      <c r="AC27" s="136">
        <v>512</v>
      </c>
      <c r="AD27" s="135">
        <v>185</v>
      </c>
      <c r="AE27" s="135">
        <v>87</v>
      </c>
      <c r="AF27" s="135"/>
      <c r="AG27" s="135"/>
      <c r="AH27" s="136"/>
      <c r="AI27" s="136"/>
      <c r="AJ27" s="136"/>
    </row>
    <row r="28" spans="2:36" x14ac:dyDescent="0.25">
      <c r="B28" t="s">
        <v>156</v>
      </c>
      <c r="C28" s="88"/>
      <c r="E28" s="89"/>
      <c r="F28" s="89"/>
      <c r="G28" s="89"/>
      <c r="H28" s="89"/>
      <c r="I28" s="136">
        <v>2226</v>
      </c>
      <c r="J28" s="135"/>
      <c r="K28" s="135"/>
      <c r="L28" s="135"/>
      <c r="M28" s="135"/>
      <c r="N28" s="136">
        <v>2443</v>
      </c>
      <c r="O28" s="135">
        <v>1384</v>
      </c>
      <c r="P28" s="135">
        <v>1486</v>
      </c>
      <c r="Q28" s="135">
        <v>1726</v>
      </c>
      <c r="R28" s="135">
        <f t="shared" si="6"/>
        <v>2169</v>
      </c>
      <c r="S28" s="136">
        <v>6765</v>
      </c>
      <c r="T28" s="135">
        <v>2687</v>
      </c>
      <c r="U28" s="135">
        <v>2790</v>
      </c>
      <c r="V28" s="135">
        <v>3337</v>
      </c>
      <c r="W28" s="135">
        <f t="shared" si="11"/>
        <v>3620</v>
      </c>
      <c r="X28" s="136">
        <v>12434</v>
      </c>
      <c r="Y28" s="135">
        <v>3840</v>
      </c>
      <c r="Z28" s="135">
        <v>3716</v>
      </c>
      <c r="AA28" s="135">
        <v>3574</v>
      </c>
      <c r="AB28" s="135">
        <f t="shared" si="10"/>
        <v>3967</v>
      </c>
      <c r="AC28" s="136">
        <v>15097</v>
      </c>
      <c r="AD28" s="135">
        <v>1342</v>
      </c>
      <c r="AE28" s="135">
        <v>2005</v>
      </c>
      <c r="AF28" s="135"/>
      <c r="AG28" s="135"/>
      <c r="AH28" s="136"/>
      <c r="AI28" s="136"/>
      <c r="AJ28" s="136"/>
    </row>
    <row r="29" spans="2:36" x14ac:dyDescent="0.25">
      <c r="B29" t="s">
        <v>157</v>
      </c>
      <c r="C29" s="88"/>
      <c r="E29" s="89"/>
      <c r="F29" s="89"/>
      <c r="G29" s="89"/>
      <c r="H29" s="89"/>
      <c r="I29" s="136">
        <v>-510</v>
      </c>
      <c r="J29" s="135"/>
      <c r="K29" s="135"/>
      <c r="L29" s="135"/>
      <c r="M29" s="135"/>
      <c r="N29" s="136">
        <v>-518</v>
      </c>
      <c r="O29" s="135">
        <v>6</v>
      </c>
      <c r="P29" s="135">
        <v>-7</v>
      </c>
      <c r="Q29" s="135">
        <v>-150</v>
      </c>
      <c r="R29" s="135">
        <f t="shared" si="6"/>
        <v>180</v>
      </c>
      <c r="S29" s="136">
        <v>29</v>
      </c>
      <c r="T29" s="135">
        <v>215</v>
      </c>
      <c r="U29" s="135">
        <v>200</v>
      </c>
      <c r="V29" s="135">
        <v>263</v>
      </c>
      <c r="W29" s="135">
        <f t="shared" si="11"/>
        <v>261</v>
      </c>
      <c r="X29" s="136">
        <v>939</v>
      </c>
      <c r="Y29" s="135">
        <v>66</v>
      </c>
      <c r="Z29" s="135">
        <v>235</v>
      </c>
      <c r="AA29" s="135">
        <v>271</v>
      </c>
      <c r="AB29" s="135">
        <f t="shared" si="10"/>
        <v>443</v>
      </c>
      <c r="AC29" s="136">
        <v>1015</v>
      </c>
      <c r="AD29" s="135">
        <v>68</v>
      </c>
      <c r="AE29" s="135">
        <v>-116</v>
      </c>
      <c r="AF29" s="135"/>
      <c r="AG29" s="135"/>
      <c r="AH29" s="136"/>
      <c r="AI29" s="136"/>
      <c r="AJ29" s="136"/>
    </row>
    <row r="30" spans="2:36" x14ac:dyDescent="0.25">
      <c r="B30" t="s">
        <v>198</v>
      </c>
      <c r="C30" s="88"/>
      <c r="E30" s="89"/>
      <c r="F30" s="89"/>
      <c r="G30" s="89"/>
      <c r="H30" s="89"/>
      <c r="I30" s="136">
        <v>-12</v>
      </c>
      <c r="J30" s="135"/>
      <c r="K30" s="135"/>
      <c r="L30" s="135"/>
      <c r="M30" s="135"/>
      <c r="N30" s="136">
        <v>-1</v>
      </c>
      <c r="O30" s="135"/>
      <c r="P30" s="135"/>
      <c r="Q30" s="135"/>
      <c r="R30" s="135"/>
      <c r="S30" s="136" t="s">
        <v>90</v>
      </c>
      <c r="T30" s="135"/>
      <c r="U30" s="135"/>
      <c r="V30" s="135"/>
      <c r="W30" s="135"/>
      <c r="X30" s="136" t="s">
        <v>90</v>
      </c>
      <c r="Y30" s="135" t="s">
        <v>90</v>
      </c>
      <c r="Z30" s="135" t="s">
        <v>90</v>
      </c>
      <c r="AA30" s="135" t="s">
        <v>90</v>
      </c>
      <c r="AB30" s="135"/>
      <c r="AC30" s="136" t="s">
        <v>90</v>
      </c>
      <c r="AD30" s="135">
        <v>51</v>
      </c>
      <c r="AE30" s="135" t="s">
        <v>90</v>
      </c>
      <c r="AF30" s="135"/>
      <c r="AG30" s="135"/>
      <c r="AH30" s="136"/>
      <c r="AI30" s="136"/>
      <c r="AJ30" s="136"/>
    </row>
    <row r="31" spans="2:36" s="1" customFormat="1" x14ac:dyDescent="0.25">
      <c r="B31" s="1" t="s">
        <v>82</v>
      </c>
      <c r="C31" s="99"/>
      <c r="E31" s="100"/>
      <c r="F31" s="100"/>
      <c r="G31" s="100"/>
      <c r="H31" s="100"/>
      <c r="I31" s="140">
        <v>2724</v>
      </c>
      <c r="J31" s="141"/>
      <c r="K31" s="141"/>
      <c r="L31" s="141"/>
      <c r="M31" s="141"/>
      <c r="N31" s="140">
        <v>2960</v>
      </c>
      <c r="O31" s="141">
        <v>1378</v>
      </c>
      <c r="P31" s="141">
        <v>1493</v>
      </c>
      <c r="Q31" s="141">
        <v>1876</v>
      </c>
      <c r="R31" s="141">
        <f>S31-Q31-P31-O31</f>
        <v>1989</v>
      </c>
      <c r="S31" s="140">
        <v>6736</v>
      </c>
      <c r="T31" s="141">
        <v>2472</v>
      </c>
      <c r="U31" s="141">
        <v>2590</v>
      </c>
      <c r="V31" s="141">
        <v>3074</v>
      </c>
      <c r="W31" s="141">
        <f>X31-V31-U31-T31</f>
        <v>3359</v>
      </c>
      <c r="X31" s="140">
        <v>11495</v>
      </c>
      <c r="Y31" s="141">
        <v>3774</v>
      </c>
      <c r="Z31" s="141">
        <v>3481</v>
      </c>
      <c r="AA31" s="141">
        <v>3303</v>
      </c>
      <c r="AB31" s="141">
        <f>AC31-AA31-Z31-Y31</f>
        <v>3524</v>
      </c>
      <c r="AC31" s="140">
        <v>14082</v>
      </c>
      <c r="AD31" s="141">
        <v>1325</v>
      </c>
      <c r="AE31" s="141">
        <v>2121</v>
      </c>
      <c r="AF31" s="141"/>
      <c r="AG31" s="141"/>
      <c r="AH31" s="140"/>
      <c r="AI31" s="140"/>
      <c r="AJ31" s="140"/>
    </row>
    <row r="32" spans="2:36" x14ac:dyDescent="0.25">
      <c r="B32" s="1"/>
      <c r="C32" s="88"/>
      <c r="E32" s="89"/>
      <c r="F32" s="89"/>
      <c r="G32" s="89"/>
      <c r="H32" s="89"/>
      <c r="I32" s="136"/>
      <c r="J32" s="135"/>
      <c r="K32" s="135"/>
      <c r="L32" s="135"/>
      <c r="M32" s="135"/>
      <c r="N32" s="136"/>
      <c r="O32" s="135"/>
      <c r="P32" s="135"/>
      <c r="Q32" s="135"/>
      <c r="R32" s="135"/>
      <c r="S32" s="136"/>
      <c r="T32" s="135"/>
      <c r="U32" s="135"/>
      <c r="V32" s="135"/>
      <c r="W32" s="135"/>
      <c r="X32" s="136"/>
      <c r="Y32" s="135"/>
      <c r="Z32" s="135"/>
      <c r="AA32" s="135"/>
      <c r="AB32" s="135"/>
      <c r="AC32" s="136"/>
      <c r="AD32" s="135"/>
      <c r="AE32" s="135"/>
      <c r="AF32" s="135"/>
      <c r="AG32" s="135"/>
      <c r="AH32" s="136"/>
      <c r="AI32" s="136"/>
      <c r="AJ32" s="136"/>
    </row>
    <row r="33" spans="1:36" x14ac:dyDescent="0.25">
      <c r="B33" t="s">
        <v>159</v>
      </c>
      <c r="C33" s="88"/>
      <c r="E33" s="89"/>
      <c r="F33" s="89"/>
      <c r="G33" s="89"/>
      <c r="H33" s="89"/>
      <c r="I33" s="136">
        <v>-29</v>
      </c>
      <c r="J33" s="135"/>
      <c r="K33" s="135"/>
      <c r="L33" s="135"/>
      <c r="M33" s="135"/>
      <c r="N33" s="136">
        <v>-297</v>
      </c>
      <c r="O33" s="135">
        <v>-74</v>
      </c>
      <c r="P33" s="135">
        <v>-76</v>
      </c>
      <c r="Q33" s="135">
        <v>-74</v>
      </c>
      <c r="R33" s="135">
        <f t="shared" si="6"/>
        <v>-75</v>
      </c>
      <c r="S33" s="136">
        <v>-299</v>
      </c>
      <c r="T33" s="135">
        <v>-74</v>
      </c>
      <c r="U33" s="135">
        <v>-75</v>
      </c>
      <c r="V33" s="135">
        <v>-75</v>
      </c>
      <c r="W33" s="135">
        <f t="shared" ref="W33:W34" si="12">X33-V33-U33-T33</f>
        <v>-48</v>
      </c>
      <c r="X33" s="136">
        <v>-272</v>
      </c>
      <c r="Y33" s="135"/>
      <c r="Z33" s="135"/>
      <c r="AA33" s="135" t="s">
        <v>90</v>
      </c>
      <c r="AB33" s="135"/>
      <c r="AC33" s="136" t="s">
        <v>90</v>
      </c>
      <c r="AD33" s="135"/>
      <c r="AE33" s="135"/>
      <c r="AF33" s="135"/>
      <c r="AG33" s="135"/>
      <c r="AH33" s="136"/>
      <c r="AI33" s="136"/>
      <c r="AJ33" s="136"/>
    </row>
    <row r="34" spans="1:36" x14ac:dyDescent="0.25">
      <c r="B34" s="134" t="s">
        <v>160</v>
      </c>
      <c r="C34" s="88"/>
      <c r="E34" s="89"/>
      <c r="F34" s="89"/>
      <c r="G34" s="89"/>
      <c r="H34" s="89"/>
      <c r="I34" s="136">
        <v>2695</v>
      </c>
      <c r="J34" s="135"/>
      <c r="K34" s="135"/>
      <c r="L34" s="135"/>
      <c r="M34" s="135"/>
      <c r="N34" s="136">
        <v>2663</v>
      </c>
      <c r="O34" s="135">
        <v>1304</v>
      </c>
      <c r="P34" s="135">
        <v>1417</v>
      </c>
      <c r="Q34" s="135">
        <v>1802</v>
      </c>
      <c r="R34" s="135">
        <f t="shared" si="6"/>
        <v>1914</v>
      </c>
      <c r="S34" s="136">
        <v>6437</v>
      </c>
      <c r="T34" s="135">
        <v>2398</v>
      </c>
      <c r="U34" s="135">
        <v>2515</v>
      </c>
      <c r="V34" s="135">
        <v>2999</v>
      </c>
      <c r="W34" s="135">
        <f t="shared" si="12"/>
        <v>3311</v>
      </c>
      <c r="X34" s="136">
        <v>11223</v>
      </c>
      <c r="Y34" s="135">
        <f>Y31</f>
        <v>3774</v>
      </c>
      <c r="Z34" s="135">
        <f>Z31</f>
        <v>3481</v>
      </c>
      <c r="AA34" s="135">
        <v>3303</v>
      </c>
      <c r="AB34" s="135">
        <f>AC34-AA34-Z34-Y34</f>
        <v>3524</v>
      </c>
      <c r="AC34" s="136">
        <v>14082</v>
      </c>
      <c r="AD34" s="135"/>
      <c r="AE34" s="135"/>
      <c r="AF34" s="135"/>
      <c r="AG34" s="135"/>
      <c r="AH34" s="136"/>
      <c r="AI34" s="136"/>
      <c r="AJ34" s="136"/>
    </row>
    <row r="35" spans="1:36" x14ac:dyDescent="0.25">
      <c r="B35" s="134"/>
      <c r="C35" s="88"/>
      <c r="E35" s="89"/>
      <c r="F35" s="89"/>
      <c r="G35" s="89"/>
      <c r="H35" s="89"/>
      <c r="I35" s="136"/>
      <c r="J35" s="135"/>
      <c r="K35" s="135"/>
      <c r="L35" s="135"/>
      <c r="M35" s="135"/>
      <c r="N35" s="136"/>
      <c r="O35" s="135"/>
      <c r="P35" s="135"/>
      <c r="Q35" s="135"/>
      <c r="R35" s="135"/>
      <c r="S35" s="136"/>
      <c r="T35" s="135"/>
      <c r="U35" s="135"/>
      <c r="V35" s="135"/>
      <c r="W35" s="135"/>
      <c r="X35" s="136"/>
      <c r="Y35" s="135"/>
      <c r="Z35" s="135"/>
      <c r="AA35" s="135"/>
      <c r="AB35" s="135"/>
      <c r="AC35" s="136"/>
      <c r="AD35" s="135"/>
      <c r="AE35" s="135"/>
      <c r="AF35" s="135"/>
      <c r="AG35" s="135"/>
      <c r="AH35" s="136"/>
      <c r="AI35" s="136"/>
      <c r="AJ35" s="136"/>
    </row>
    <row r="36" spans="1:36" x14ac:dyDescent="0.25">
      <c r="B36" s="1" t="s">
        <v>83</v>
      </c>
      <c r="C36" s="88"/>
      <c r="E36" s="89"/>
      <c r="F36" s="89"/>
      <c r="G36" s="89"/>
      <c r="H36" s="89"/>
      <c r="I36" s="136"/>
      <c r="J36" s="135"/>
      <c r="K36" s="135"/>
      <c r="L36" s="135"/>
      <c r="M36" s="135"/>
      <c r="N36" s="136"/>
      <c r="O36" s="135"/>
      <c r="P36" s="135"/>
      <c r="Q36" s="135"/>
      <c r="R36" s="135"/>
      <c r="S36" s="136"/>
      <c r="T36" s="135"/>
      <c r="U36" s="135"/>
      <c r="V36" s="135"/>
      <c r="W36" s="135"/>
      <c r="X36" s="136"/>
      <c r="Y36" s="135"/>
      <c r="Z36" s="135"/>
      <c r="AA36" s="135"/>
      <c r="AB36" s="135"/>
      <c r="AC36" s="136"/>
      <c r="AD36" s="135"/>
      <c r="AE36" s="135"/>
      <c r="AF36" s="135"/>
      <c r="AG36" s="135"/>
      <c r="AH36" s="136"/>
      <c r="AI36" s="136"/>
      <c r="AJ36" s="136"/>
    </row>
    <row r="37" spans="1:36" x14ac:dyDescent="0.25">
      <c r="A37" s="127"/>
      <c r="B37" t="s">
        <v>84</v>
      </c>
      <c r="C37" s="127"/>
      <c r="I37" s="138">
        <v>0.67700000000000005</v>
      </c>
      <c r="J37" s="139"/>
      <c r="K37" s="139"/>
      <c r="L37" s="139"/>
      <c r="M37" s="139"/>
      <c r="N37" s="138">
        <v>0.66200000000000003</v>
      </c>
      <c r="O37" s="139">
        <v>0.32</v>
      </c>
      <c r="P37" s="139">
        <v>0.34599999999999997</v>
      </c>
      <c r="Q37" s="139">
        <v>0.438</v>
      </c>
      <c r="R37" s="139">
        <f t="shared" ref="R37:R38" si="13">S37-Q37-P37-O37</f>
        <v>0.46600000000000014</v>
      </c>
      <c r="S37" s="138">
        <v>1.57</v>
      </c>
      <c r="T37" s="139">
        <v>0.58199999999999996</v>
      </c>
      <c r="U37" s="139">
        <v>0.61599999999999999</v>
      </c>
      <c r="V37" s="139">
        <v>0.74</v>
      </c>
      <c r="W37" s="139">
        <f t="shared" ref="W37:W38" si="14">X37-V37-U37-T37</f>
        <v>0.80199999999999994</v>
      </c>
      <c r="X37" s="138">
        <v>2.74</v>
      </c>
      <c r="Y37" s="139">
        <v>0.90300000000000002</v>
      </c>
      <c r="Z37" s="139">
        <v>0.83899999999999997</v>
      </c>
      <c r="AA37" s="139">
        <v>0.8</v>
      </c>
      <c r="AB37" s="139">
        <f>AC37-AA37-Z37-Y37</f>
        <v>0.84799999999999986</v>
      </c>
      <c r="AC37" s="138">
        <v>3.39</v>
      </c>
      <c r="AD37" s="139">
        <v>0.29299999999999998</v>
      </c>
      <c r="AE37" s="139">
        <v>0.45600000000000002</v>
      </c>
      <c r="AF37" s="139"/>
      <c r="AG37" s="139"/>
      <c r="AH37" s="138"/>
      <c r="AI37" s="138"/>
      <c r="AJ37" s="138"/>
    </row>
    <row r="38" spans="1:36" x14ac:dyDescent="0.25">
      <c r="B38" t="s">
        <v>85</v>
      </c>
      <c r="C38" s="88"/>
      <c r="E38" s="89"/>
      <c r="F38" s="89"/>
      <c r="G38" s="89"/>
      <c r="H38" s="89"/>
      <c r="I38" s="138">
        <v>0.64300000000000002</v>
      </c>
      <c r="J38" s="139"/>
      <c r="K38" s="139"/>
      <c r="L38" s="139"/>
      <c r="M38" s="139"/>
      <c r="N38" s="138">
        <v>0.63300000000000001</v>
      </c>
      <c r="O38" s="139">
        <v>0.30499999999999999</v>
      </c>
      <c r="P38" s="139">
        <v>0.33</v>
      </c>
      <c r="Q38" s="139">
        <v>0.42</v>
      </c>
      <c r="R38" s="139">
        <f t="shared" si="13"/>
        <v>0.44500000000000001</v>
      </c>
      <c r="S38" s="138">
        <v>1.5</v>
      </c>
      <c r="T38" s="139">
        <v>0.55900000000000005</v>
      </c>
      <c r="U38" s="139">
        <v>0.59299999999999997</v>
      </c>
      <c r="V38" s="139">
        <v>0.71499999999999997</v>
      </c>
      <c r="W38" s="139">
        <f t="shared" si="14"/>
        <v>0.78300000000000003</v>
      </c>
      <c r="X38" s="138">
        <v>2.65</v>
      </c>
      <c r="Y38" s="139">
        <v>0.88</v>
      </c>
      <c r="Z38" s="139">
        <v>0.81499999999999995</v>
      </c>
      <c r="AA38" s="139">
        <v>0.77400000000000002</v>
      </c>
      <c r="AB38" s="139">
        <f>AC38-AA38-Z38-Y38</f>
        <v>0.83099999999999985</v>
      </c>
      <c r="AC38" s="138">
        <v>3.3</v>
      </c>
      <c r="AD38" s="139">
        <v>0.28399999999999997</v>
      </c>
      <c r="AE38" s="139">
        <v>0.442</v>
      </c>
      <c r="AF38" s="139"/>
      <c r="AG38" s="139"/>
      <c r="AH38" s="138"/>
      <c r="AI38" s="138"/>
      <c r="AJ38" s="138"/>
    </row>
    <row r="39" spans="1:36" x14ac:dyDescent="0.25">
      <c r="C39" s="88"/>
      <c r="E39" s="89"/>
      <c r="F39" s="89"/>
      <c r="G39" s="89"/>
      <c r="H39" s="89"/>
      <c r="I39" s="136"/>
      <c r="J39" s="136"/>
      <c r="K39" s="136"/>
      <c r="L39" s="136"/>
      <c r="M39" s="136"/>
      <c r="N39" s="136"/>
      <c r="O39" s="135"/>
      <c r="P39" s="135"/>
      <c r="Q39" s="135"/>
      <c r="R39" s="135"/>
      <c r="S39" s="136"/>
      <c r="T39" s="135"/>
      <c r="V39" s="135"/>
      <c r="W39" s="135"/>
      <c r="X39" s="136"/>
      <c r="Y39" s="135"/>
      <c r="Z39" s="135"/>
      <c r="AA39" s="135"/>
      <c r="AB39" s="135"/>
      <c r="AC39" s="136"/>
      <c r="AE39" s="135"/>
      <c r="AF39" s="135"/>
      <c r="AG39" s="135"/>
      <c r="AH39" s="136"/>
      <c r="AI39" s="136"/>
      <c r="AJ39" s="136"/>
    </row>
    <row r="40" spans="1:36" x14ac:dyDescent="0.25">
      <c r="B40" s="1" t="s">
        <v>86</v>
      </c>
      <c r="C40" s="88"/>
      <c r="E40" s="89"/>
      <c r="F40" s="89"/>
      <c r="G40" s="89"/>
      <c r="H40" s="89"/>
      <c r="I40" s="136"/>
      <c r="J40" s="136"/>
      <c r="K40" s="136"/>
      <c r="L40" s="136"/>
      <c r="M40" s="136"/>
      <c r="N40" s="136"/>
      <c r="O40" s="135"/>
      <c r="P40" s="135"/>
      <c r="Q40" s="135"/>
      <c r="R40" s="135"/>
      <c r="S40" s="136"/>
      <c r="T40" s="135"/>
      <c r="U40" s="135"/>
      <c r="V40" s="135"/>
      <c r="W40" s="135"/>
      <c r="X40" s="136"/>
      <c r="Y40" s="135"/>
      <c r="Z40" s="135"/>
      <c r="AA40" s="135"/>
      <c r="AB40" s="135"/>
      <c r="AC40" s="136"/>
      <c r="AD40" s="135"/>
      <c r="AE40" s="135"/>
      <c r="AF40" s="135"/>
      <c r="AG40" s="135"/>
      <c r="AH40" s="136"/>
      <c r="AI40" s="136"/>
      <c r="AJ40" s="136"/>
    </row>
    <row r="41" spans="1:36" x14ac:dyDescent="0.25">
      <c r="B41" t="s">
        <v>84</v>
      </c>
      <c r="C41" s="88"/>
      <c r="E41" s="89"/>
      <c r="F41" s="89"/>
      <c r="G41" s="89"/>
      <c r="H41" s="89"/>
      <c r="I41" s="136">
        <v>3980</v>
      </c>
      <c r="J41" s="136"/>
      <c r="K41" s="136"/>
      <c r="L41" s="136"/>
      <c r="M41" s="136"/>
      <c r="N41" s="136">
        <v>4020</v>
      </c>
      <c r="O41" s="135">
        <v>4070</v>
      </c>
      <c r="P41" s="135">
        <v>4090</v>
      </c>
      <c r="Q41" s="135">
        <v>4110</v>
      </c>
      <c r="R41" s="135">
        <f>S41</f>
        <v>4100</v>
      </c>
      <c r="S41" s="136">
        <v>4100</v>
      </c>
      <c r="T41" s="135">
        <v>4120</v>
      </c>
      <c r="U41" s="135">
        <v>4080</v>
      </c>
      <c r="V41" s="135">
        <v>4050</v>
      </c>
      <c r="W41" s="135">
        <f>X41</f>
        <v>4090</v>
      </c>
      <c r="X41" s="136">
        <v>4090</v>
      </c>
      <c r="Y41" s="135">
        <v>4180</v>
      </c>
      <c r="Z41" s="135">
        <v>4150</v>
      </c>
      <c r="AA41" s="135">
        <v>4130</v>
      </c>
      <c r="AB41" s="135">
        <f>AC41</f>
        <v>4150</v>
      </c>
      <c r="AC41" s="136">
        <v>4150</v>
      </c>
      <c r="AD41" s="135">
        <v>4520</v>
      </c>
      <c r="AE41" s="135">
        <v>4650</v>
      </c>
      <c r="AF41" s="135"/>
      <c r="AG41" s="135"/>
      <c r="AH41" s="136"/>
      <c r="AI41" s="136"/>
      <c r="AJ41" s="136"/>
    </row>
    <row r="42" spans="1:36" x14ac:dyDescent="0.25">
      <c r="B42" t="s">
        <v>85</v>
      </c>
      <c r="C42" s="88"/>
      <c r="E42" s="89"/>
      <c r="F42" s="89"/>
      <c r="G42" s="89"/>
      <c r="H42" s="89"/>
      <c r="I42" s="136">
        <v>4190</v>
      </c>
      <c r="J42" s="136"/>
      <c r="K42" s="136"/>
      <c r="L42" s="136"/>
      <c r="M42" s="136"/>
      <c r="N42" s="136">
        <v>4210</v>
      </c>
      <c r="O42" s="135">
        <v>4280</v>
      </c>
      <c r="P42" s="135">
        <v>4290</v>
      </c>
      <c r="Q42" s="135">
        <v>4290</v>
      </c>
      <c r="R42" s="135">
        <f>S42</f>
        <v>4290</v>
      </c>
      <c r="S42" s="136">
        <v>4290</v>
      </c>
      <c r="T42" s="135">
        <v>4290</v>
      </c>
      <c r="U42" s="135">
        <v>4240</v>
      </c>
      <c r="V42" s="135">
        <v>4300</v>
      </c>
      <c r="W42" s="135">
        <f>X42</f>
        <v>4230</v>
      </c>
      <c r="X42" s="136">
        <v>4230</v>
      </c>
      <c r="Y42" s="135">
        <v>4290</v>
      </c>
      <c r="Z42" s="135">
        <v>4270</v>
      </c>
      <c r="AA42" s="135">
        <v>4270</v>
      </c>
      <c r="AB42" s="135">
        <f>AC42</f>
        <v>4270</v>
      </c>
      <c r="AC42" s="136">
        <v>4270</v>
      </c>
      <c r="AD42" s="135">
        <v>4670</v>
      </c>
      <c r="AE42" s="135">
        <v>4800</v>
      </c>
      <c r="AF42" s="135"/>
      <c r="AG42" s="135"/>
      <c r="AH42" s="136"/>
      <c r="AI42" s="136"/>
      <c r="AJ42" s="136"/>
    </row>
    <row r="43" spans="1:36" x14ac:dyDescent="0.25">
      <c r="C43" s="88"/>
      <c r="E43" s="89"/>
      <c r="F43" s="89"/>
      <c r="G43" s="89"/>
      <c r="H43" s="89"/>
      <c r="I43" s="136"/>
      <c r="J43" s="136"/>
      <c r="K43" s="136"/>
      <c r="L43" s="136"/>
      <c r="M43" s="136"/>
      <c r="N43" s="136"/>
      <c r="O43" s="135"/>
      <c r="P43" s="135"/>
      <c r="Q43" s="135"/>
      <c r="R43" s="135"/>
      <c r="S43" s="136"/>
      <c r="T43" s="135"/>
      <c r="U43" s="135"/>
      <c r="V43" s="135"/>
      <c r="W43" s="135"/>
      <c r="X43" s="136"/>
      <c r="Y43" s="135"/>
      <c r="Z43" s="135"/>
      <c r="AA43" s="135"/>
      <c r="AB43" s="135"/>
      <c r="AC43" s="136"/>
      <c r="AD43" s="135"/>
      <c r="AE43" s="135"/>
      <c r="AF43" s="135"/>
      <c r="AG43" s="135"/>
      <c r="AH43" s="136"/>
      <c r="AI43" s="136"/>
      <c r="AJ43" s="136"/>
    </row>
    <row r="44" spans="1:36" x14ac:dyDescent="0.25">
      <c r="B44" s="88"/>
      <c r="C44" s="88"/>
      <c r="E44" s="89"/>
      <c r="F44" s="89"/>
      <c r="G44" s="89"/>
      <c r="H44" s="89"/>
      <c r="I44" s="136"/>
      <c r="J44" s="136"/>
      <c r="K44" s="136"/>
      <c r="L44" s="136"/>
      <c r="M44" s="136"/>
      <c r="N44" s="136"/>
      <c r="O44" s="135"/>
      <c r="P44" s="135"/>
      <c r="Q44" s="135"/>
      <c r="R44" s="135"/>
      <c r="S44" s="136"/>
      <c r="T44" s="135"/>
      <c r="U44" s="135"/>
      <c r="V44" s="135"/>
      <c r="W44" s="135"/>
      <c r="X44" s="136"/>
      <c r="Y44" s="135"/>
      <c r="Z44" s="135"/>
      <c r="AA44" s="135"/>
      <c r="AB44" s="135"/>
      <c r="AC44" s="136"/>
      <c r="AD44" s="135"/>
      <c r="AE44" s="135"/>
      <c r="AF44" s="135"/>
      <c r="AG44" s="135"/>
      <c r="AH44" s="136"/>
      <c r="AI44" s="136"/>
      <c r="AJ44" s="136"/>
    </row>
    <row r="45" spans="1:36" x14ac:dyDescent="0.25">
      <c r="B45" s="96" t="s">
        <v>87</v>
      </c>
      <c r="C45" s="96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8"/>
      <c r="W45" s="98"/>
      <c r="X45" s="97"/>
      <c r="Y45" s="97"/>
      <c r="Z45" s="97"/>
      <c r="AA45" s="98"/>
      <c r="AB45" s="98"/>
      <c r="AC45" s="97"/>
      <c r="AD45" s="97"/>
      <c r="AE45" s="97"/>
      <c r="AF45" s="98"/>
      <c r="AG45" s="98"/>
      <c r="AH45" s="97"/>
      <c r="AI45" s="97"/>
      <c r="AJ45" s="97"/>
    </row>
    <row r="46" spans="1:36" x14ac:dyDescent="0.25">
      <c r="B46" s="115" t="s">
        <v>161</v>
      </c>
      <c r="C46" s="88"/>
      <c r="E46" s="89"/>
      <c r="F46" s="89"/>
      <c r="G46" s="89"/>
      <c r="H46" s="89"/>
      <c r="I46" s="136"/>
      <c r="J46" s="136"/>
      <c r="K46" s="136"/>
      <c r="L46" s="136"/>
      <c r="M46" s="136"/>
      <c r="N46" s="136"/>
      <c r="O46" s="135"/>
      <c r="P46" s="135"/>
      <c r="Q46" s="135"/>
      <c r="R46" s="135"/>
      <c r="S46" s="136"/>
      <c r="T46" s="135"/>
      <c r="U46" s="135"/>
      <c r="V46" s="135"/>
      <c r="W46" s="135"/>
      <c r="X46" s="136"/>
      <c r="Y46" s="135"/>
      <c r="Z46" s="135"/>
      <c r="AA46" s="135"/>
      <c r="AB46" s="135"/>
      <c r="AC46" s="136"/>
      <c r="AD46" s="135"/>
      <c r="AE46" s="135"/>
      <c r="AF46" s="135"/>
      <c r="AG46" s="135"/>
      <c r="AH46" s="136"/>
      <c r="AI46" s="136"/>
      <c r="AJ46" s="136"/>
    </row>
    <row r="47" spans="1:36" x14ac:dyDescent="0.25">
      <c r="B47" t="s">
        <v>82</v>
      </c>
      <c r="C47" s="88"/>
      <c r="E47" s="89"/>
      <c r="F47" s="89"/>
      <c r="G47" s="89"/>
      <c r="H47" s="89"/>
      <c r="I47" s="136">
        <v>2724</v>
      </c>
      <c r="J47" s="136"/>
      <c r="K47" s="136"/>
      <c r="L47" s="136"/>
      <c r="M47" s="136"/>
      <c r="N47" s="136">
        <v>2960</v>
      </c>
      <c r="O47" s="135">
        <v>1378</v>
      </c>
      <c r="P47" s="135">
        <v>1493</v>
      </c>
      <c r="Q47" s="135">
        <v>1876</v>
      </c>
      <c r="R47" s="135">
        <f>S47-Q47-P47-O47</f>
        <v>1989</v>
      </c>
      <c r="S47" s="136">
        <v>6736</v>
      </c>
      <c r="T47" s="135">
        <v>2472</v>
      </c>
      <c r="U47" s="135">
        <v>2590</v>
      </c>
      <c r="V47" s="135">
        <v>3074</v>
      </c>
      <c r="W47" s="135">
        <f>X47-V47-U47-T47</f>
        <v>3359</v>
      </c>
      <c r="X47" s="136">
        <v>11495</v>
      </c>
      <c r="Y47" s="135">
        <v>3774</v>
      </c>
      <c r="Z47" s="135">
        <v>3481</v>
      </c>
      <c r="AA47" s="135">
        <v>3303</v>
      </c>
      <c r="AB47" s="135">
        <v>3524</v>
      </c>
      <c r="AC47" s="136">
        <v>14082</v>
      </c>
      <c r="AD47" s="135">
        <v>1325</v>
      </c>
      <c r="AE47" s="135">
        <v>2121</v>
      </c>
      <c r="AF47" s="135"/>
      <c r="AG47" s="135"/>
      <c r="AH47" s="136"/>
      <c r="AI47" s="136"/>
      <c r="AJ47" s="136"/>
    </row>
    <row r="48" spans="1:36" x14ac:dyDescent="0.25">
      <c r="B48" s="1" t="s">
        <v>88</v>
      </c>
      <c r="C48" s="88"/>
      <c r="E48" s="89"/>
      <c r="F48" s="89"/>
      <c r="G48" s="89"/>
      <c r="H48" s="89"/>
      <c r="I48" s="136"/>
      <c r="J48" s="136"/>
      <c r="K48" s="136"/>
      <c r="L48" s="136"/>
      <c r="M48" s="136"/>
      <c r="N48" s="136"/>
      <c r="O48" s="135"/>
      <c r="P48" s="135"/>
      <c r="Q48" s="135"/>
      <c r="R48" s="135"/>
      <c r="S48" s="136"/>
      <c r="T48" s="135"/>
      <c r="U48" s="135"/>
      <c r="V48" s="135"/>
      <c r="W48" s="135"/>
      <c r="X48" s="136"/>
      <c r="Y48" s="135"/>
      <c r="Z48" s="135"/>
      <c r="AA48" s="135"/>
      <c r="AB48" s="135"/>
      <c r="AC48" s="136"/>
      <c r="AD48" s="135"/>
      <c r="AE48" s="135"/>
      <c r="AF48" s="135"/>
      <c r="AG48" s="135"/>
      <c r="AH48" s="136"/>
      <c r="AI48" s="136"/>
      <c r="AJ48" s="136"/>
    </row>
    <row r="49" spans="2:36" x14ac:dyDescent="0.25">
      <c r="B49" s="134" t="s">
        <v>162</v>
      </c>
      <c r="C49" s="88"/>
      <c r="E49" s="89"/>
      <c r="F49" s="89"/>
      <c r="G49" s="89"/>
      <c r="H49" s="89"/>
      <c r="I49" s="136">
        <v>5239</v>
      </c>
      <c r="J49" s="136"/>
      <c r="K49" s="136"/>
      <c r="L49" s="136"/>
      <c r="M49" s="136"/>
      <c r="N49" s="136">
        <v>6335</v>
      </c>
      <c r="O49" s="135">
        <v>1395</v>
      </c>
      <c r="P49" s="135">
        <f>2766-O49</f>
        <v>1371</v>
      </c>
      <c r="Q49" s="135">
        <f>4135-P49-O49</f>
        <v>1369</v>
      </c>
      <c r="R49" s="135">
        <f>S49-Q49-P49-O49</f>
        <v>1367</v>
      </c>
      <c r="S49" s="136">
        <v>5502</v>
      </c>
      <c r="T49" s="135">
        <v>1151</v>
      </c>
      <c r="U49" s="135">
        <f>2280-T49</f>
        <v>1129</v>
      </c>
      <c r="V49" s="135">
        <f>3368-U49-T49</f>
        <v>1088</v>
      </c>
      <c r="W49" s="135">
        <f>X49-V49-U49-T49</f>
        <v>1087</v>
      </c>
      <c r="X49" s="136">
        <v>4455</v>
      </c>
      <c r="Y49" s="135">
        <v>905</v>
      </c>
      <c r="Z49" s="135">
        <f>1715-Y49</f>
        <v>810</v>
      </c>
      <c r="AA49" s="135">
        <f>2525-Z49-Y49</f>
        <v>810</v>
      </c>
      <c r="AB49" s="135">
        <f>AC49-AA49-Z49-Y49</f>
        <v>808</v>
      </c>
      <c r="AC49" s="136">
        <v>3333</v>
      </c>
      <c r="AD49" s="135">
        <v>2206</v>
      </c>
      <c r="AE49" s="135">
        <f>4587-AD49</f>
        <v>2381</v>
      </c>
      <c r="AF49" s="135"/>
      <c r="AG49" s="135"/>
      <c r="AH49" s="136"/>
      <c r="AI49" s="136"/>
      <c r="AJ49" s="136"/>
    </row>
    <row r="50" spans="2:36" x14ac:dyDescent="0.25">
      <c r="B50" t="s">
        <v>163</v>
      </c>
      <c r="C50" s="88"/>
      <c r="E50" s="89"/>
      <c r="F50" s="89"/>
      <c r="G50" s="89"/>
      <c r="H50" s="89"/>
      <c r="I50" s="136">
        <v>569</v>
      </c>
      <c r="J50" s="136"/>
      <c r="K50" s="136"/>
      <c r="L50" s="136"/>
      <c r="M50" s="136"/>
      <c r="N50" s="136">
        <v>570</v>
      </c>
      <c r="O50" s="135">
        <v>138</v>
      </c>
      <c r="P50" s="135">
        <f>271-O50</f>
        <v>133</v>
      </c>
      <c r="Q50" s="135">
        <f>405-P50-O50</f>
        <v>134</v>
      </c>
      <c r="R50" s="135">
        <f>S50-Q50-P50-O50</f>
        <v>134</v>
      </c>
      <c r="S50" s="136">
        <v>539</v>
      </c>
      <c r="T50" s="135">
        <v>136</v>
      </c>
      <c r="U50" s="135">
        <f>271-T50</f>
        <v>135</v>
      </c>
      <c r="V50" s="135">
        <f>400-U50-T50</f>
        <v>129</v>
      </c>
      <c r="W50" s="135">
        <f>X50-V50-U50-T50</f>
        <v>129</v>
      </c>
      <c r="X50" s="136">
        <v>529</v>
      </c>
      <c r="Y50" s="135">
        <v>127</v>
      </c>
      <c r="Z50" s="135">
        <f>256-Y50</f>
        <v>129</v>
      </c>
      <c r="AA50" s="135">
        <f>378-Z50-Y50</f>
        <v>122</v>
      </c>
      <c r="AB50" s="135">
        <f>AC50-AA50-Z50-Y50</f>
        <v>124</v>
      </c>
      <c r="AC50" s="136">
        <v>502</v>
      </c>
      <c r="AD50" s="135">
        <v>139</v>
      </c>
      <c r="AE50" s="135">
        <f>288-AD50</f>
        <v>149</v>
      </c>
      <c r="AF50" s="135"/>
      <c r="AG50" s="135"/>
      <c r="AH50" s="136"/>
      <c r="AI50" s="136"/>
      <c r="AJ50" s="136"/>
    </row>
    <row r="51" spans="2:36" x14ac:dyDescent="0.25">
      <c r="B51" t="s">
        <v>164</v>
      </c>
      <c r="C51" s="88"/>
      <c r="E51" s="89"/>
      <c r="F51" s="89"/>
      <c r="G51" s="89"/>
      <c r="H51" s="89"/>
      <c r="I51" s="136">
        <v>2185</v>
      </c>
      <c r="J51" s="136"/>
      <c r="K51" s="136"/>
      <c r="L51" s="136"/>
      <c r="M51" s="136"/>
      <c r="N51" s="136">
        <v>1976</v>
      </c>
      <c r="O51" s="135"/>
      <c r="P51" s="135"/>
      <c r="Q51" s="135"/>
      <c r="R51" s="135"/>
      <c r="S51" s="136">
        <v>1704</v>
      </c>
      <c r="T51" s="135"/>
      <c r="U51" s="135"/>
      <c r="V51" s="135"/>
      <c r="W51" s="135"/>
      <c r="X51" s="136">
        <v>1533</v>
      </c>
      <c r="Y51" s="135"/>
      <c r="Z51" s="135"/>
      <c r="AA51" s="135"/>
      <c r="AB51" s="135"/>
      <c r="AC51" s="136">
        <v>2171</v>
      </c>
      <c r="AD51" s="135"/>
      <c r="AE51" s="135"/>
      <c r="AF51" s="135"/>
      <c r="AG51" s="135"/>
      <c r="AH51" s="136"/>
      <c r="AI51" s="136"/>
      <c r="AJ51" s="136"/>
    </row>
    <row r="52" spans="2:36" x14ac:dyDescent="0.25">
      <c r="B52" s="134" t="s">
        <v>165</v>
      </c>
      <c r="C52" s="88"/>
      <c r="E52" s="89"/>
      <c r="F52" s="89"/>
      <c r="G52" s="89"/>
      <c r="H52" s="89"/>
      <c r="I52" s="136">
        <v>-934</v>
      </c>
      <c r="J52" s="136"/>
      <c r="K52" s="136"/>
      <c r="L52" s="136"/>
      <c r="M52" s="136"/>
      <c r="N52" s="136">
        <v>-1142</v>
      </c>
      <c r="O52" s="135"/>
      <c r="P52" s="135"/>
      <c r="Q52" s="135"/>
      <c r="R52" s="135"/>
      <c r="S52" s="136">
        <v>-809</v>
      </c>
      <c r="T52" s="135"/>
      <c r="U52" s="135"/>
      <c r="V52" s="135"/>
      <c r="W52" s="135"/>
      <c r="X52" s="136">
        <v>-34</v>
      </c>
      <c r="Y52" s="135"/>
      <c r="Z52" s="135"/>
      <c r="AA52" s="135"/>
      <c r="AB52" s="135"/>
      <c r="AC52" s="136">
        <v>-501</v>
      </c>
      <c r="AD52" s="135"/>
      <c r="AE52" s="135"/>
      <c r="AF52" s="135"/>
      <c r="AG52" s="135"/>
      <c r="AH52" s="136"/>
      <c r="AI52" s="136"/>
      <c r="AJ52" s="136"/>
    </row>
    <row r="53" spans="2:36" s="128" customFormat="1" x14ac:dyDescent="0.25">
      <c r="B53" t="s">
        <v>166</v>
      </c>
      <c r="C53" s="129"/>
      <c r="E53" s="93"/>
      <c r="F53" s="93"/>
      <c r="G53" s="93"/>
      <c r="H53" s="93"/>
      <c r="I53" s="136">
        <v>28</v>
      </c>
      <c r="J53" s="136"/>
      <c r="K53" s="136"/>
      <c r="L53" s="136"/>
      <c r="M53" s="136"/>
      <c r="N53" s="136">
        <v>169</v>
      </c>
      <c r="O53" s="135"/>
      <c r="P53" s="135"/>
      <c r="Q53" s="135"/>
      <c r="R53" s="135"/>
      <c r="S53" s="136">
        <v>198</v>
      </c>
      <c r="T53" s="135"/>
      <c r="U53" s="135"/>
      <c r="V53" s="135"/>
      <c r="W53" s="135"/>
      <c r="X53" s="136">
        <v>100</v>
      </c>
      <c r="Y53" s="135"/>
      <c r="Z53" s="135"/>
      <c r="AA53" s="135"/>
      <c r="AB53" s="135"/>
      <c r="AC53" s="136" t="s">
        <v>90</v>
      </c>
      <c r="AD53" s="135"/>
      <c r="AE53" s="135"/>
      <c r="AF53" s="135"/>
      <c r="AG53" s="135"/>
      <c r="AH53" s="136"/>
      <c r="AI53" s="136"/>
      <c r="AJ53" s="136"/>
    </row>
    <row r="54" spans="2:36" x14ac:dyDescent="0.25">
      <c r="B54" t="s">
        <v>167</v>
      </c>
      <c r="I54" s="136">
        <v>69</v>
      </c>
      <c r="J54" s="136"/>
      <c r="K54" s="136"/>
      <c r="L54" s="136"/>
      <c r="M54" s="136"/>
      <c r="N54" s="136">
        <v>108</v>
      </c>
      <c r="O54" s="135"/>
      <c r="P54" s="135"/>
      <c r="Q54" s="135"/>
      <c r="R54" s="135"/>
      <c r="S54" s="136">
        <v>96</v>
      </c>
      <c r="T54" s="135"/>
      <c r="U54" s="135"/>
      <c r="V54" s="135"/>
      <c r="W54" s="135"/>
      <c r="X54" s="136">
        <v>129</v>
      </c>
      <c r="Y54" s="135"/>
      <c r="Z54" s="135"/>
      <c r="AA54" s="135"/>
      <c r="AB54" s="135"/>
      <c r="AC54" s="136">
        <v>132</v>
      </c>
      <c r="AD54" s="135"/>
      <c r="AE54" s="135"/>
      <c r="AF54" s="135"/>
      <c r="AG54" s="135"/>
      <c r="AH54" s="136"/>
      <c r="AI54" s="136"/>
      <c r="AJ54" s="136"/>
    </row>
    <row r="55" spans="2:36" x14ac:dyDescent="0.25">
      <c r="B55" t="s">
        <v>168</v>
      </c>
      <c r="I55" s="136">
        <f>133-132</f>
        <v>1</v>
      </c>
      <c r="J55" s="136"/>
      <c r="K55" s="136"/>
      <c r="L55" s="136"/>
      <c r="M55" s="136"/>
      <c r="N55" s="136">
        <f>44-52</f>
        <v>-8</v>
      </c>
      <c r="O55" s="135"/>
      <c r="P55" s="135"/>
      <c r="Q55" s="135"/>
      <c r="R55" s="135"/>
      <c r="S55" s="136">
        <v>-75</v>
      </c>
      <c r="T55" s="135"/>
      <c r="U55" s="135"/>
      <c r="V55" s="135"/>
      <c r="W55" s="135"/>
      <c r="X55" s="136">
        <v>183</v>
      </c>
      <c r="Y55" s="135"/>
      <c r="Z55" s="135"/>
      <c r="AA55" s="135"/>
      <c r="AB55" s="135"/>
      <c r="AC55" s="136">
        <v>9</v>
      </c>
      <c r="AD55" s="135"/>
      <c r="AE55" s="135"/>
      <c r="AF55" s="135"/>
      <c r="AG55" s="135"/>
      <c r="AH55" s="136"/>
      <c r="AI55" s="136"/>
      <c r="AJ55" s="136"/>
    </row>
    <row r="56" spans="2:36" x14ac:dyDescent="0.25">
      <c r="B56" s="115" t="s">
        <v>169</v>
      </c>
      <c r="I56" s="136"/>
      <c r="J56" s="136"/>
      <c r="K56" s="136"/>
      <c r="L56" s="136"/>
      <c r="M56" s="136"/>
      <c r="N56" s="136"/>
      <c r="O56" s="135"/>
      <c r="P56" s="135"/>
      <c r="Q56" s="135"/>
      <c r="R56" s="135"/>
      <c r="S56" s="136"/>
      <c r="T56" s="135"/>
      <c r="U56" s="135"/>
      <c r="V56" s="135"/>
      <c r="W56" s="135"/>
      <c r="X56" s="136"/>
      <c r="Y56" s="135"/>
      <c r="Z56" s="135"/>
      <c r="AA56" s="135"/>
      <c r="AB56" s="135"/>
      <c r="AC56" s="136"/>
      <c r="AD56" s="135"/>
      <c r="AE56" s="135"/>
      <c r="AF56" s="135"/>
      <c r="AG56" s="135"/>
      <c r="AH56" s="136"/>
      <c r="AI56" s="136"/>
      <c r="AJ56" s="136"/>
    </row>
    <row r="57" spans="2:36" x14ac:dyDescent="0.25">
      <c r="B57" t="s">
        <v>170</v>
      </c>
      <c r="I57" s="136">
        <v>486</v>
      </c>
      <c r="J57" s="136"/>
      <c r="K57" s="136"/>
      <c r="L57" s="136"/>
      <c r="M57" s="136"/>
      <c r="N57" s="136">
        <v>981</v>
      </c>
      <c r="O57" s="135">
        <v>-247</v>
      </c>
      <c r="P57" s="135">
        <f>-141-O57</f>
        <v>106</v>
      </c>
      <c r="Q57" s="135">
        <f>50-P57-O57</f>
        <v>191</v>
      </c>
      <c r="R57" s="135">
        <f>S57-Q57-P57-O57</f>
        <v>160</v>
      </c>
      <c r="S57" s="136">
        <v>210</v>
      </c>
      <c r="T57" s="135">
        <v>-468</v>
      </c>
      <c r="U57" s="135">
        <f>-1004-T57</f>
        <v>-536</v>
      </c>
      <c r="V57" s="135">
        <f>-629-U57-T57</f>
        <v>375</v>
      </c>
      <c r="W57" s="135">
        <f t="shared" ref="W57:W62" si="15">X57-V57-U57-T57</f>
        <v>-241</v>
      </c>
      <c r="X57" s="136">
        <v>-870</v>
      </c>
      <c r="Y57" s="135">
        <v>-276</v>
      </c>
      <c r="Z57" s="135">
        <f>-91-Y57</f>
        <v>185</v>
      </c>
      <c r="AA57" s="135">
        <f>44-Z57-Y57</f>
        <v>135</v>
      </c>
      <c r="AB57" s="135">
        <f t="shared" ref="AB57:AB63" si="16">AC57-AA57-Z57-Y57</f>
        <v>-231</v>
      </c>
      <c r="AC57" s="136">
        <v>-187</v>
      </c>
      <c r="AD57" s="135">
        <v>1756</v>
      </c>
      <c r="AE57" s="135">
        <f>1243-AD57</f>
        <v>-513</v>
      </c>
      <c r="AF57" s="135"/>
      <c r="AG57" s="135"/>
      <c r="AH57" s="136"/>
      <c r="AI57" s="136"/>
      <c r="AJ57" s="136"/>
    </row>
    <row r="58" spans="2:36" x14ac:dyDescent="0.25">
      <c r="B58" t="s">
        <v>171</v>
      </c>
      <c r="I58" s="136">
        <v>250</v>
      </c>
      <c r="J58" s="136"/>
      <c r="K58" s="136"/>
      <c r="L58" s="136"/>
      <c r="M58" s="136"/>
      <c r="N58" s="136">
        <v>-31</v>
      </c>
      <c r="O58" s="135">
        <v>51</v>
      </c>
      <c r="P58" s="135">
        <f>-1-O58</f>
        <v>-52</v>
      </c>
      <c r="Q58" s="135">
        <f>-157-P58-O58</f>
        <v>-156</v>
      </c>
      <c r="R58" s="135">
        <f t="shared" ref="R58:R63" si="17">S58-Q58-P58-O58</f>
        <v>-137</v>
      </c>
      <c r="S58" s="136">
        <v>-294</v>
      </c>
      <c r="T58" s="135">
        <v>-223</v>
      </c>
      <c r="U58" s="135">
        <f>-370-T58</f>
        <v>-147</v>
      </c>
      <c r="V58" s="135">
        <f>-540-U58-T58</f>
        <v>-170</v>
      </c>
      <c r="W58" s="135">
        <f t="shared" si="15"/>
        <v>-87</v>
      </c>
      <c r="X58" s="136">
        <v>-627</v>
      </c>
      <c r="Y58" s="135">
        <v>26</v>
      </c>
      <c r="Z58" s="135">
        <f>39-Y58</f>
        <v>13</v>
      </c>
      <c r="AA58" s="135">
        <f>83-Z58-Y58</f>
        <v>44</v>
      </c>
      <c r="AB58" s="135">
        <f t="shared" si="16"/>
        <v>-56</v>
      </c>
      <c r="AC58" s="136">
        <v>27</v>
      </c>
      <c r="AD58" s="135">
        <v>-14</v>
      </c>
      <c r="AE58" s="135">
        <f>68-AD58</f>
        <v>82</v>
      </c>
      <c r="AF58" s="135"/>
      <c r="AG58" s="135"/>
      <c r="AH58" s="136"/>
      <c r="AI58" s="136"/>
      <c r="AJ58" s="136"/>
    </row>
    <row r="59" spans="2:36" x14ac:dyDescent="0.25">
      <c r="B59" t="s">
        <v>172</v>
      </c>
      <c r="I59" s="136">
        <v>-42</v>
      </c>
      <c r="J59" s="136"/>
      <c r="K59" s="136"/>
      <c r="L59" s="136"/>
      <c r="M59" s="136"/>
      <c r="N59" s="136">
        <v>-3</v>
      </c>
      <c r="O59" s="135">
        <v>44</v>
      </c>
      <c r="P59" s="135">
        <f>-14-O59</f>
        <v>-58</v>
      </c>
      <c r="Q59" s="135">
        <f>142-P59-O59</f>
        <v>156</v>
      </c>
      <c r="R59" s="135">
        <f t="shared" si="17"/>
        <v>101</v>
      </c>
      <c r="S59" s="136">
        <v>243</v>
      </c>
      <c r="T59" s="135" t="s">
        <v>90</v>
      </c>
      <c r="U59" s="135">
        <v>-31</v>
      </c>
      <c r="V59" s="135">
        <f>-383-U59</f>
        <v>-352</v>
      </c>
      <c r="W59" s="135">
        <f>X59-V59-U59</f>
        <v>304</v>
      </c>
      <c r="X59" s="136">
        <v>-79</v>
      </c>
      <c r="Y59" s="135">
        <v>-80</v>
      </c>
      <c r="Z59" s="135">
        <f>-194-Y59</f>
        <v>-114</v>
      </c>
      <c r="AA59" s="135">
        <f>-6-Z59-Y59</f>
        <v>188</v>
      </c>
      <c r="AB59" s="135">
        <f t="shared" si="16"/>
        <v>215</v>
      </c>
      <c r="AC59" s="136">
        <v>209</v>
      </c>
      <c r="AD59" s="135">
        <v>-74</v>
      </c>
      <c r="AE59" s="135">
        <f>-167-AD59</f>
        <v>-93</v>
      </c>
      <c r="AF59" s="135"/>
      <c r="AG59" s="135"/>
      <c r="AH59" s="136"/>
      <c r="AI59" s="136"/>
      <c r="AJ59" s="136"/>
    </row>
    <row r="60" spans="2:36" x14ac:dyDescent="0.25">
      <c r="B60" s="134" t="s">
        <v>173</v>
      </c>
      <c r="I60" s="136">
        <v>-294</v>
      </c>
      <c r="J60" s="136"/>
      <c r="K60" s="136"/>
      <c r="L60" s="136"/>
      <c r="M60" s="136"/>
      <c r="N60" s="136">
        <v>217</v>
      </c>
      <c r="O60" s="135">
        <v>-375</v>
      </c>
      <c r="P60" s="135">
        <f>-240-O60</f>
        <v>135</v>
      </c>
      <c r="Q60" s="135">
        <f>14-P60-O60</f>
        <v>254</v>
      </c>
      <c r="R60" s="135">
        <f t="shared" si="17"/>
        <v>172</v>
      </c>
      <c r="S60" s="136">
        <v>186</v>
      </c>
      <c r="T60" s="135">
        <v>-528</v>
      </c>
      <c r="U60" s="135">
        <f>-313-T60</f>
        <v>215</v>
      </c>
      <c r="V60" s="135">
        <f>8-U60-T60</f>
        <v>321</v>
      </c>
      <c r="W60" s="135">
        <f t="shared" si="15"/>
        <v>128</v>
      </c>
      <c r="X60" s="136">
        <v>136</v>
      </c>
      <c r="Y60" s="135">
        <v>-657</v>
      </c>
      <c r="Z60" s="135">
        <f>-566-Y60</f>
        <v>91</v>
      </c>
      <c r="AA60" s="135">
        <f>-382-Z60-Y60</f>
        <v>184</v>
      </c>
      <c r="AB60" s="135">
        <f t="shared" si="16"/>
        <v>103</v>
      </c>
      <c r="AC60" s="136">
        <v>-279</v>
      </c>
      <c r="AD60" s="135">
        <v>-660</v>
      </c>
      <c r="AE60" s="135">
        <f>-409-AD60</f>
        <v>251</v>
      </c>
      <c r="AF60" s="135"/>
      <c r="AG60" s="135"/>
      <c r="AH60" s="136"/>
      <c r="AI60" s="136"/>
      <c r="AJ60" s="136"/>
    </row>
    <row r="61" spans="2:36" x14ac:dyDescent="0.25">
      <c r="B61" s="134" t="s">
        <v>174</v>
      </c>
      <c r="I61" s="136">
        <v>-283</v>
      </c>
      <c r="J61" s="136"/>
      <c r="K61" s="136"/>
      <c r="L61" s="136"/>
      <c r="M61" s="136"/>
      <c r="N61" s="136">
        <v>331</v>
      </c>
      <c r="O61" s="135">
        <v>408</v>
      </c>
      <c r="P61" s="135">
        <f>590-O61</f>
        <v>182</v>
      </c>
      <c r="Q61" s="135">
        <f>363-P61-O61</f>
        <v>-227</v>
      </c>
      <c r="R61" s="135">
        <f t="shared" si="17"/>
        <v>-540</v>
      </c>
      <c r="S61" s="136">
        <v>-177</v>
      </c>
      <c r="T61" s="135">
        <v>521</v>
      </c>
      <c r="U61" s="135">
        <f>808-T61</f>
        <v>287</v>
      </c>
      <c r="V61" s="135">
        <f>610-U61-T61</f>
        <v>-198</v>
      </c>
      <c r="W61" s="135">
        <f t="shared" si="15"/>
        <v>-388</v>
      </c>
      <c r="X61" s="136">
        <v>222</v>
      </c>
      <c r="Y61" s="135">
        <v>570</v>
      </c>
      <c r="Z61" s="135">
        <f>405-Y61</f>
        <v>-165</v>
      </c>
      <c r="AA61" s="135">
        <f>66-Z61-Y61</f>
        <v>-339</v>
      </c>
      <c r="AB61" s="135">
        <f t="shared" si="16"/>
        <v>-694</v>
      </c>
      <c r="AC61" s="136">
        <v>-628</v>
      </c>
      <c r="AD61" s="135">
        <v>-2182</v>
      </c>
      <c r="AE61" s="135">
        <f>-2568-AD61</f>
        <v>-386</v>
      </c>
      <c r="AF61" s="135"/>
      <c r="AG61" s="135"/>
      <c r="AH61" s="136"/>
      <c r="AI61" s="136"/>
      <c r="AJ61" s="136"/>
    </row>
    <row r="62" spans="2:36" x14ac:dyDescent="0.25">
      <c r="B62" s="134" t="s">
        <v>175</v>
      </c>
      <c r="I62" s="136">
        <v>-301</v>
      </c>
      <c r="J62" s="136"/>
      <c r="K62" s="136"/>
      <c r="L62" s="136"/>
      <c r="M62" s="136"/>
      <c r="N62" s="136">
        <v>-402</v>
      </c>
      <c r="O62" s="135">
        <v>-59</v>
      </c>
      <c r="P62" s="135">
        <f>-129-O62</f>
        <v>-70</v>
      </c>
      <c r="Q62" s="135">
        <f>-206-P62-O62</f>
        <v>-77</v>
      </c>
      <c r="R62" s="135">
        <f t="shared" si="17"/>
        <v>-89</v>
      </c>
      <c r="S62" s="136">
        <v>-295</v>
      </c>
      <c r="T62" s="135">
        <v>-79</v>
      </c>
      <c r="U62" s="135">
        <f>-107-T62</f>
        <v>-28</v>
      </c>
      <c r="V62" s="135">
        <f>-367-U62-T62</f>
        <v>-260</v>
      </c>
      <c r="W62" s="135">
        <f t="shared" si="15"/>
        <v>-69</v>
      </c>
      <c r="X62" s="136">
        <v>-436</v>
      </c>
      <c r="Y62" s="135">
        <v>-164</v>
      </c>
      <c r="Z62" s="135">
        <f>-343-Y62</f>
        <v>-179</v>
      </c>
      <c r="AA62" s="135">
        <f>-482-Z62-Y62</f>
        <v>-139</v>
      </c>
      <c r="AB62" s="135">
        <f t="shared" si="16"/>
        <v>-303</v>
      </c>
      <c r="AC62" s="136">
        <v>-785</v>
      </c>
      <c r="AD62" s="135">
        <v>891</v>
      </c>
      <c r="AE62" s="135">
        <f>322-AD62</f>
        <v>-569</v>
      </c>
      <c r="AF62" s="135"/>
      <c r="AG62" s="135"/>
      <c r="AH62" s="136"/>
      <c r="AI62" s="136"/>
      <c r="AJ62" s="136"/>
    </row>
    <row r="63" spans="2:36" s="1" customFormat="1" x14ac:dyDescent="0.25">
      <c r="B63" s="115" t="s">
        <v>89</v>
      </c>
      <c r="I63" s="140">
        <v>9697</v>
      </c>
      <c r="J63" s="140"/>
      <c r="K63" s="140"/>
      <c r="L63" s="140"/>
      <c r="M63" s="140"/>
      <c r="N63" s="140">
        <v>12061</v>
      </c>
      <c r="O63" s="141">
        <v>3113</v>
      </c>
      <c r="P63" s="141">
        <f>6682-O63</f>
        <v>3569</v>
      </c>
      <c r="Q63" s="141">
        <f>10223-P63-O63</f>
        <v>3541</v>
      </c>
      <c r="R63" s="141">
        <f t="shared" si="17"/>
        <v>3541</v>
      </c>
      <c r="S63" s="140">
        <v>13764</v>
      </c>
      <c r="T63" s="141">
        <v>3486</v>
      </c>
      <c r="U63" s="141">
        <f>7729-T63</f>
        <v>4243</v>
      </c>
      <c r="V63" s="141">
        <f>12153-U63-T63</f>
        <v>4424</v>
      </c>
      <c r="W63" s="141">
        <f>X63-V63-U63-T63</f>
        <v>4583</v>
      </c>
      <c r="X63" s="140">
        <v>16736</v>
      </c>
      <c r="Y63" s="141">
        <v>4036</v>
      </c>
      <c r="Z63" s="141">
        <f>8538-Y63</f>
        <v>4502</v>
      </c>
      <c r="AA63" s="141">
        <f>13257-Z63-Y63</f>
        <v>4719</v>
      </c>
      <c r="AB63" s="141">
        <f t="shared" si="16"/>
        <v>4828</v>
      </c>
      <c r="AC63" s="140">
        <v>18085</v>
      </c>
      <c r="AD63" s="141">
        <v>4815</v>
      </c>
      <c r="AE63" s="141">
        <f>9395-AD63</f>
        <v>4580</v>
      </c>
      <c r="AF63" s="141"/>
      <c r="AG63" s="141"/>
      <c r="AH63" s="140"/>
      <c r="AI63" s="140"/>
      <c r="AJ63" s="140"/>
    </row>
    <row r="64" spans="2:36" x14ac:dyDescent="0.25">
      <c r="I64" s="136"/>
      <c r="J64" s="136"/>
      <c r="K64" s="136"/>
      <c r="L64" s="136"/>
      <c r="M64" s="136"/>
      <c r="N64" s="136"/>
      <c r="O64" s="135"/>
      <c r="P64" s="135"/>
      <c r="Q64" s="135"/>
      <c r="R64" s="135"/>
      <c r="S64" s="136"/>
      <c r="T64" s="135"/>
      <c r="U64" s="135"/>
      <c r="V64" s="135"/>
      <c r="W64" s="135"/>
      <c r="X64" s="136"/>
      <c r="Y64" s="135"/>
      <c r="Z64" s="135"/>
      <c r="AA64" s="135"/>
      <c r="AB64" s="135"/>
      <c r="AC64" s="136"/>
      <c r="AD64" s="135"/>
      <c r="AE64" s="135"/>
      <c r="AF64" s="135"/>
      <c r="AG64" s="135"/>
      <c r="AH64" s="136"/>
      <c r="AI64" s="136"/>
      <c r="AJ64" s="136"/>
    </row>
    <row r="65" spans="2:36" x14ac:dyDescent="0.25">
      <c r="B65" s="115" t="s">
        <v>176</v>
      </c>
      <c r="I65" s="136"/>
      <c r="J65" s="136"/>
      <c r="K65" s="136"/>
      <c r="L65" s="136"/>
      <c r="M65" s="136"/>
      <c r="N65" s="136"/>
      <c r="O65" s="135"/>
      <c r="P65" s="135"/>
      <c r="Q65" s="135"/>
      <c r="R65" s="135"/>
      <c r="S65" s="136"/>
      <c r="T65" s="135"/>
      <c r="U65" s="135"/>
      <c r="V65" s="135"/>
      <c r="W65" s="135"/>
      <c r="X65" s="136"/>
      <c r="Y65" s="135"/>
      <c r="Z65" s="135"/>
      <c r="AA65" s="135"/>
      <c r="AB65" s="135"/>
      <c r="AC65" s="136"/>
      <c r="AD65" s="135"/>
      <c r="AE65" s="135"/>
      <c r="AF65" s="135"/>
      <c r="AG65" s="135"/>
      <c r="AH65" s="136"/>
      <c r="AI65" s="136"/>
      <c r="AJ65" s="136"/>
    </row>
    <row r="66" spans="2:36" x14ac:dyDescent="0.25">
      <c r="B66" s="134" t="s">
        <v>177</v>
      </c>
      <c r="I66" s="136">
        <v>-16033</v>
      </c>
      <c r="J66" s="136"/>
      <c r="K66" s="136"/>
      <c r="L66" s="136"/>
      <c r="M66" s="136"/>
      <c r="N66" s="136">
        <v>-10872</v>
      </c>
      <c r="O66" s="135"/>
      <c r="P66" s="135"/>
      <c r="Q66" s="135"/>
      <c r="R66" s="135"/>
      <c r="S66" s="136">
        <v>-8</v>
      </c>
      <c r="T66" s="135"/>
      <c r="U66" s="135"/>
      <c r="V66" s="135"/>
      <c r="W66" s="135"/>
      <c r="X66" s="136">
        <v>-246</v>
      </c>
      <c r="Y66" s="135"/>
      <c r="Z66" s="135"/>
      <c r="AA66" s="135"/>
      <c r="AB66" s="135"/>
      <c r="AC66" s="136">
        <v>-53</v>
      </c>
      <c r="AD66" s="135"/>
      <c r="AE66" s="135"/>
      <c r="AF66" s="135"/>
      <c r="AG66" s="135"/>
      <c r="AH66" s="136"/>
      <c r="AI66" s="136"/>
      <c r="AJ66" s="136"/>
    </row>
    <row r="67" spans="2:36" x14ac:dyDescent="0.25">
      <c r="B67" s="134" t="s">
        <v>178</v>
      </c>
      <c r="I67" s="136">
        <v>957</v>
      </c>
      <c r="J67" s="136"/>
      <c r="K67" s="136"/>
      <c r="L67" s="136"/>
      <c r="M67" s="136"/>
      <c r="N67" s="136">
        <v>218</v>
      </c>
      <c r="O67" s="135"/>
      <c r="P67" s="135"/>
      <c r="Q67" s="135"/>
      <c r="R67" s="135"/>
      <c r="S67" s="136">
        <v>45</v>
      </c>
      <c r="T67" s="135"/>
      <c r="U67" s="135"/>
      <c r="V67" s="135"/>
      <c r="W67" s="135"/>
      <c r="X67" s="136" t="s">
        <v>90</v>
      </c>
      <c r="Y67" s="135"/>
      <c r="Z67" s="135"/>
      <c r="AA67" s="135"/>
      <c r="AB67" s="135"/>
      <c r="AC67" s="136" t="s">
        <v>90</v>
      </c>
      <c r="AD67" s="135"/>
      <c r="AE67" s="135"/>
      <c r="AF67" s="135"/>
      <c r="AG67" s="135"/>
      <c r="AH67" s="136"/>
      <c r="AI67" s="136"/>
      <c r="AJ67" s="136"/>
    </row>
    <row r="68" spans="2:36" x14ac:dyDescent="0.25">
      <c r="B68" s="143" t="s">
        <v>179</v>
      </c>
      <c r="I68" s="136">
        <v>-432</v>
      </c>
      <c r="J68" s="136"/>
      <c r="K68" s="136"/>
      <c r="L68" s="136"/>
      <c r="M68" s="136"/>
      <c r="N68" s="136">
        <v>-463</v>
      </c>
      <c r="O68" s="135">
        <v>-114</v>
      </c>
      <c r="P68" s="135">
        <f>-240-O68</f>
        <v>-126</v>
      </c>
      <c r="Q68" s="135">
        <f>-355-P68-O68</f>
        <v>-115</v>
      </c>
      <c r="R68" s="135">
        <f>S68-Q68-P68-O68</f>
        <v>-88</v>
      </c>
      <c r="S68" s="136">
        <v>-443</v>
      </c>
      <c r="T68" s="135">
        <v>-101</v>
      </c>
      <c r="U68" s="135">
        <f>-186-T68</f>
        <v>-85</v>
      </c>
      <c r="V68" s="135">
        <f>-302-U68-T68</f>
        <v>-116</v>
      </c>
      <c r="W68" s="135">
        <f>X68-V68-U68-T68</f>
        <v>-122</v>
      </c>
      <c r="X68" s="136">
        <v>-424</v>
      </c>
      <c r="Y68" s="135">
        <v>-103</v>
      </c>
      <c r="Z68" s="135">
        <f>-255-Y68</f>
        <v>-152</v>
      </c>
      <c r="AA68" s="135">
        <f>-347-Z68-Y68</f>
        <v>-92</v>
      </c>
      <c r="AB68" s="135">
        <f>AC68-AA68-Z68-Y68</f>
        <v>-105</v>
      </c>
      <c r="AC68" s="136">
        <v>-452</v>
      </c>
      <c r="AD68" s="135">
        <v>-122</v>
      </c>
      <c r="AE68" s="135">
        <f>-254-AD68</f>
        <v>-132</v>
      </c>
      <c r="AF68" s="135"/>
      <c r="AG68" s="135"/>
      <c r="AH68" s="136"/>
      <c r="AI68" s="136"/>
      <c r="AJ68" s="136"/>
    </row>
    <row r="69" spans="2:36" x14ac:dyDescent="0.25">
      <c r="B69" t="s">
        <v>180</v>
      </c>
      <c r="I69" s="136" t="s">
        <v>90</v>
      </c>
      <c r="J69" s="136"/>
      <c r="K69" s="136"/>
      <c r="L69" s="136"/>
      <c r="M69" s="136"/>
      <c r="N69" s="136" t="s">
        <v>90</v>
      </c>
      <c r="O69" s="135"/>
      <c r="P69" s="135"/>
      <c r="Q69" s="135"/>
      <c r="R69" s="135"/>
      <c r="S69" s="136" t="s">
        <v>90</v>
      </c>
      <c r="T69" s="135"/>
      <c r="U69" s="135"/>
      <c r="V69" s="135"/>
      <c r="W69" s="135"/>
      <c r="X69" s="136">
        <v>-200</v>
      </c>
      <c r="Y69" s="135"/>
      <c r="Z69" s="135"/>
      <c r="AA69" s="135"/>
      <c r="AB69" s="135"/>
      <c r="AC69" s="136">
        <v>-346</v>
      </c>
      <c r="AD69" s="135"/>
      <c r="AE69" s="135"/>
      <c r="AF69" s="135"/>
      <c r="AG69" s="135"/>
      <c r="AH69" s="136"/>
      <c r="AI69" s="136"/>
      <c r="AJ69" s="136"/>
    </row>
    <row r="70" spans="2:36" x14ac:dyDescent="0.25">
      <c r="B70" t="s">
        <v>181</v>
      </c>
      <c r="I70" s="136" t="s">
        <v>90</v>
      </c>
      <c r="J70" s="136"/>
      <c r="K70" s="136"/>
      <c r="L70" s="136"/>
      <c r="M70" s="136"/>
      <c r="N70" s="136" t="s">
        <v>90</v>
      </c>
      <c r="O70" s="135"/>
      <c r="P70" s="135"/>
      <c r="Q70" s="135"/>
      <c r="R70" s="135"/>
      <c r="S70" s="136">
        <v>169</v>
      </c>
      <c r="T70" s="135"/>
      <c r="U70" s="135"/>
      <c r="V70" s="135"/>
      <c r="W70" s="135"/>
      <c r="X70" s="136">
        <v>200</v>
      </c>
      <c r="Y70" s="135"/>
      <c r="Z70" s="135"/>
      <c r="AA70" s="135"/>
      <c r="AB70" s="135"/>
      <c r="AC70" s="136">
        <v>228</v>
      </c>
      <c r="AD70" s="135"/>
      <c r="AE70" s="135"/>
      <c r="AF70" s="135"/>
      <c r="AG70" s="135"/>
      <c r="AH70" s="136"/>
      <c r="AI70" s="136"/>
      <c r="AJ70" s="136"/>
    </row>
    <row r="71" spans="2:36" x14ac:dyDescent="0.25">
      <c r="B71" t="s">
        <v>168</v>
      </c>
      <c r="I71" s="136">
        <v>86</v>
      </c>
      <c r="J71" s="136"/>
      <c r="K71" s="136"/>
      <c r="L71" s="136"/>
      <c r="M71" s="136"/>
      <c r="N71" s="136">
        <v>8</v>
      </c>
      <c r="O71" s="135"/>
      <c r="P71" s="135"/>
      <c r="Q71" s="135"/>
      <c r="R71" s="135"/>
      <c r="S71" s="136">
        <v>-8</v>
      </c>
      <c r="T71" s="135"/>
      <c r="U71" s="135"/>
      <c r="V71" s="135"/>
      <c r="W71" s="135"/>
      <c r="X71" s="136">
        <v>3</v>
      </c>
      <c r="Y71" s="135"/>
      <c r="Z71" s="135"/>
      <c r="AA71" s="135"/>
      <c r="AB71" s="135"/>
      <c r="AC71" s="136">
        <v>-66</v>
      </c>
      <c r="AD71" s="135"/>
      <c r="AE71" s="135"/>
      <c r="AF71" s="135"/>
      <c r="AG71" s="135"/>
      <c r="AH71" s="136"/>
      <c r="AI71" s="136"/>
      <c r="AJ71" s="136"/>
    </row>
    <row r="72" spans="2:36" s="1" customFormat="1" x14ac:dyDescent="0.25">
      <c r="B72" s="115" t="s">
        <v>182</v>
      </c>
      <c r="I72" s="140">
        <v>-15422</v>
      </c>
      <c r="J72" s="140"/>
      <c r="K72" s="140"/>
      <c r="L72" s="140"/>
      <c r="M72" s="140"/>
      <c r="N72" s="140">
        <v>-11109</v>
      </c>
      <c r="O72" s="141"/>
      <c r="P72" s="141"/>
      <c r="Q72" s="141"/>
      <c r="R72" s="141"/>
      <c r="S72" s="140">
        <v>-245</v>
      </c>
      <c r="T72" s="141"/>
      <c r="U72" s="141"/>
      <c r="V72" s="141"/>
      <c r="W72" s="141"/>
      <c r="X72" s="140">
        <v>-677</v>
      </c>
      <c r="Y72" s="141"/>
      <c r="Z72" s="141"/>
      <c r="AA72" s="141"/>
      <c r="AB72" s="141"/>
      <c r="AC72" s="140">
        <v>-689</v>
      </c>
      <c r="AD72" s="141"/>
      <c r="AE72" s="141"/>
      <c r="AF72" s="141"/>
      <c r="AG72" s="141"/>
      <c r="AH72" s="140"/>
      <c r="AI72" s="140"/>
      <c r="AJ72" s="140"/>
    </row>
    <row r="73" spans="2:36" x14ac:dyDescent="0.25">
      <c r="I73" s="136"/>
      <c r="J73" s="136"/>
      <c r="K73" s="136"/>
      <c r="L73" s="136"/>
      <c r="M73" s="136"/>
      <c r="N73" s="136"/>
      <c r="O73" s="135"/>
      <c r="P73" s="135"/>
      <c r="Q73" s="135"/>
      <c r="R73" s="135"/>
      <c r="S73" s="136"/>
      <c r="T73" s="135"/>
      <c r="U73" s="135"/>
      <c r="V73" s="135"/>
      <c r="W73" s="135"/>
      <c r="X73" s="136"/>
      <c r="Y73" s="135"/>
      <c r="Z73" s="135"/>
      <c r="AA73" s="135"/>
      <c r="AB73" s="135"/>
      <c r="AC73" s="136"/>
      <c r="AD73" s="135"/>
      <c r="AE73" s="135"/>
      <c r="AF73" s="135"/>
      <c r="AG73" s="135"/>
      <c r="AH73" s="136"/>
      <c r="AI73" s="136"/>
      <c r="AJ73" s="136"/>
    </row>
    <row r="74" spans="2:36" x14ac:dyDescent="0.25">
      <c r="B74" s="115" t="s">
        <v>183</v>
      </c>
      <c r="I74" s="136"/>
      <c r="J74" s="136"/>
      <c r="K74" s="136"/>
      <c r="L74" s="136"/>
      <c r="M74" s="136"/>
      <c r="N74" s="136"/>
      <c r="O74" s="135"/>
      <c r="P74" s="135"/>
      <c r="Q74" s="135"/>
      <c r="R74" s="135"/>
      <c r="S74" s="136"/>
      <c r="T74" s="135"/>
      <c r="U74" s="135"/>
      <c r="V74" s="135"/>
      <c r="W74" s="135"/>
      <c r="X74" s="136"/>
      <c r="Y74" s="135"/>
      <c r="Z74" s="135"/>
      <c r="AA74" s="135"/>
      <c r="AB74" s="135"/>
      <c r="AC74" s="136"/>
      <c r="AD74" s="135"/>
      <c r="AE74" s="135"/>
      <c r="AF74" s="135"/>
      <c r="AG74" s="135"/>
      <c r="AH74" s="136"/>
      <c r="AI74" s="136"/>
      <c r="AJ74" s="136"/>
    </row>
    <row r="75" spans="2:36" x14ac:dyDescent="0.25">
      <c r="B75" s="134" t="s">
        <v>184</v>
      </c>
      <c r="I75" s="136">
        <v>28793</v>
      </c>
      <c r="J75" s="136"/>
      <c r="K75" s="136"/>
      <c r="L75" s="136"/>
      <c r="M75" s="136"/>
      <c r="N75" s="136">
        <v>27802</v>
      </c>
      <c r="O75" s="135"/>
      <c r="P75" s="135"/>
      <c r="Q75" s="135"/>
      <c r="R75" s="135"/>
      <c r="S75" s="136">
        <v>9904</v>
      </c>
      <c r="T75" s="135"/>
      <c r="U75" s="135"/>
      <c r="V75" s="135"/>
      <c r="W75" s="135"/>
      <c r="X75" s="136">
        <v>1935</v>
      </c>
      <c r="Y75" s="135"/>
      <c r="Z75" s="135"/>
      <c r="AA75" s="135"/>
      <c r="AB75" s="135"/>
      <c r="AC75" s="136" t="s">
        <v>90</v>
      </c>
      <c r="AD75" s="135"/>
      <c r="AE75" s="135"/>
      <c r="AF75" s="135"/>
      <c r="AG75" s="135"/>
      <c r="AH75" s="136"/>
      <c r="AI75" s="136"/>
      <c r="AJ75" s="136"/>
    </row>
    <row r="76" spans="2:36" x14ac:dyDescent="0.25">
      <c r="B76" t="s">
        <v>185</v>
      </c>
      <c r="I76" s="136">
        <v>-16800</v>
      </c>
      <c r="J76" s="136"/>
      <c r="K76" s="136"/>
      <c r="L76" s="136"/>
      <c r="M76" s="136"/>
      <c r="N76" s="136">
        <v>-18814</v>
      </c>
      <c r="O76" s="135"/>
      <c r="P76" s="135"/>
      <c r="Q76" s="135"/>
      <c r="R76" s="135"/>
      <c r="S76" s="136">
        <v>-11495</v>
      </c>
      <c r="T76" s="135"/>
      <c r="U76" s="135"/>
      <c r="V76" s="135"/>
      <c r="W76" s="135"/>
      <c r="X76" s="136">
        <v>-2361</v>
      </c>
      <c r="Y76" s="135"/>
      <c r="Z76" s="135"/>
      <c r="AA76" s="135"/>
      <c r="AB76" s="135"/>
      <c r="AC76" s="136">
        <v>-403</v>
      </c>
      <c r="AD76" s="135"/>
      <c r="AE76" s="135"/>
      <c r="AF76" s="135"/>
      <c r="AG76" s="135"/>
      <c r="AH76" s="136"/>
      <c r="AI76" s="136"/>
      <c r="AJ76" s="136"/>
    </row>
    <row r="77" spans="2:36" x14ac:dyDescent="0.25">
      <c r="B77" t="s">
        <v>186</v>
      </c>
      <c r="I77" s="136">
        <v>-4235</v>
      </c>
      <c r="J77" s="136"/>
      <c r="K77" s="136"/>
      <c r="L77" s="136"/>
      <c r="M77" s="136"/>
      <c r="N77" s="136">
        <v>-5534</v>
      </c>
      <c r="O77" s="135"/>
      <c r="P77" s="135"/>
      <c r="Q77" s="135"/>
      <c r="R77" s="135"/>
      <c r="S77" s="136">
        <v>-6212</v>
      </c>
      <c r="T77" s="135"/>
      <c r="U77" s="135"/>
      <c r="V77" s="135"/>
      <c r="W77" s="135"/>
      <c r="X77" s="136">
        <v>-7032</v>
      </c>
      <c r="Y77" s="135"/>
      <c r="Z77" s="135"/>
      <c r="AA77" s="135"/>
      <c r="AB77" s="135"/>
      <c r="AC77" s="136">
        <v>-7645</v>
      </c>
      <c r="AD77" s="135"/>
      <c r="AE77" s="135"/>
      <c r="AF77" s="135"/>
      <c r="AG77" s="135"/>
      <c r="AH77" s="136"/>
      <c r="AI77" s="136"/>
      <c r="AJ77" s="136"/>
    </row>
    <row r="78" spans="2:36" x14ac:dyDescent="0.25">
      <c r="B78" s="134" t="s">
        <v>187</v>
      </c>
      <c r="I78" s="136">
        <v>-5435</v>
      </c>
      <c r="J78" s="136"/>
      <c r="K78" s="136"/>
      <c r="L78" s="136"/>
      <c r="M78" s="136"/>
      <c r="N78" s="136" t="s">
        <v>90</v>
      </c>
      <c r="O78" s="135"/>
      <c r="P78" s="135"/>
      <c r="Q78" s="135"/>
      <c r="R78" s="135"/>
      <c r="S78" s="136" t="s">
        <v>90</v>
      </c>
      <c r="T78" s="135"/>
      <c r="U78" s="135"/>
      <c r="V78" s="135"/>
      <c r="W78" s="135"/>
      <c r="X78" s="136">
        <v>-7000</v>
      </c>
      <c r="Y78" s="135"/>
      <c r="Z78" s="135"/>
      <c r="AA78" s="135"/>
      <c r="AB78" s="135"/>
      <c r="AC78" s="136">
        <v>-5824</v>
      </c>
      <c r="AD78" s="135"/>
      <c r="AE78" s="135"/>
      <c r="AF78" s="135"/>
      <c r="AG78" s="135"/>
      <c r="AH78" s="136"/>
      <c r="AI78" s="136"/>
      <c r="AJ78" s="136"/>
    </row>
    <row r="79" spans="2:36" x14ac:dyDescent="0.25">
      <c r="B79" s="134" t="s">
        <v>188</v>
      </c>
      <c r="I79" s="136">
        <v>-972</v>
      </c>
      <c r="J79" s="136"/>
      <c r="K79" s="136"/>
      <c r="L79" s="136"/>
      <c r="M79" s="136"/>
      <c r="N79" s="136">
        <v>-765</v>
      </c>
      <c r="O79" s="135"/>
      <c r="P79" s="135"/>
      <c r="Q79" s="135"/>
      <c r="R79" s="135"/>
      <c r="S79" s="136">
        <v>-1299</v>
      </c>
      <c r="T79" s="135"/>
      <c r="U79" s="135"/>
      <c r="V79" s="135"/>
      <c r="W79" s="135"/>
      <c r="X79" s="136">
        <v>-1455</v>
      </c>
      <c r="Y79" s="135"/>
      <c r="Z79" s="135"/>
      <c r="AA79" s="135"/>
      <c r="AB79" s="135"/>
      <c r="AC79" s="136">
        <v>-1861</v>
      </c>
      <c r="AD79" s="135"/>
      <c r="AE79" s="135"/>
      <c r="AF79" s="135"/>
      <c r="AG79" s="135"/>
      <c r="AH79" s="136"/>
      <c r="AI79" s="136"/>
      <c r="AJ79" s="136"/>
    </row>
    <row r="80" spans="2:36" x14ac:dyDescent="0.25">
      <c r="B80" t="s">
        <v>189</v>
      </c>
      <c r="I80" s="136">
        <v>253</v>
      </c>
      <c r="J80" s="136"/>
      <c r="K80" s="136"/>
      <c r="L80" s="136"/>
      <c r="M80" s="136"/>
      <c r="N80" s="136">
        <v>276</v>
      </c>
      <c r="O80" s="135"/>
      <c r="P80" s="135"/>
      <c r="Q80" s="135"/>
      <c r="R80" s="135"/>
      <c r="S80" s="136">
        <v>170</v>
      </c>
      <c r="T80" s="135"/>
      <c r="U80" s="135"/>
      <c r="V80" s="135"/>
      <c r="W80" s="135"/>
      <c r="X80" s="136">
        <v>114</v>
      </c>
      <c r="Y80" s="135"/>
      <c r="Z80" s="135"/>
      <c r="AA80" s="135"/>
      <c r="AB80" s="135"/>
      <c r="AC80" s="136">
        <v>122</v>
      </c>
      <c r="AD80" s="135"/>
      <c r="AE80" s="135"/>
      <c r="AF80" s="135"/>
      <c r="AG80" s="135"/>
      <c r="AH80" s="136"/>
      <c r="AI80" s="136"/>
      <c r="AJ80" s="136"/>
    </row>
    <row r="81" spans="2:36" s="1" customFormat="1" x14ac:dyDescent="0.25">
      <c r="B81" t="s">
        <v>168</v>
      </c>
      <c r="I81" s="136">
        <v>-36</v>
      </c>
      <c r="J81" s="136"/>
      <c r="K81" s="136"/>
      <c r="L81" s="136"/>
      <c r="M81" s="136"/>
      <c r="N81" s="136">
        <v>-69</v>
      </c>
      <c r="O81" s="135"/>
      <c r="P81" s="135"/>
      <c r="Q81" s="135"/>
      <c r="R81" s="135"/>
      <c r="S81" s="136">
        <v>-42</v>
      </c>
      <c r="T81" s="135"/>
      <c r="U81" s="135"/>
      <c r="V81" s="135"/>
      <c r="W81" s="135"/>
      <c r="X81" s="136">
        <v>-17</v>
      </c>
      <c r="Y81" s="135"/>
      <c r="Z81" s="135"/>
      <c r="AA81" s="135"/>
      <c r="AB81" s="135"/>
      <c r="AC81" s="136">
        <v>-12</v>
      </c>
      <c r="AD81" s="135"/>
      <c r="AE81" s="135"/>
      <c r="AF81" s="135"/>
      <c r="AG81" s="135"/>
      <c r="AH81" s="136"/>
      <c r="AI81" s="136"/>
      <c r="AJ81" s="136"/>
    </row>
    <row r="82" spans="2:36" s="1" customFormat="1" x14ac:dyDescent="0.25">
      <c r="B82" s="115" t="s">
        <v>190</v>
      </c>
      <c r="I82" s="140">
        <v>6488</v>
      </c>
      <c r="J82" s="140"/>
      <c r="K82" s="140"/>
      <c r="L82" s="140"/>
      <c r="M82" s="140"/>
      <c r="N82" s="140">
        <v>1611</v>
      </c>
      <c r="O82" s="141"/>
      <c r="P82" s="141"/>
      <c r="Q82" s="141"/>
      <c r="R82" s="141"/>
      <c r="S82" s="140">
        <v>-8974</v>
      </c>
      <c r="T82" s="141"/>
      <c r="U82" s="141"/>
      <c r="V82" s="141"/>
      <c r="W82" s="141"/>
      <c r="X82" s="140">
        <v>-15816</v>
      </c>
      <c r="Y82" s="141"/>
      <c r="Z82" s="141"/>
      <c r="AA82" s="141"/>
      <c r="AB82" s="141"/>
      <c r="AC82" s="140">
        <v>-15623</v>
      </c>
      <c r="AD82" s="141"/>
      <c r="AE82" s="141"/>
      <c r="AF82" s="141"/>
      <c r="AG82" s="141"/>
      <c r="AH82" s="140"/>
      <c r="AI82" s="140"/>
      <c r="AJ82" s="140"/>
    </row>
    <row r="83" spans="2:36" s="1" customFormat="1" x14ac:dyDescent="0.25">
      <c r="B83" s="115" t="s">
        <v>191</v>
      </c>
      <c r="I83" s="140">
        <v>763</v>
      </c>
      <c r="J83" s="140"/>
      <c r="K83" s="140"/>
      <c r="L83" s="140"/>
      <c r="M83" s="140"/>
      <c r="N83" s="140">
        <v>2563</v>
      </c>
      <c r="O83" s="141"/>
      <c r="P83" s="141"/>
      <c r="Q83" s="141"/>
      <c r="R83" s="141"/>
      <c r="S83" s="140">
        <v>4545</v>
      </c>
      <c r="T83" s="141"/>
      <c r="U83" s="141"/>
      <c r="V83" s="141"/>
      <c r="W83" s="141"/>
      <c r="X83" s="140">
        <v>253</v>
      </c>
      <c r="Y83" s="141"/>
      <c r="Z83" s="141"/>
      <c r="AA83" s="141"/>
      <c r="AB83" s="141"/>
      <c r="AC83" s="140">
        <v>1773</v>
      </c>
      <c r="AD83" s="141"/>
      <c r="AE83" s="141"/>
      <c r="AF83" s="141"/>
      <c r="AG83" s="141"/>
      <c r="AH83" s="140"/>
      <c r="AI83" s="140"/>
      <c r="AJ83" s="140"/>
    </row>
    <row r="84" spans="2:36" x14ac:dyDescent="0.25">
      <c r="B84" s="134" t="s">
        <v>192</v>
      </c>
      <c r="I84" s="136">
        <v>4292</v>
      </c>
      <c r="J84" s="136"/>
      <c r="K84" s="136"/>
      <c r="L84" s="136"/>
      <c r="M84" s="136"/>
      <c r="N84" s="136">
        <v>5055</v>
      </c>
      <c r="O84" s="135"/>
      <c r="P84" s="135"/>
      <c r="Q84" s="135"/>
      <c r="R84" s="135"/>
      <c r="S84" s="136">
        <v>7618</v>
      </c>
      <c r="T84" s="135"/>
      <c r="U84" s="135"/>
      <c r="V84" s="135"/>
      <c r="W84" s="135"/>
      <c r="X84" s="136">
        <v>12163</v>
      </c>
      <c r="Y84" s="135"/>
      <c r="Z84" s="135"/>
      <c r="AA84" s="135"/>
      <c r="AB84" s="135"/>
      <c r="AC84" s="136">
        <v>12416</v>
      </c>
      <c r="AD84" s="135"/>
      <c r="AE84" s="135"/>
      <c r="AF84" s="135"/>
      <c r="AG84" s="135"/>
      <c r="AH84" s="136"/>
      <c r="AI84" s="136"/>
      <c r="AJ84" s="136"/>
    </row>
    <row r="85" spans="2:36" x14ac:dyDescent="0.25">
      <c r="B85" s="134" t="s">
        <v>193</v>
      </c>
      <c r="I85" s="136">
        <v>5055</v>
      </c>
      <c r="J85" s="136"/>
      <c r="K85" s="136"/>
      <c r="L85" s="136"/>
      <c r="M85" s="136"/>
      <c r="N85" s="136">
        <v>7618</v>
      </c>
      <c r="O85" s="135"/>
      <c r="P85" s="135"/>
      <c r="Q85" s="135"/>
      <c r="R85" s="135"/>
      <c r="S85" s="136">
        <v>12163</v>
      </c>
      <c r="T85" s="135"/>
      <c r="U85" s="135"/>
      <c r="V85" s="135"/>
      <c r="W85" s="135"/>
      <c r="X85" s="136">
        <v>12416</v>
      </c>
      <c r="Y85" s="135"/>
      <c r="Z85" s="135"/>
      <c r="AA85" s="135"/>
      <c r="AB85" s="135"/>
      <c r="AC85" s="136">
        <v>14189</v>
      </c>
      <c r="AD85" s="135"/>
      <c r="AE85" s="135"/>
      <c r="AF85" s="135"/>
      <c r="AG85" s="135"/>
      <c r="AH85" s="136"/>
      <c r="AI85" s="136"/>
      <c r="AJ85" s="136"/>
    </row>
    <row r="86" spans="2:36" x14ac:dyDescent="0.25">
      <c r="I86" s="136"/>
      <c r="J86" s="136"/>
      <c r="K86" s="136"/>
      <c r="L86" s="136"/>
      <c r="M86" s="136"/>
      <c r="N86" s="136"/>
      <c r="O86" s="135"/>
      <c r="P86" s="135"/>
      <c r="Q86" s="135"/>
      <c r="R86" s="135"/>
      <c r="S86" s="136"/>
      <c r="T86" s="135"/>
      <c r="U86" s="135"/>
      <c r="V86" s="135"/>
      <c r="W86" s="135"/>
      <c r="X86" s="136"/>
      <c r="Y86" s="135"/>
      <c r="Z86" s="135"/>
      <c r="AA86" s="135"/>
      <c r="AB86" s="135"/>
      <c r="AC86" s="136"/>
      <c r="AD86" s="135"/>
      <c r="AE86" s="135"/>
      <c r="AF86" s="135"/>
      <c r="AG86" s="135"/>
      <c r="AH86" s="136"/>
      <c r="AI86" s="136"/>
      <c r="AJ86" s="136"/>
    </row>
    <row r="87" spans="2:36" x14ac:dyDescent="0.25">
      <c r="B87" s="115" t="s">
        <v>194</v>
      </c>
      <c r="I87" s="136"/>
      <c r="J87" s="136"/>
      <c r="K87" s="136"/>
      <c r="L87" s="136"/>
      <c r="M87" s="136"/>
      <c r="N87" s="136"/>
      <c r="O87" s="135"/>
      <c r="P87" s="135"/>
      <c r="Q87" s="135"/>
      <c r="R87" s="135"/>
      <c r="S87" s="136"/>
      <c r="T87" s="135"/>
      <c r="U87" s="135"/>
      <c r="V87" s="135"/>
      <c r="W87" s="135"/>
      <c r="X87" s="136"/>
      <c r="Y87" s="135"/>
      <c r="Z87" s="135"/>
      <c r="AA87" s="135"/>
      <c r="AB87" s="135"/>
      <c r="AC87" s="136"/>
      <c r="AD87" s="135"/>
      <c r="AE87" s="135"/>
      <c r="AF87" s="135"/>
      <c r="AG87" s="135"/>
      <c r="AH87" s="136"/>
      <c r="AI87" s="136"/>
      <c r="AJ87" s="136"/>
    </row>
    <row r="88" spans="2:36" x14ac:dyDescent="0.25">
      <c r="B88" t="s">
        <v>195</v>
      </c>
      <c r="I88" s="136">
        <v>1287</v>
      </c>
      <c r="J88" s="136"/>
      <c r="K88" s="136"/>
      <c r="L88" s="136"/>
      <c r="M88" s="136"/>
      <c r="N88" s="136">
        <v>1408</v>
      </c>
      <c r="O88" s="135"/>
      <c r="P88" s="135"/>
      <c r="Q88" s="135"/>
      <c r="R88" s="135"/>
      <c r="S88" s="136">
        <v>1565</v>
      </c>
      <c r="T88" s="135"/>
      <c r="U88" s="135"/>
      <c r="V88" s="135"/>
      <c r="W88" s="135"/>
      <c r="X88" s="136">
        <v>1386</v>
      </c>
      <c r="Y88" s="135"/>
      <c r="Z88" s="135"/>
      <c r="AA88" s="135"/>
      <c r="AB88" s="135"/>
      <c r="AC88" s="136">
        <v>1503</v>
      </c>
      <c r="AD88" s="135"/>
      <c r="AE88" s="135"/>
      <c r="AF88" s="135"/>
      <c r="AG88" s="135"/>
      <c r="AH88" s="136"/>
      <c r="AI88" s="136"/>
      <c r="AJ88" s="136"/>
    </row>
    <row r="89" spans="2:36" x14ac:dyDescent="0.25">
      <c r="B89" t="s">
        <v>196</v>
      </c>
      <c r="I89" s="136">
        <v>741</v>
      </c>
      <c r="J89" s="136"/>
      <c r="K89" s="136"/>
      <c r="L89" s="136"/>
      <c r="M89" s="136"/>
      <c r="N89" s="136">
        <v>501</v>
      </c>
      <c r="O89" s="135"/>
      <c r="P89" s="135"/>
      <c r="Q89" s="135"/>
      <c r="R89" s="135"/>
      <c r="S89" s="136">
        <v>775</v>
      </c>
      <c r="T89" s="135"/>
      <c r="U89" s="135"/>
      <c r="V89" s="135"/>
      <c r="W89" s="135"/>
      <c r="X89" s="136">
        <v>908</v>
      </c>
      <c r="Y89" s="135"/>
      <c r="Z89" s="135"/>
      <c r="AA89" s="135"/>
      <c r="AB89" s="135"/>
      <c r="AC89" s="136">
        <v>1782</v>
      </c>
      <c r="AD89" s="135"/>
      <c r="AE89" s="135"/>
      <c r="AF89" s="135"/>
      <c r="AG89" s="135"/>
      <c r="AH89" s="136"/>
      <c r="AI89" s="136"/>
      <c r="AJ89" s="136"/>
    </row>
    <row r="90" spans="2:36" x14ac:dyDescent="0.25">
      <c r="I90" s="136"/>
      <c r="J90" s="136"/>
      <c r="K90" s="136"/>
      <c r="L90" s="136"/>
      <c r="M90" s="136"/>
      <c r="N90" s="136"/>
      <c r="O90" s="135"/>
      <c r="P90" s="135"/>
      <c r="Q90" s="135"/>
      <c r="R90" s="135"/>
      <c r="S90" s="136"/>
      <c r="T90" s="135"/>
      <c r="U90" s="135"/>
      <c r="V90" s="135"/>
      <c r="W90" s="135"/>
      <c r="X90" s="136"/>
      <c r="Y90" s="135"/>
      <c r="Z90" s="135"/>
      <c r="AA90" s="135"/>
      <c r="AB90" s="135"/>
      <c r="AC90" s="136"/>
      <c r="AD90" s="135"/>
      <c r="AE90" s="135"/>
      <c r="AF90" s="135"/>
      <c r="AG90" s="135"/>
      <c r="AH90" s="136"/>
      <c r="AI90" s="136"/>
      <c r="AJ90" s="136"/>
    </row>
    <row r="91" spans="2:36" x14ac:dyDescent="0.25">
      <c r="I91" s="136"/>
      <c r="J91" s="136"/>
      <c r="K91" s="136"/>
      <c r="L91" s="136"/>
      <c r="M91" s="136"/>
      <c r="N91" s="136"/>
      <c r="O91" s="135"/>
      <c r="P91" s="135"/>
      <c r="Q91" s="135"/>
      <c r="R91" s="135"/>
      <c r="S91" s="136"/>
      <c r="T91" s="135"/>
      <c r="U91" s="135"/>
      <c r="V91" s="135"/>
      <c r="W91" s="135"/>
      <c r="X91" s="136"/>
      <c r="Y91" s="135"/>
      <c r="Z91" s="135"/>
      <c r="AA91" s="135"/>
      <c r="AB91" s="135"/>
      <c r="AC91" s="136"/>
      <c r="AD91" s="135"/>
      <c r="AE91" s="135"/>
      <c r="AF91" s="135"/>
      <c r="AG91" s="135"/>
      <c r="AH91" s="136"/>
      <c r="AI91" s="136"/>
      <c r="AJ91" s="136"/>
    </row>
    <row r="92" spans="2:36" x14ac:dyDescent="0.25">
      <c r="I92" s="136"/>
      <c r="J92" s="136"/>
      <c r="K92" s="136"/>
      <c r="L92" s="136"/>
      <c r="M92" s="136"/>
      <c r="N92" s="136"/>
      <c r="O92" s="135"/>
      <c r="P92" s="135"/>
      <c r="Q92" s="135"/>
      <c r="R92" s="135"/>
      <c r="S92" s="136"/>
      <c r="T92" s="135"/>
      <c r="U92" s="135"/>
      <c r="V92" s="135"/>
      <c r="W92" s="135"/>
      <c r="X92" s="136"/>
      <c r="Y92" s="135"/>
      <c r="Z92" s="135"/>
      <c r="AA92" s="135"/>
      <c r="AB92" s="135"/>
      <c r="AC92" s="136"/>
      <c r="AD92" s="135"/>
      <c r="AE92" s="135"/>
      <c r="AF92" s="135"/>
      <c r="AG92" s="135"/>
      <c r="AH92" s="136"/>
      <c r="AI92" s="136"/>
      <c r="AJ92" s="1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426D-E342-406E-B2E9-87B03AEAE814}">
  <sheetPr>
    <tabColor theme="9" tint="-0.249977111117893"/>
  </sheetPr>
  <dimension ref="A1:AQ180"/>
  <sheetViews>
    <sheetView zoomScale="80" zoomScaleNormal="80" workbookViewId="0">
      <pane xSplit="3" ySplit="4" topLeftCell="I44" activePane="bottomRight" state="frozen"/>
      <selection activeCell="B27" sqref="B27"/>
      <selection pane="topRight" activeCell="B27" sqref="B27"/>
      <selection pane="bottomLeft" activeCell="B27" sqref="B27"/>
      <selection pane="bottomRight" activeCell="X87" sqref="X87"/>
    </sheetView>
  </sheetViews>
  <sheetFormatPr defaultColWidth="8.85546875" defaultRowHeight="15" outlineLevelCol="1" x14ac:dyDescent="0.25"/>
  <cols>
    <col min="1" max="1" width="0.42578125" customWidth="1"/>
    <col min="2" max="2" width="105.42578125" bestFit="1" customWidth="1"/>
    <col min="3" max="3" width="1.140625" customWidth="1"/>
    <col min="4" max="4" width="1.7109375" hidden="1" customWidth="1" outlineLevel="1"/>
    <col min="5" max="6" width="11.42578125" hidden="1" customWidth="1" outlineLevel="1"/>
    <col min="7" max="7" width="12.42578125" hidden="1" customWidth="1" outlineLevel="1"/>
    <col min="8" max="8" width="12.28515625" hidden="1" customWidth="1" outlineLevel="1"/>
    <col min="9" max="9" width="12.42578125" style="123" customWidth="1" collapsed="1"/>
    <col min="10" max="13" width="12.140625" style="123" hidden="1" customWidth="1" outlineLevel="1"/>
    <col min="14" max="14" width="12.42578125" style="123" bestFit="1" customWidth="1" collapsed="1"/>
    <col min="15" max="18" width="12.140625" style="123" hidden="1" customWidth="1" outlineLevel="1"/>
    <col min="19" max="19" width="13.140625" style="123" bestFit="1" customWidth="1" collapsed="1"/>
    <col min="20" max="23" width="12.28515625" style="123" hidden="1" customWidth="1" outlineLevel="1"/>
    <col min="24" max="24" width="12.42578125" style="123" bestFit="1" customWidth="1" collapsed="1"/>
    <col min="25" max="28" width="12.28515625" style="123" hidden="1" customWidth="1" outlineLevel="1"/>
    <col min="29" max="29" width="12.42578125" style="123" customWidth="1" collapsed="1"/>
    <col min="30" max="30" width="12.28515625" style="123" hidden="1" customWidth="1" outlineLevel="1"/>
    <col min="31" max="31" width="17.28515625" style="123" hidden="1" customWidth="1" outlineLevel="1"/>
    <col min="32" max="32" width="13.7109375" style="123" hidden="1" customWidth="1" outlineLevel="1"/>
    <col min="33" max="33" width="12.28515625" style="123" hidden="1" customWidth="1" outlineLevel="1"/>
    <col min="34" max="34" width="12.85546875" style="123" customWidth="1" collapsed="1"/>
    <col min="35" max="35" width="12.85546875" style="123" customWidth="1"/>
    <col min="36" max="36" width="14.140625" style="123" customWidth="1"/>
  </cols>
  <sheetData>
    <row r="1" spans="1:43" s="1" customFormat="1" x14ac:dyDescent="0.25">
      <c r="B1" s="73" t="s">
        <v>199</v>
      </c>
      <c r="C1" s="74"/>
      <c r="E1" s="75"/>
      <c r="F1" s="75"/>
      <c r="G1" s="75"/>
      <c r="H1" s="75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/>
      <c r="AL1"/>
      <c r="AM1"/>
      <c r="AN1"/>
      <c r="AO1"/>
      <c r="AP1"/>
      <c r="AQ1"/>
    </row>
    <row r="2" spans="1:43" x14ac:dyDescent="0.25">
      <c r="B2" s="1" t="s">
        <v>49</v>
      </c>
      <c r="C2" s="1"/>
      <c r="D2" s="77"/>
      <c r="E2" s="102" t="s">
        <v>50</v>
      </c>
      <c r="F2" s="102" t="s">
        <v>51</v>
      </c>
      <c r="G2" s="102" t="s">
        <v>52</v>
      </c>
      <c r="H2" s="102" t="s">
        <v>53</v>
      </c>
      <c r="I2" s="102">
        <v>2019</v>
      </c>
      <c r="J2" s="102" t="s">
        <v>54</v>
      </c>
      <c r="K2" s="102" t="s">
        <v>55</v>
      </c>
      <c r="L2" s="102" t="s">
        <v>56</v>
      </c>
      <c r="M2" s="102" t="s">
        <v>57</v>
      </c>
      <c r="N2" s="102">
        <v>2020</v>
      </c>
      <c r="O2" s="102" t="s">
        <v>58</v>
      </c>
      <c r="P2" s="102" t="s">
        <v>59</v>
      </c>
      <c r="Q2" s="102" t="s">
        <v>60</v>
      </c>
      <c r="R2" s="102" t="s">
        <v>61</v>
      </c>
      <c r="S2" s="102">
        <v>2021</v>
      </c>
      <c r="T2" s="102" t="s">
        <v>62</v>
      </c>
      <c r="U2" s="102" t="s">
        <v>63</v>
      </c>
      <c r="V2" s="102" t="s">
        <v>64</v>
      </c>
      <c r="W2" s="102" t="s">
        <v>65</v>
      </c>
      <c r="X2" s="102">
        <v>2022</v>
      </c>
      <c r="Y2" s="102" t="s">
        <v>66</v>
      </c>
      <c r="Z2" s="102" t="s">
        <v>67</v>
      </c>
      <c r="AA2" s="102" t="s">
        <v>68</v>
      </c>
      <c r="AB2" s="102" t="s">
        <v>69</v>
      </c>
      <c r="AC2" s="102">
        <v>2023</v>
      </c>
      <c r="AD2" s="102" t="s">
        <v>70</v>
      </c>
      <c r="AE2" s="102" t="s">
        <v>71</v>
      </c>
      <c r="AF2" s="102" t="s">
        <v>72</v>
      </c>
      <c r="AG2" s="102" t="s">
        <v>73</v>
      </c>
      <c r="AH2" s="102" t="s">
        <v>74</v>
      </c>
      <c r="AI2" s="102" t="s">
        <v>75</v>
      </c>
      <c r="AJ2" s="102" t="s">
        <v>76</v>
      </c>
    </row>
    <row r="3" spans="1:43" x14ac:dyDescent="0.25">
      <c r="A3" s="79"/>
      <c r="B3" s="80" t="s">
        <v>77</v>
      </c>
      <c r="C3" s="80"/>
      <c r="D3" s="81"/>
      <c r="E3" s="81">
        <v>43555</v>
      </c>
      <c r="F3" s="81">
        <f>EOMONTH(E3,3)</f>
        <v>43646</v>
      </c>
      <c r="G3" s="81">
        <f>EOMONTH(F3,3)</f>
        <v>43738</v>
      </c>
      <c r="H3" s="81">
        <f>EOMONTH(G3,3)</f>
        <v>43830</v>
      </c>
      <c r="I3" s="103">
        <f>+H3</f>
        <v>43830</v>
      </c>
      <c r="J3" s="104">
        <f>EOMONTH(I3,3)</f>
        <v>43921</v>
      </c>
      <c r="K3" s="104">
        <f>EOMONTH(J3,3)</f>
        <v>44012</v>
      </c>
      <c r="L3" s="104">
        <f>EOMONTH(K3,3)</f>
        <v>44104</v>
      </c>
      <c r="M3" s="104">
        <f>EOMONTH(L3,3)</f>
        <v>44196</v>
      </c>
      <c r="N3" s="104">
        <f>+M3</f>
        <v>44196</v>
      </c>
      <c r="O3" s="104">
        <f>EOMONTH(N3,3)</f>
        <v>44286</v>
      </c>
      <c r="P3" s="104">
        <f>EOMONTH(O3,3)</f>
        <v>44377</v>
      </c>
      <c r="Q3" s="104">
        <f>EOMONTH(P3,3)</f>
        <v>44469</v>
      </c>
      <c r="R3" s="104">
        <f>EOMONTH(Q3,3)</f>
        <v>44561</v>
      </c>
      <c r="S3" s="104">
        <f>+R3</f>
        <v>44561</v>
      </c>
      <c r="T3" s="104">
        <f>EOMONTH(S3,3)</f>
        <v>44651</v>
      </c>
      <c r="U3" s="104">
        <f>EOMONTH(T3,3)</f>
        <v>44742</v>
      </c>
      <c r="V3" s="105">
        <f>EOMONTH(U3,3)</f>
        <v>44834</v>
      </c>
      <c r="W3" s="105">
        <f>EOMONTH(V3,3)</f>
        <v>44926</v>
      </c>
      <c r="X3" s="105">
        <f>+EOMONTH(S3,12)</f>
        <v>44926</v>
      </c>
      <c r="Y3" s="104">
        <f>EOMONTH(W3,3)</f>
        <v>45016</v>
      </c>
      <c r="Z3" s="104">
        <f>EOMONTH(Y3,3)</f>
        <v>45107</v>
      </c>
      <c r="AA3" s="105">
        <f>EOMONTH(Z3,3)</f>
        <v>45199</v>
      </c>
      <c r="AB3" s="105">
        <f>EOMONTH(AA3,3)</f>
        <v>45291</v>
      </c>
      <c r="AC3" s="105">
        <f>+EOMONTH(X3,12)</f>
        <v>45291</v>
      </c>
      <c r="AD3" s="104">
        <f>EOMONTH(AB3,3)</f>
        <v>45382</v>
      </c>
      <c r="AE3" s="104">
        <f>EOMONTH(AD3,3)</f>
        <v>45473</v>
      </c>
      <c r="AF3" s="105">
        <f>EOMONTH(AE3,3)</f>
        <v>45565</v>
      </c>
      <c r="AG3" s="105">
        <f>EOMONTH(AF3,3)</f>
        <v>45657</v>
      </c>
      <c r="AH3" s="106"/>
      <c r="AI3" s="106"/>
      <c r="AJ3" s="106"/>
    </row>
    <row r="4" spans="1:43" x14ac:dyDescent="0.25">
      <c r="B4" s="88" t="s">
        <v>78</v>
      </c>
      <c r="C4" s="88"/>
      <c r="E4" s="89">
        <v>90</v>
      </c>
      <c r="F4" s="89">
        <f>+F3-E3</f>
        <v>91</v>
      </c>
      <c r="G4" s="89">
        <f>+G3-F3</f>
        <v>92</v>
      </c>
      <c r="H4" s="89">
        <f>+H3-G3</f>
        <v>92</v>
      </c>
      <c r="I4" s="107">
        <v>365</v>
      </c>
      <c r="J4" s="108">
        <f>+J3-I3</f>
        <v>91</v>
      </c>
      <c r="K4" s="108">
        <f>+K3-J3</f>
        <v>91</v>
      </c>
      <c r="L4" s="108">
        <f>+L3-K3</f>
        <v>92</v>
      </c>
      <c r="M4" s="108">
        <f>+M3-L3</f>
        <v>92</v>
      </c>
      <c r="N4" s="108">
        <f>+N3-I3</f>
        <v>366</v>
      </c>
      <c r="O4" s="108">
        <f>+O3-N3</f>
        <v>90</v>
      </c>
      <c r="P4" s="108">
        <f>+P3-O3</f>
        <v>91</v>
      </c>
      <c r="Q4" s="108">
        <f>+Q3-P3</f>
        <v>92</v>
      </c>
      <c r="R4" s="108">
        <f>+R3-Q3</f>
        <v>92</v>
      </c>
      <c r="S4" s="108">
        <f>+S3-N3</f>
        <v>365</v>
      </c>
      <c r="T4" s="108">
        <f>+T3-S3</f>
        <v>90</v>
      </c>
      <c r="U4" s="108">
        <f>+U3-T3</f>
        <v>91</v>
      </c>
      <c r="V4" s="109">
        <f>+V3-U3</f>
        <v>92</v>
      </c>
      <c r="W4" s="109">
        <f>+W3-V3</f>
        <v>92</v>
      </c>
      <c r="X4" s="109">
        <f>X3-S3</f>
        <v>365</v>
      </c>
      <c r="Y4" s="108">
        <f>+Y3-W3</f>
        <v>90</v>
      </c>
      <c r="Z4" s="108">
        <f>+Z3-Y3</f>
        <v>91</v>
      </c>
      <c r="AA4" s="109">
        <f>+AA3-Z3</f>
        <v>92</v>
      </c>
      <c r="AB4" s="109">
        <f>+AB3-AA3</f>
        <v>92</v>
      </c>
      <c r="AC4" s="109">
        <f>AC3-X3</f>
        <v>365</v>
      </c>
      <c r="AD4" s="108">
        <f>+AD3-AB3</f>
        <v>91</v>
      </c>
      <c r="AE4" s="108">
        <f>+AE3-AD3</f>
        <v>91</v>
      </c>
      <c r="AF4" s="109">
        <f>+AF3-AE3</f>
        <v>92</v>
      </c>
      <c r="AG4" s="109">
        <f>+AG3-AF3</f>
        <v>92</v>
      </c>
      <c r="AH4" s="110"/>
      <c r="AI4" s="110"/>
      <c r="AJ4" s="110"/>
    </row>
    <row r="5" spans="1:43" x14ac:dyDescent="0.25">
      <c r="A5" s="96"/>
      <c r="B5" s="96" t="s">
        <v>79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</row>
    <row r="6" spans="1:43" x14ac:dyDescent="0.25">
      <c r="B6" t="s">
        <v>197</v>
      </c>
      <c r="C6" s="88"/>
      <c r="E6" s="89"/>
      <c r="F6" s="89"/>
      <c r="G6" s="89"/>
      <c r="H6" s="89"/>
      <c r="I6" s="149">
        <f>'Raw Input'!I6</f>
        <v>18117</v>
      </c>
      <c r="J6" s="149"/>
      <c r="K6" s="149"/>
      <c r="L6" s="149"/>
      <c r="M6" s="149"/>
      <c r="N6" s="149">
        <f>'Raw Input'!N6</f>
        <v>17435</v>
      </c>
      <c r="O6" s="149">
        <f>'Raw Input'!O6</f>
        <v>5081</v>
      </c>
      <c r="P6" s="149">
        <f>'Raw Input'!P6</f>
        <v>4983</v>
      </c>
      <c r="Q6" s="149">
        <f>'Raw Input'!Q6</f>
        <v>5064</v>
      </c>
      <c r="R6" s="149">
        <f>'Raw Input'!R6</f>
        <v>5758</v>
      </c>
      <c r="S6" s="149">
        <f>'Raw Input'!S6</f>
        <v>20886</v>
      </c>
      <c r="T6" s="149">
        <f>'Raw Input'!T6</f>
        <v>6053</v>
      </c>
      <c r="U6" s="149">
        <f>'Raw Input'!U6</f>
        <v>6417</v>
      </c>
      <c r="V6" s="149">
        <f>'Raw Input'!V6</f>
        <v>6627</v>
      </c>
      <c r="W6" s="149">
        <f>'Raw Input'!W6</f>
        <v>7180</v>
      </c>
      <c r="X6" s="149">
        <f>'Raw Input'!X6</f>
        <v>26277</v>
      </c>
      <c r="Y6" s="149">
        <f>'Raw Input'!Y6</f>
        <v>7082</v>
      </c>
      <c r="Z6" s="149">
        <f>'Raw Input'!Z6</f>
        <v>6741</v>
      </c>
      <c r="AA6" s="149">
        <f>'Raw Input'!AA6</f>
        <v>6917</v>
      </c>
      <c r="AB6" s="149">
        <f>'Raw Input'!AB6</f>
        <v>7151</v>
      </c>
      <c r="AC6" s="149">
        <f>'Raw Input'!AC6</f>
        <v>27891</v>
      </c>
      <c r="AD6" s="149">
        <f>'Raw Input'!AD6</f>
        <v>7412</v>
      </c>
      <c r="AE6" s="149">
        <f>'Raw Input'!AE6</f>
        <v>7192</v>
      </c>
      <c r="AF6" s="149">
        <f>AA6*(1+AF7)</f>
        <v>7677.8700000000008</v>
      </c>
      <c r="AG6" s="149">
        <f>AB6*(1+AG7)</f>
        <v>7866.1</v>
      </c>
      <c r="AH6" s="149">
        <f>SUM(AD6:AG6)</f>
        <v>30147.97</v>
      </c>
      <c r="AI6" s="149">
        <f>AH6*(1+AI7)</f>
        <v>34368.685800000007</v>
      </c>
      <c r="AJ6" s="149">
        <f>AI6*(1+AJ7)</f>
        <v>38492.928096000011</v>
      </c>
    </row>
    <row r="7" spans="1:43" x14ac:dyDescent="0.25">
      <c r="B7" s="111" t="s">
        <v>91</v>
      </c>
      <c r="C7" s="88"/>
      <c r="E7" s="89"/>
      <c r="F7" s="89"/>
      <c r="G7" s="89"/>
      <c r="H7" s="89"/>
      <c r="I7" s="166" t="s">
        <v>90</v>
      </c>
      <c r="J7" s="166"/>
      <c r="K7" s="166"/>
      <c r="L7" s="166"/>
      <c r="M7" s="166"/>
      <c r="N7" s="147">
        <f>N6/I6-1</f>
        <v>-3.7644201578627801E-2</v>
      </c>
      <c r="O7" s="147"/>
      <c r="P7" s="147"/>
      <c r="Q7" s="147"/>
      <c r="R7" s="147"/>
      <c r="S7" s="147">
        <f>S6/N6-1</f>
        <v>0.19793518784055064</v>
      </c>
      <c r="T7" s="147">
        <f>T6/O6-1</f>
        <v>0.19130092501476081</v>
      </c>
      <c r="U7" s="147">
        <f t="shared" ref="U7" si="0">U6/P6-1</f>
        <v>0.28777844671884401</v>
      </c>
      <c r="V7" s="147">
        <f>V6/Q6-1</f>
        <v>0.30864928909952605</v>
      </c>
      <c r="W7" s="147">
        <f>W6/R6-1</f>
        <v>0.24696075026050712</v>
      </c>
      <c r="X7" s="147">
        <f>X6/S6-1</f>
        <v>0.25811548405630558</v>
      </c>
      <c r="Y7" s="147">
        <f>Y6/T6-1</f>
        <v>0.16999834792664803</v>
      </c>
      <c r="Z7" s="147">
        <f t="shared" ref="Z7" si="1">Z6/U6-1</f>
        <v>5.0490883590462943E-2</v>
      </c>
      <c r="AA7" s="147">
        <f>AA6/V6-1</f>
        <v>4.376037422664858E-2</v>
      </c>
      <c r="AB7" s="147">
        <f>AB6/W6-1</f>
        <v>-4.0389972144846409E-3</v>
      </c>
      <c r="AC7" s="147">
        <f>AC6/X6-1</f>
        <v>6.1422536819271567E-2</v>
      </c>
      <c r="AD7" s="147">
        <f>AD6/Y6-1</f>
        <v>4.6597006495340265E-2</v>
      </c>
      <c r="AE7" s="147">
        <f>AE6/Z6-1</f>
        <v>6.6904020175048151E-2</v>
      </c>
      <c r="AF7" s="147">
        <v>0.11</v>
      </c>
      <c r="AG7" s="147">
        <v>0.1</v>
      </c>
      <c r="AH7" s="147">
        <f>AH6/AC6-1</f>
        <v>8.0921085654870772E-2</v>
      </c>
      <c r="AI7" s="147">
        <v>0.14000000000000001</v>
      </c>
      <c r="AJ7" s="147">
        <v>0.12</v>
      </c>
    </row>
    <row r="8" spans="1:43" x14ac:dyDescent="0.25">
      <c r="B8" t="s">
        <v>145</v>
      </c>
      <c r="C8" s="88"/>
      <c r="E8" s="89"/>
      <c r="F8" s="89"/>
      <c r="G8" s="89"/>
      <c r="H8" s="89"/>
      <c r="I8" s="149">
        <f>'Raw Input'!I7</f>
        <v>4480</v>
      </c>
      <c r="J8" s="149"/>
      <c r="K8" s="149"/>
      <c r="L8" s="149"/>
      <c r="M8" s="149"/>
      <c r="N8" s="149">
        <f>'Raw Input'!N7</f>
        <v>6453</v>
      </c>
      <c r="O8" s="149">
        <f>'Raw Input'!O7</f>
        <v>1574</v>
      </c>
      <c r="P8" s="149">
        <f>'Raw Input'!P7</f>
        <v>1627</v>
      </c>
      <c r="Q8" s="149">
        <f>'Raw Input'!Q7</f>
        <v>1714</v>
      </c>
      <c r="R8" s="149">
        <f>'Raw Input'!R7</f>
        <v>1649</v>
      </c>
      <c r="S8" s="149">
        <f>'Raw Input'!S7</f>
        <v>6564</v>
      </c>
      <c r="T8" s="149">
        <f>'Raw Input'!T7</f>
        <v>1653</v>
      </c>
      <c r="U8" s="149">
        <f>'Raw Input'!U7</f>
        <v>1686</v>
      </c>
      <c r="V8" s="149">
        <f>'Raw Input'!V7</f>
        <v>1837</v>
      </c>
      <c r="W8" s="149">
        <f>'Raw Input'!W7</f>
        <v>1750</v>
      </c>
      <c r="X8" s="149">
        <f>'Raw Input'!X7</f>
        <v>6926</v>
      </c>
      <c r="Y8" s="149">
        <f>'Raw Input'!Y7</f>
        <v>1833</v>
      </c>
      <c r="Z8" s="149">
        <f>'Raw Input'!Z7</f>
        <v>1992</v>
      </c>
      <c r="AA8" s="149">
        <f>'Raw Input'!AA7</f>
        <v>1959</v>
      </c>
      <c r="AB8" s="149">
        <f>'Raw Input'!AB7</f>
        <v>2144</v>
      </c>
      <c r="AC8" s="149">
        <f>'Raw Input'!AC7</f>
        <v>7928</v>
      </c>
      <c r="AD8" s="149">
        <f>'Raw Input'!AD7</f>
        <v>4549</v>
      </c>
      <c r="AE8" s="149">
        <f>'Raw Input'!AE7</f>
        <v>5295</v>
      </c>
      <c r="AF8" s="149">
        <f>2500+3300</f>
        <v>5800</v>
      </c>
      <c r="AG8" s="149">
        <f>2500+AG16</f>
        <v>6500</v>
      </c>
      <c r="AH8" s="149">
        <f>SUM(AD8:AG8)</f>
        <v>22144</v>
      </c>
      <c r="AI8" s="149">
        <f>AH8*(1+AI9)</f>
        <v>26572.799999999999</v>
      </c>
      <c r="AJ8" s="149">
        <f>AI8*(1+AJ9)</f>
        <v>30558.719999999998</v>
      </c>
    </row>
    <row r="9" spans="1:43" x14ac:dyDescent="0.25">
      <c r="B9" s="111" t="s">
        <v>91</v>
      </c>
      <c r="C9" s="88"/>
      <c r="E9" s="89"/>
      <c r="F9" s="89"/>
      <c r="G9" s="89"/>
      <c r="H9" s="89"/>
      <c r="I9" s="150" t="s">
        <v>90</v>
      </c>
      <c r="J9" s="150"/>
      <c r="K9" s="150"/>
      <c r="L9" s="150"/>
      <c r="M9" s="150"/>
      <c r="N9" s="147">
        <f>N8/I8-1</f>
        <v>0.44040178571428568</v>
      </c>
      <c r="O9" s="166"/>
      <c r="P9" s="166"/>
      <c r="Q9" s="166"/>
      <c r="R9" s="166"/>
      <c r="S9" s="147">
        <f>S8/N8-1</f>
        <v>1.7201301720130235E-2</v>
      </c>
      <c r="T9" s="147">
        <f>T8/O8-1</f>
        <v>5.0190597204574416E-2</v>
      </c>
      <c r="U9" s="147">
        <f t="shared" ref="U9" si="2">U8/P8-1</f>
        <v>3.6263060848186868E-2</v>
      </c>
      <c r="V9" s="147">
        <f>V8/Q8-1</f>
        <v>7.1761960326721219E-2</v>
      </c>
      <c r="W9" s="147">
        <f>W8/R8-1</f>
        <v>6.1249241964827172E-2</v>
      </c>
      <c r="X9" s="147">
        <f>X8/S8-1</f>
        <v>5.5149299207800206E-2</v>
      </c>
      <c r="Y9" s="147">
        <f>Y8/T8-1</f>
        <v>0.1088929219600725</v>
      </c>
      <c r="Z9" s="147">
        <f t="shared" ref="Z9" si="3">Z8/U8-1</f>
        <v>0.18149466192170816</v>
      </c>
      <c r="AA9" s="147">
        <f t="shared" ref="AA9:AH9" si="4">AA8/V8-1</f>
        <v>6.6412629286880742E-2</v>
      </c>
      <c r="AB9" s="147">
        <f t="shared" si="4"/>
        <v>0.22514285714285709</v>
      </c>
      <c r="AC9" s="147">
        <f t="shared" si="4"/>
        <v>0.14467224949465773</v>
      </c>
      <c r="AD9" s="147">
        <f t="shared" si="4"/>
        <v>1.481723949809056</v>
      </c>
      <c r="AE9" s="147">
        <f t="shared" si="4"/>
        <v>1.6581325301204819</v>
      </c>
      <c r="AF9" s="147">
        <f t="shared" si="4"/>
        <v>1.9606942317508933</v>
      </c>
      <c r="AG9" s="147">
        <f t="shared" si="4"/>
        <v>2.0317164179104479</v>
      </c>
      <c r="AH9" s="147">
        <f t="shared" si="4"/>
        <v>1.7931382441977801</v>
      </c>
      <c r="AI9" s="147">
        <v>0.2</v>
      </c>
      <c r="AJ9" s="147">
        <v>0.15</v>
      </c>
    </row>
    <row r="10" spans="1:43" s="1" customFormat="1" x14ac:dyDescent="0.25">
      <c r="B10" s="112" t="s">
        <v>80</v>
      </c>
      <c r="C10" s="113"/>
      <c r="D10" s="112"/>
      <c r="E10" s="114"/>
      <c r="F10" s="114"/>
      <c r="G10" s="114"/>
      <c r="H10" s="114"/>
      <c r="I10" s="158">
        <f>'Raw Input'!I8</f>
        <v>22597</v>
      </c>
      <c r="J10" s="158"/>
      <c r="K10" s="158"/>
      <c r="L10" s="158"/>
      <c r="M10" s="158"/>
      <c r="N10" s="158">
        <f>'Raw Input'!N8</f>
        <v>23888</v>
      </c>
      <c r="O10" s="158">
        <f>'Raw Input'!O8</f>
        <v>6655</v>
      </c>
      <c r="P10" s="158">
        <f>'Raw Input'!P8</f>
        <v>6610</v>
      </c>
      <c r="Q10" s="158">
        <f>'Raw Input'!Q8</f>
        <v>6778</v>
      </c>
      <c r="R10" s="158">
        <f>'Raw Input'!R8</f>
        <v>7407</v>
      </c>
      <c r="S10" s="158">
        <f>'Raw Input'!S8</f>
        <v>27450</v>
      </c>
      <c r="T10" s="158">
        <f>'Raw Input'!T8</f>
        <v>7706</v>
      </c>
      <c r="U10" s="158">
        <f>'Raw Input'!U8</f>
        <v>8103</v>
      </c>
      <c r="V10" s="158">
        <f>'Raw Input'!V8</f>
        <v>8464</v>
      </c>
      <c r="W10" s="158">
        <f>'Raw Input'!W8</f>
        <v>8930</v>
      </c>
      <c r="X10" s="158">
        <f>'Raw Input'!X8</f>
        <v>33203</v>
      </c>
      <c r="Y10" s="158">
        <f>'Raw Input'!Y8</f>
        <v>8915</v>
      </c>
      <c r="Z10" s="158">
        <f>'Raw Input'!Z8</f>
        <v>8733</v>
      </c>
      <c r="AA10" s="158">
        <f>'Raw Input'!AA8</f>
        <v>8876</v>
      </c>
      <c r="AB10" s="158">
        <f>'Raw Input'!AB8</f>
        <v>9295</v>
      </c>
      <c r="AC10" s="158">
        <f>'Raw Input'!AC8</f>
        <v>35819</v>
      </c>
      <c r="AD10" s="158">
        <f>'Raw Input'!AD8</f>
        <v>11961</v>
      </c>
      <c r="AE10" s="158">
        <f>'Raw Input'!AE8</f>
        <v>12487</v>
      </c>
      <c r="AF10" s="158">
        <f>AF6+AF8</f>
        <v>13477.87</v>
      </c>
      <c r="AG10" s="158">
        <f>AG6+AG8</f>
        <v>14366.1</v>
      </c>
      <c r="AH10" s="158">
        <f>SUM(AD10:AG10)</f>
        <v>52291.97</v>
      </c>
      <c r="AI10" s="158">
        <f>AI8+AI6</f>
        <v>60941.485800000009</v>
      </c>
      <c r="AJ10" s="158">
        <f>AJ8+AJ6</f>
        <v>69051.648096000004</v>
      </c>
    </row>
    <row r="11" spans="1:43" s="1" customFormat="1" x14ac:dyDescent="0.25">
      <c r="B11" s="111" t="s">
        <v>91</v>
      </c>
      <c r="C11" s="99"/>
      <c r="E11" s="100"/>
      <c r="F11" s="100"/>
      <c r="G11" s="100"/>
      <c r="H11" s="100"/>
      <c r="I11" s="150" t="s">
        <v>90</v>
      </c>
      <c r="J11" s="150"/>
      <c r="K11" s="150"/>
      <c r="L11" s="150"/>
      <c r="M11" s="150"/>
      <c r="N11" s="147">
        <f>N10/I10-1</f>
        <v>5.7131477629773775E-2</v>
      </c>
      <c r="O11" s="166"/>
      <c r="P11" s="166"/>
      <c r="Q11" s="166"/>
      <c r="R11" s="166"/>
      <c r="S11" s="147">
        <f>S10/N10-1</f>
        <v>0.14911252511721362</v>
      </c>
      <c r="T11" s="147">
        <f>T10/O10-1</f>
        <v>0.15792637114951158</v>
      </c>
      <c r="U11" s="147">
        <f t="shared" ref="U11" si="5">U10/P10-1</f>
        <v>0.2258698940998487</v>
      </c>
      <c r="V11" s="147">
        <f>V10/Q10-1</f>
        <v>0.24874594275597528</v>
      </c>
      <c r="W11" s="147">
        <f>W10/R10-1</f>
        <v>0.20561630889698934</v>
      </c>
      <c r="X11" s="147">
        <f>X10/S10-1</f>
        <v>0.20958105646630232</v>
      </c>
      <c r="Y11" s="147">
        <f>Y10/T10-1</f>
        <v>0.15689073449260316</v>
      </c>
      <c r="Z11" s="147">
        <f t="shared" ref="Z11" si="6">Z10/U10-1</f>
        <v>7.774898185857082E-2</v>
      </c>
      <c r="AA11" s="147">
        <f t="shared" ref="AA11:AH11" si="7">AA10/V10-1</f>
        <v>4.8676748582230589E-2</v>
      </c>
      <c r="AB11" s="147">
        <f t="shared" si="7"/>
        <v>4.0873460246360516E-2</v>
      </c>
      <c r="AC11" s="147">
        <f t="shared" si="7"/>
        <v>7.8788061319760239E-2</v>
      </c>
      <c r="AD11" s="147">
        <f t="shared" si="7"/>
        <v>0.34167134043746494</v>
      </c>
      <c r="AE11" s="147">
        <f t="shared" si="7"/>
        <v>0.42986373525707089</v>
      </c>
      <c r="AF11" s="147">
        <f t="shared" si="7"/>
        <v>0.51846214511041011</v>
      </c>
      <c r="AG11" s="147">
        <f t="shared" si="7"/>
        <v>0.54557288864981168</v>
      </c>
      <c r="AH11" s="147">
        <f t="shared" si="7"/>
        <v>0.45989474859711321</v>
      </c>
      <c r="AI11" s="147">
        <f>AI10/AH10-1</f>
        <v>0.16540810759281022</v>
      </c>
      <c r="AJ11" s="147">
        <f>AJ10/AI10-1</f>
        <v>0.13308113823506407</v>
      </c>
    </row>
    <row r="12" spans="1:43" x14ac:dyDescent="0.25">
      <c r="B12" s="122" t="s">
        <v>100</v>
      </c>
      <c r="C12" s="88"/>
      <c r="E12" s="89"/>
      <c r="F12" s="89"/>
      <c r="G12" s="89"/>
      <c r="H12" s="89"/>
      <c r="I12" s="272">
        <v>22552.1</v>
      </c>
      <c r="J12" s="272"/>
      <c r="K12" s="272"/>
      <c r="L12" s="272"/>
      <c r="M12" s="272"/>
      <c r="N12" s="272">
        <v>23857</v>
      </c>
      <c r="O12" s="272"/>
      <c r="P12" s="272"/>
      <c r="Q12" s="272"/>
      <c r="R12" s="272"/>
      <c r="S12" s="272">
        <v>27398.11</v>
      </c>
      <c r="T12" s="272"/>
      <c r="U12" s="272"/>
      <c r="V12" s="272"/>
      <c r="W12" s="272"/>
      <c r="X12" s="272">
        <v>33175.199999999997</v>
      </c>
      <c r="Y12" s="272"/>
      <c r="Z12" s="272"/>
      <c r="AA12" s="272"/>
      <c r="AB12" s="272"/>
      <c r="AC12" s="277">
        <v>35814.300000000003</v>
      </c>
      <c r="AD12" s="278"/>
      <c r="AE12" s="278"/>
      <c r="AF12" s="278"/>
      <c r="AG12" s="278"/>
      <c r="AH12" s="272">
        <v>51559.8</v>
      </c>
      <c r="AI12" s="272">
        <v>60192.800000000003</v>
      </c>
      <c r="AJ12" s="272">
        <v>66803.600000000006</v>
      </c>
    </row>
    <row r="13" spans="1:43" x14ac:dyDescent="0.25">
      <c r="B13" s="122"/>
      <c r="C13" s="88"/>
      <c r="E13" s="89"/>
      <c r="F13" s="89"/>
      <c r="G13" s="89"/>
      <c r="H13" s="8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>
        <f t="shared" ref="T13:V13" si="8">T8</f>
        <v>1653</v>
      </c>
      <c r="U13" s="149">
        <f t="shared" si="8"/>
        <v>1686</v>
      </c>
      <c r="V13" s="149">
        <f t="shared" si="8"/>
        <v>1837</v>
      </c>
      <c r="W13" s="149">
        <f>W8</f>
        <v>1750</v>
      </c>
      <c r="X13" s="149"/>
      <c r="Y13" s="149">
        <f t="shared" ref="Y13:AA13" si="9">Y8</f>
        <v>1833</v>
      </c>
      <c r="Z13" s="149">
        <f t="shared" si="9"/>
        <v>1992</v>
      </c>
      <c r="AA13" s="149">
        <f t="shared" si="9"/>
        <v>1959</v>
      </c>
      <c r="AB13" s="149">
        <f>AB8</f>
        <v>2144</v>
      </c>
      <c r="AC13" s="149" t="s">
        <v>203</v>
      </c>
      <c r="AD13" s="149">
        <v>1.2</v>
      </c>
      <c r="AE13" s="149">
        <v>1.9</v>
      </c>
      <c r="AF13" s="149"/>
      <c r="AG13" s="149"/>
      <c r="AH13" s="149"/>
      <c r="AI13" s="149"/>
      <c r="AJ13" s="149"/>
    </row>
    <row r="14" spans="1:43" x14ac:dyDescent="0.25">
      <c r="B14" s="122"/>
      <c r="C14" s="88"/>
      <c r="E14" s="89"/>
      <c r="F14" s="89"/>
      <c r="G14" s="89"/>
      <c r="H14" s="8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D14" s="149">
        <f>AD8-AD16</f>
        <v>2449</v>
      </c>
      <c r="AE14" s="149">
        <f>AE8-AE16</f>
        <v>2595</v>
      </c>
      <c r="AF14" s="149"/>
      <c r="AG14" s="149"/>
      <c r="AH14" s="149"/>
      <c r="AI14" s="149"/>
      <c r="AJ14" s="149"/>
    </row>
    <row r="15" spans="1:43" s="1" customFormat="1" x14ac:dyDescent="0.25">
      <c r="C15" s="99"/>
      <c r="E15" s="100"/>
      <c r="F15" s="100"/>
      <c r="G15" s="100"/>
      <c r="H15" s="100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49"/>
      <c r="AD15" s="176"/>
      <c r="AE15" s="176"/>
      <c r="AF15" s="149"/>
      <c r="AG15" s="149"/>
      <c r="AH15" s="149"/>
      <c r="AI15" s="149"/>
      <c r="AJ15" s="149"/>
    </row>
    <row r="16" spans="1:43" s="1" customFormat="1" x14ac:dyDescent="0.25">
      <c r="C16" s="99"/>
      <c r="E16" s="100"/>
      <c r="F16" s="100"/>
      <c r="G16" s="100"/>
      <c r="H16" s="100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>
        <f>AE17/3.8</f>
        <v>815.78947368421052</v>
      </c>
      <c r="AA16" s="151"/>
      <c r="AB16" s="151"/>
      <c r="AC16" s="151"/>
      <c r="AD16" s="151">
        <v>2100</v>
      </c>
      <c r="AE16" s="151">
        <v>2700</v>
      </c>
      <c r="AF16" s="149" t="s">
        <v>202</v>
      </c>
      <c r="AG16" s="149">
        <v>4000</v>
      </c>
      <c r="AH16" s="149"/>
      <c r="AI16" s="149"/>
      <c r="AJ16" s="149"/>
    </row>
    <row r="17" spans="2:36" s="1" customFormat="1" x14ac:dyDescent="0.25">
      <c r="C17" s="99"/>
      <c r="E17" s="100"/>
      <c r="F17" s="100"/>
      <c r="G17" s="100"/>
      <c r="H17" s="100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0">
        <v>3100</v>
      </c>
      <c r="AF17" s="149" t="s">
        <v>204</v>
      </c>
      <c r="AG17" s="149"/>
      <c r="AH17" s="149"/>
      <c r="AI17" s="149"/>
      <c r="AJ17" s="149"/>
    </row>
    <row r="18" spans="2:36" s="1" customFormat="1" x14ac:dyDescent="0.25">
      <c r="C18" s="99"/>
      <c r="E18" s="100"/>
      <c r="F18" s="100"/>
      <c r="G18" s="100"/>
      <c r="H18" s="100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49"/>
      <c r="AH18" s="149"/>
      <c r="AI18" s="149"/>
      <c r="AJ18" s="149"/>
    </row>
    <row r="19" spans="2:36" s="1" customFormat="1" x14ac:dyDescent="0.25">
      <c r="C19" s="99"/>
      <c r="E19" s="100"/>
      <c r="F19" s="100"/>
      <c r="G19" s="100"/>
      <c r="H19" s="100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0"/>
      <c r="AF19" s="149"/>
      <c r="AG19" s="149"/>
      <c r="AH19" s="149"/>
      <c r="AI19" s="149"/>
      <c r="AJ19" s="149"/>
    </row>
    <row r="20" spans="2:36" s="1" customFormat="1" x14ac:dyDescent="0.25">
      <c r="C20" s="99"/>
      <c r="E20" s="100"/>
      <c r="F20" s="100"/>
      <c r="G20" s="100"/>
      <c r="H20" s="100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>
        <f>AE21/1.44</f>
        <v>2638.8888888888891</v>
      </c>
      <c r="AA20" s="151"/>
      <c r="AB20" s="151"/>
      <c r="AC20" s="151"/>
      <c r="AD20" s="151"/>
      <c r="AE20" s="150"/>
      <c r="AF20" s="149"/>
      <c r="AG20" s="149"/>
      <c r="AH20" s="149"/>
      <c r="AI20" s="149"/>
      <c r="AJ20" s="149"/>
    </row>
    <row r="21" spans="2:36" s="1" customFormat="1" x14ac:dyDescent="0.25">
      <c r="C21" s="99"/>
      <c r="E21" s="100"/>
      <c r="F21" s="100"/>
      <c r="G21" s="100"/>
      <c r="H21" s="100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0">
        <f>Z6-Z20</f>
        <v>4102.1111111111113</v>
      </c>
      <c r="AA21" s="150"/>
      <c r="AB21" s="150"/>
      <c r="AC21" s="151"/>
      <c r="AD21" s="151"/>
      <c r="AE21" s="151">
        <v>3800</v>
      </c>
      <c r="AF21" s="149" t="s">
        <v>205</v>
      </c>
      <c r="AG21" s="149"/>
      <c r="AH21" s="149"/>
      <c r="AI21" s="149"/>
      <c r="AJ21" s="149"/>
    </row>
    <row r="22" spans="2:36" s="1" customFormat="1" x14ac:dyDescent="0.25">
      <c r="C22" s="99"/>
      <c r="E22" s="100"/>
      <c r="F22" s="100"/>
      <c r="G22" s="100"/>
      <c r="H22" s="100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0"/>
      <c r="AA22" s="150"/>
      <c r="AB22" s="150"/>
      <c r="AC22" s="150"/>
      <c r="AD22" s="150"/>
      <c r="AE22" s="177">
        <f>AE6-AE21</f>
        <v>3392</v>
      </c>
      <c r="AF22" s="149" t="s">
        <v>209</v>
      </c>
      <c r="AG22" s="149"/>
      <c r="AH22" s="149"/>
      <c r="AI22" s="149"/>
      <c r="AJ22" s="149"/>
    </row>
    <row r="23" spans="2:36" s="1" customFormat="1" x14ac:dyDescent="0.25">
      <c r="C23" s="99"/>
      <c r="E23" s="100"/>
      <c r="F23" s="100"/>
      <c r="G23" s="100"/>
      <c r="H23" s="100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0"/>
      <c r="AD23" s="150"/>
      <c r="AE23" s="179">
        <f>AE22/Z21-1</f>
        <v>-0.17310869741867341</v>
      </c>
      <c r="AF23" s="149"/>
      <c r="AG23" s="149"/>
      <c r="AH23" s="149"/>
      <c r="AI23" s="149"/>
      <c r="AJ23" s="149"/>
    </row>
    <row r="24" spans="2:36" s="1" customFormat="1" ht="30" x14ac:dyDescent="0.25">
      <c r="C24" s="99"/>
      <c r="E24" s="100"/>
      <c r="F24" s="100"/>
      <c r="G24" s="100"/>
      <c r="H24" s="100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78" t="s">
        <v>208</v>
      </c>
      <c r="AE24" s="151" t="s">
        <v>207</v>
      </c>
      <c r="AF24" s="149" t="s">
        <v>205</v>
      </c>
      <c r="AG24" s="149"/>
      <c r="AH24" s="149"/>
      <c r="AI24" s="149"/>
      <c r="AJ24" s="149"/>
    </row>
    <row r="25" spans="2:36" s="1" customFormat="1" x14ac:dyDescent="0.25">
      <c r="C25" s="99"/>
      <c r="E25" s="100"/>
      <c r="F25" s="100"/>
      <c r="G25" s="100"/>
      <c r="H25" s="100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 t="s">
        <v>206</v>
      </c>
      <c r="AF25" s="149" t="s">
        <v>210</v>
      </c>
      <c r="AG25" s="149"/>
      <c r="AH25" s="149"/>
      <c r="AI25" s="149"/>
      <c r="AJ25" s="149"/>
    </row>
    <row r="26" spans="2:36" s="1" customFormat="1" x14ac:dyDescent="0.25">
      <c r="C26" s="99"/>
      <c r="E26" s="100"/>
      <c r="F26" s="100"/>
      <c r="G26" s="100"/>
      <c r="H26" s="100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23" t="s">
        <v>219</v>
      </c>
      <c r="AF26" s="149" t="s">
        <v>211</v>
      </c>
      <c r="AG26" s="149"/>
      <c r="AH26" s="149"/>
      <c r="AI26" s="149"/>
      <c r="AJ26" s="149"/>
    </row>
    <row r="27" spans="2:36" x14ac:dyDescent="0.25">
      <c r="B27" s="115" t="s">
        <v>92</v>
      </c>
      <c r="C27" s="88"/>
      <c r="E27" s="89"/>
      <c r="F27" s="89"/>
      <c r="G27" s="89"/>
      <c r="H27" s="89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AC27" s="151"/>
      <c r="AD27" s="151"/>
      <c r="AE27" s="123" t="s">
        <v>220</v>
      </c>
      <c r="AF27" s="149" t="s">
        <v>212</v>
      </c>
      <c r="AG27" s="149"/>
      <c r="AH27" s="149"/>
      <c r="AJ27" s="149"/>
    </row>
    <row r="28" spans="2:36" x14ac:dyDescent="0.25">
      <c r="B28" t="s">
        <v>147</v>
      </c>
      <c r="C28" s="88"/>
      <c r="E28" s="89"/>
      <c r="F28" s="89"/>
      <c r="G28" s="89"/>
      <c r="H28" s="89"/>
      <c r="I28" s="149">
        <f>'Raw Input'!I10</f>
        <v>6208</v>
      </c>
      <c r="J28" s="149"/>
      <c r="K28" s="149"/>
      <c r="L28" s="149"/>
      <c r="M28" s="149"/>
      <c r="N28" s="149">
        <f>'Raw Input'!N10</f>
        <v>5892</v>
      </c>
      <c r="O28" s="149">
        <f>'Raw Input'!O10</f>
        <v>1672</v>
      </c>
      <c r="P28" s="149">
        <f>'Raw Input'!P10</f>
        <v>1548</v>
      </c>
      <c r="Q28" s="149">
        <f>'Raw Input'!Q10</f>
        <v>1572</v>
      </c>
      <c r="R28" s="149">
        <f>'Raw Input'!R10</f>
        <v>1763</v>
      </c>
      <c r="S28" s="149">
        <f>'Raw Input'!S10</f>
        <v>6555</v>
      </c>
      <c r="T28" s="149">
        <f>'Raw Input'!T10</f>
        <v>1769</v>
      </c>
      <c r="U28" s="149">
        <f>'Raw Input'!U10</f>
        <v>1798</v>
      </c>
      <c r="V28" s="149">
        <f>'Raw Input'!V10</f>
        <v>1921</v>
      </c>
      <c r="W28" s="149">
        <f>'Raw Input'!W10</f>
        <v>2141</v>
      </c>
      <c r="X28" s="149">
        <f>'Raw Input'!X10</f>
        <v>7629</v>
      </c>
      <c r="Y28" s="149">
        <f>'Raw Input'!Y10</f>
        <v>2225</v>
      </c>
      <c r="Z28" s="149">
        <f>'Raw Input'!Z10</f>
        <v>2019</v>
      </c>
      <c r="AA28" s="149">
        <f>'Raw Input'!AA10</f>
        <v>2107</v>
      </c>
      <c r="AB28" s="149">
        <f>'Raw Input'!AB10</f>
        <v>2285</v>
      </c>
      <c r="AC28" s="149">
        <f>'Raw Input'!AC10</f>
        <v>8636</v>
      </c>
      <c r="AD28" s="149">
        <f>'Raw Input'!AD10</f>
        <v>2160</v>
      </c>
      <c r="AE28" s="149">
        <f>'Raw Input'!AE10</f>
        <v>2429</v>
      </c>
      <c r="AF28" s="149">
        <f>AF30*AF$10</f>
        <v>2695.5740000000005</v>
      </c>
      <c r="AG28" s="149">
        <f>AG30*AG$10</f>
        <v>3016.8809999999999</v>
      </c>
      <c r="AH28" s="149">
        <f>SUM(AD28:AG28)</f>
        <v>10301.455</v>
      </c>
      <c r="AI28" s="149">
        <f>AI30*AI10</f>
        <v>12188.297160000002</v>
      </c>
      <c r="AJ28" s="149">
        <f>AJ30*AJ10</f>
        <v>13810.329619200002</v>
      </c>
    </row>
    <row r="29" spans="2:36" x14ac:dyDescent="0.25">
      <c r="B29" s="111" t="s">
        <v>91</v>
      </c>
      <c r="C29" s="88"/>
      <c r="E29" s="89"/>
      <c r="F29" s="89"/>
      <c r="G29" s="89"/>
      <c r="H29" s="89"/>
      <c r="I29" s="150" t="s">
        <v>90</v>
      </c>
      <c r="J29" s="150"/>
      <c r="K29" s="150"/>
      <c r="L29" s="150"/>
      <c r="M29" s="150"/>
      <c r="N29" s="147">
        <f>N28/I28-1</f>
        <v>-5.0902061855670144E-2</v>
      </c>
      <c r="O29" s="166"/>
      <c r="P29" s="166"/>
      <c r="Q29" s="166"/>
      <c r="R29" s="166"/>
      <c r="S29" s="147">
        <f>S28/N28-1</f>
        <v>0.11252545824847249</v>
      </c>
      <c r="T29" s="147">
        <f>T28/O28-1</f>
        <v>5.801435406698574E-2</v>
      </c>
      <c r="U29" s="147">
        <f t="shared" ref="U29" si="10">U28/P28-1</f>
        <v>0.16149870801033583</v>
      </c>
      <c r="V29" s="147">
        <f>V28/Q28-1</f>
        <v>0.22201017811704826</v>
      </c>
      <c r="W29" s="147">
        <f>W28/R28-1</f>
        <v>0.21440726035167335</v>
      </c>
      <c r="X29" s="147">
        <f>X28/S28-1</f>
        <v>0.16384439359267744</v>
      </c>
      <c r="Y29" s="147">
        <f>Y28/T28-1</f>
        <v>0.25777275296777846</v>
      </c>
      <c r="Z29" s="147">
        <f t="shared" ref="Z29" si="11">Z28/U28-1</f>
        <v>0.12291434927697442</v>
      </c>
      <c r="AA29" s="147">
        <f>AA28/V28-1</f>
        <v>9.6824570536178989E-2</v>
      </c>
      <c r="AB29" s="147">
        <f>AB28/W28-1</f>
        <v>6.7258290518449337E-2</v>
      </c>
      <c r="AC29" s="147">
        <f>AC28/X28-1</f>
        <v>0.13199632979420639</v>
      </c>
      <c r="AD29" s="147">
        <f>AD28/Y28-1</f>
        <v>-2.921348314606742E-2</v>
      </c>
      <c r="AE29" s="147">
        <f>AE28/Z28-1</f>
        <v>0.20307082714214952</v>
      </c>
      <c r="AF29" s="149"/>
      <c r="AG29" s="149"/>
      <c r="AH29" s="147">
        <f>AH28/AC28-1</f>
        <v>0.19285027790643805</v>
      </c>
      <c r="AI29" s="147"/>
      <c r="AJ29" s="149"/>
    </row>
    <row r="30" spans="2:36" x14ac:dyDescent="0.25">
      <c r="B30" s="111" t="s">
        <v>93</v>
      </c>
      <c r="C30" s="88"/>
      <c r="E30" s="89"/>
      <c r="F30" s="89"/>
      <c r="G30" s="89"/>
      <c r="H30" s="89"/>
      <c r="I30" s="147">
        <f>I28/I$10</f>
        <v>0.27472673363720845</v>
      </c>
      <c r="J30" s="147"/>
      <c r="K30" s="147"/>
      <c r="L30" s="147"/>
      <c r="M30" s="147"/>
      <c r="N30" s="147">
        <f>N28/N$10</f>
        <v>0.24665103817816478</v>
      </c>
      <c r="O30" s="147">
        <f t="shared" ref="O30:AB30" si="12">O28/O$10</f>
        <v>0.25123966942148762</v>
      </c>
      <c r="P30" s="147">
        <f t="shared" si="12"/>
        <v>0.23419062027231469</v>
      </c>
      <c r="Q30" s="147">
        <f t="shared" si="12"/>
        <v>0.2319268220714075</v>
      </c>
      <c r="R30" s="147">
        <f t="shared" si="12"/>
        <v>0.23801809099500473</v>
      </c>
      <c r="S30" s="147">
        <f t="shared" si="12"/>
        <v>0.23879781420765028</v>
      </c>
      <c r="T30" s="147">
        <f t="shared" si="12"/>
        <v>0.22956138074227875</v>
      </c>
      <c r="U30" s="147">
        <f t="shared" si="12"/>
        <v>0.22189312600271505</v>
      </c>
      <c r="V30" s="147">
        <f t="shared" si="12"/>
        <v>0.22696124763705103</v>
      </c>
      <c r="W30" s="147">
        <f t="shared" si="12"/>
        <v>0.23975363941769318</v>
      </c>
      <c r="X30" s="147">
        <f t="shared" si="12"/>
        <v>0.22976839442219077</v>
      </c>
      <c r="Y30" s="147">
        <f>Y28/Y$10</f>
        <v>0.24957936062815481</v>
      </c>
      <c r="Z30" s="147">
        <f t="shared" si="12"/>
        <v>0.23119203023016147</v>
      </c>
      <c r="AA30" s="147">
        <f t="shared" si="12"/>
        <v>0.23738170347003154</v>
      </c>
      <c r="AB30" s="147">
        <f t="shared" si="12"/>
        <v>0.24583109198493813</v>
      </c>
      <c r="AC30" s="147">
        <f>AC28/AC$10</f>
        <v>0.24110109159943047</v>
      </c>
      <c r="AD30" s="147">
        <f>AD28/AD$10</f>
        <v>0.18058690744920994</v>
      </c>
      <c r="AE30" s="147">
        <f>AE28/AE$10</f>
        <v>0.19452230319532313</v>
      </c>
      <c r="AF30" s="147">
        <v>0.2</v>
      </c>
      <c r="AG30" s="147">
        <v>0.21</v>
      </c>
      <c r="AH30" s="147">
        <f>AH28/AH$10</f>
        <v>0.1969987935050066</v>
      </c>
      <c r="AI30" s="147">
        <v>0.2</v>
      </c>
      <c r="AJ30" s="147">
        <v>0.2</v>
      </c>
    </row>
    <row r="31" spans="2:36" x14ac:dyDescent="0.25">
      <c r="B31" s="134" t="s">
        <v>148</v>
      </c>
      <c r="C31" s="99"/>
      <c r="D31" s="1"/>
      <c r="E31" s="100"/>
      <c r="F31" s="100"/>
      <c r="G31" s="100"/>
      <c r="H31" s="100"/>
      <c r="I31" s="149">
        <f>'Raw Input'!I11</f>
        <v>515</v>
      </c>
      <c r="J31" s="149"/>
      <c r="K31" s="149"/>
      <c r="L31" s="149"/>
      <c r="M31" s="149"/>
      <c r="N31" s="149">
        <f>'Raw Input'!N11</f>
        <v>626</v>
      </c>
      <c r="O31" s="149">
        <f>'Raw Input'!O11</f>
        <v>142</v>
      </c>
      <c r="P31" s="149">
        <f>'Raw Input'!P11</f>
        <v>151</v>
      </c>
      <c r="Q31" s="149">
        <f>'Raw Input'!Q11</f>
        <v>157</v>
      </c>
      <c r="R31" s="149">
        <f>'Raw Input'!R11</f>
        <v>157</v>
      </c>
      <c r="S31" s="149">
        <f>'Raw Input'!S11</f>
        <v>607</v>
      </c>
      <c r="T31" s="149">
        <f>'Raw Input'!T11</f>
        <v>156</v>
      </c>
      <c r="U31" s="149">
        <f>'Raw Input'!U11</f>
        <v>158</v>
      </c>
      <c r="V31" s="149">
        <f>'Raw Input'!V11</f>
        <v>156</v>
      </c>
      <c r="W31" s="149">
        <f>'Raw Input'!W11</f>
        <v>157</v>
      </c>
      <c r="X31" s="149">
        <f>'Raw Input'!X11</f>
        <v>627</v>
      </c>
      <c r="Y31" s="149">
        <f>'Raw Input'!Y11</f>
        <v>149</v>
      </c>
      <c r="Z31" s="149">
        <f>'Raw Input'!Z11</f>
        <v>158</v>
      </c>
      <c r="AA31" s="149">
        <f>'Raw Input'!AA11</f>
        <v>165</v>
      </c>
      <c r="AB31" s="149">
        <f>'Raw Input'!AB11</f>
        <v>164</v>
      </c>
      <c r="AC31" s="149">
        <f>'Raw Input'!AC11</f>
        <v>636</v>
      </c>
      <c r="AD31" s="149">
        <f>'Raw Input'!AD11</f>
        <v>954</v>
      </c>
      <c r="AE31" s="149">
        <f>'Raw Input'!AE11</f>
        <v>713</v>
      </c>
      <c r="AF31" s="149">
        <f>AF33*AF$10</f>
        <v>943.45090000000016</v>
      </c>
      <c r="AG31" s="149">
        <f>AG33*AG$10</f>
        <v>1005.6270000000001</v>
      </c>
      <c r="AH31" s="149">
        <f>SUM(AD31:AG31)</f>
        <v>3616.0779000000002</v>
      </c>
      <c r="AI31" s="149">
        <f>AI33*AI10</f>
        <v>4265.9040060000007</v>
      </c>
      <c r="AJ31" s="149">
        <f>AJ33*AJ10</f>
        <v>4833.6153667200006</v>
      </c>
    </row>
    <row r="32" spans="2:36" x14ac:dyDescent="0.25">
      <c r="B32" s="111" t="s">
        <v>91</v>
      </c>
      <c r="C32" s="88"/>
      <c r="E32" s="89"/>
      <c r="F32" s="89"/>
      <c r="G32" s="89"/>
      <c r="H32" s="89"/>
      <c r="I32" s="150" t="s">
        <v>90</v>
      </c>
      <c r="J32" s="150"/>
      <c r="K32" s="150"/>
      <c r="L32" s="150"/>
      <c r="M32" s="150"/>
      <c r="N32" s="147">
        <f>N31/I31-1</f>
        <v>0.21553398058252426</v>
      </c>
      <c r="O32" s="166"/>
      <c r="P32" s="166"/>
      <c r="Q32" s="166"/>
      <c r="R32" s="166"/>
      <c r="S32" s="147">
        <f>S31/N31-1</f>
        <v>-3.0351437699680517E-2</v>
      </c>
      <c r="T32" s="147">
        <f>T31/O31-1</f>
        <v>9.8591549295774739E-2</v>
      </c>
      <c r="U32" s="147">
        <f t="shared" ref="U32" si="13">U31/P31-1</f>
        <v>4.635761589403975E-2</v>
      </c>
      <c r="V32" s="147">
        <f>V31/Q31-1</f>
        <v>-6.3694267515923553E-3</v>
      </c>
      <c r="W32" s="147">
        <f>W31/R31-1</f>
        <v>0</v>
      </c>
      <c r="X32" s="147">
        <f>X31/S31-1</f>
        <v>3.2948929159802409E-2</v>
      </c>
      <c r="Y32" s="147">
        <f>Y31/T31-1</f>
        <v>-4.4871794871794823E-2</v>
      </c>
      <c r="Z32" s="147">
        <f t="shared" ref="Z32" si="14">Z31/U31-1</f>
        <v>0</v>
      </c>
      <c r="AA32" s="147">
        <f>AA31/V31-1</f>
        <v>5.7692307692307709E-2</v>
      </c>
      <c r="AB32" s="147">
        <f>AB31/W31-1</f>
        <v>4.4585987261146487E-2</v>
      </c>
      <c r="AC32" s="147">
        <f>AC31/X31-1</f>
        <v>1.4354066985645897E-2</v>
      </c>
      <c r="AD32" s="147">
        <f>AD31/Y31-1</f>
        <v>5.4026845637583891</v>
      </c>
      <c r="AE32" s="147">
        <f>AE31/Z31-1</f>
        <v>3.5126582278481013</v>
      </c>
      <c r="AF32" s="151"/>
      <c r="AG32" s="151"/>
      <c r="AH32" s="147">
        <f>AH31/AC31-1</f>
        <v>4.6856570754716982</v>
      </c>
      <c r="AI32" s="149"/>
      <c r="AJ32" s="149"/>
    </row>
    <row r="33" spans="2:36" x14ac:dyDescent="0.25">
      <c r="B33" s="111" t="s">
        <v>93</v>
      </c>
      <c r="C33" s="88"/>
      <c r="E33" s="89"/>
      <c r="F33" s="89"/>
      <c r="G33" s="89"/>
      <c r="H33" s="89"/>
      <c r="I33" s="147">
        <f>I31/I$10</f>
        <v>2.2790635925122805E-2</v>
      </c>
      <c r="J33" s="147"/>
      <c r="K33" s="147"/>
      <c r="L33" s="147"/>
      <c r="M33" s="147"/>
      <c r="N33" s="147">
        <f>N31/N$10</f>
        <v>2.6205626255860683E-2</v>
      </c>
      <c r="O33" s="147">
        <f t="shared" ref="O33:X33" si="15">O31/O$10</f>
        <v>2.1337340345604808E-2</v>
      </c>
      <c r="P33" s="147">
        <f t="shared" si="15"/>
        <v>2.2844175491679275E-2</v>
      </c>
      <c r="Q33" s="147">
        <f t="shared" si="15"/>
        <v>2.3163174977869579E-2</v>
      </c>
      <c r="R33" s="147">
        <f t="shared" si="15"/>
        <v>2.1196165789118402E-2</v>
      </c>
      <c r="S33" s="147">
        <f t="shared" si="15"/>
        <v>2.2112932604735885E-2</v>
      </c>
      <c r="T33" s="147">
        <f t="shared" si="15"/>
        <v>2.0243965740981053E-2</v>
      </c>
      <c r="U33" s="147">
        <f t="shared" si="15"/>
        <v>1.9498951005800323E-2</v>
      </c>
      <c r="V33" s="147">
        <f t="shared" si="15"/>
        <v>1.8431001890359167E-2</v>
      </c>
      <c r="W33" s="147">
        <f t="shared" si="15"/>
        <v>1.7581187010078388E-2</v>
      </c>
      <c r="X33" s="147">
        <f t="shared" si="15"/>
        <v>1.8883835797970063E-2</v>
      </c>
      <c r="Y33" s="147">
        <f>Y31/Y$10</f>
        <v>1.6713404374649469E-2</v>
      </c>
      <c r="Z33" s="147">
        <f t="shared" ref="Z33:AB33" si="16">Z31/Z$10</f>
        <v>1.8092293598992327E-2</v>
      </c>
      <c r="AA33" s="147">
        <f t="shared" si="16"/>
        <v>1.8589454709328525E-2</v>
      </c>
      <c r="AB33" s="147">
        <f t="shared" si="16"/>
        <v>1.7643894566971491E-2</v>
      </c>
      <c r="AC33" s="147">
        <f>AC31/AC$10</f>
        <v>1.7755939585136379E-2</v>
      </c>
      <c r="AD33" s="147">
        <f>AD31/AD$10</f>
        <v>7.9759217456734394E-2</v>
      </c>
      <c r="AE33" s="147">
        <f>AE31/AE$10</f>
        <v>5.7099383358693044E-2</v>
      </c>
      <c r="AF33" s="147">
        <v>7.0000000000000007E-2</v>
      </c>
      <c r="AG33" s="147">
        <v>7.0000000000000007E-2</v>
      </c>
      <c r="AH33" s="147">
        <f>AH31/AH$10</f>
        <v>6.9151686195796411E-2</v>
      </c>
      <c r="AI33" s="147">
        <v>7.0000000000000007E-2</v>
      </c>
      <c r="AJ33" s="147">
        <v>7.0000000000000007E-2</v>
      </c>
    </row>
    <row r="34" spans="2:36" x14ac:dyDescent="0.25">
      <c r="B34" s="134" t="s">
        <v>149</v>
      </c>
      <c r="C34" s="88"/>
      <c r="E34" s="89"/>
      <c r="F34" s="89"/>
      <c r="G34" s="89"/>
      <c r="H34" s="89"/>
      <c r="I34" s="150">
        <f>'Raw Input'!I12</f>
        <v>3314</v>
      </c>
      <c r="J34" s="150"/>
      <c r="K34" s="150"/>
      <c r="L34" s="150"/>
      <c r="M34" s="150"/>
      <c r="N34" s="150">
        <f>'Raw Input'!N12</f>
        <v>3819</v>
      </c>
      <c r="O34" s="150">
        <f>'Raw Input'!O12</f>
        <v>874</v>
      </c>
      <c r="P34" s="150">
        <f>'Raw Input'!P12</f>
        <v>853</v>
      </c>
      <c r="Q34" s="150">
        <f>'Raw Input'!Q12</f>
        <v>851</v>
      </c>
      <c r="R34" s="150">
        <f>'Raw Input'!R12</f>
        <v>849</v>
      </c>
      <c r="S34" s="150">
        <f>'Raw Input'!S12</f>
        <v>3427</v>
      </c>
      <c r="T34" s="150">
        <f>'Raw Input'!T12</f>
        <v>730</v>
      </c>
      <c r="U34" s="150">
        <f>'Raw Input'!U12</f>
        <v>707</v>
      </c>
      <c r="V34" s="150">
        <f>'Raw Input'!V12</f>
        <v>705</v>
      </c>
      <c r="W34" s="150">
        <f>'Raw Input'!W12</f>
        <v>705</v>
      </c>
      <c r="X34" s="150">
        <f>'Raw Input'!X12</f>
        <v>2847</v>
      </c>
      <c r="Y34" s="150">
        <f>'Raw Input'!Y12</f>
        <v>535</v>
      </c>
      <c r="Z34" s="150">
        <f>'Raw Input'!Z12</f>
        <v>441</v>
      </c>
      <c r="AA34" s="150">
        <f>'Raw Input'!AA12</f>
        <v>439</v>
      </c>
      <c r="AB34" s="150">
        <f>'Raw Input'!AB12</f>
        <v>438</v>
      </c>
      <c r="AC34" s="150">
        <f>'Raw Input'!AC12</f>
        <v>1853</v>
      </c>
      <c r="AD34" s="150">
        <f>'Raw Input'!AD12</f>
        <v>1380</v>
      </c>
      <c r="AE34" s="150">
        <f>'Raw Input'!AE12</f>
        <v>1516</v>
      </c>
      <c r="AF34" s="153">
        <v>1400</v>
      </c>
      <c r="AG34" s="153">
        <v>1300</v>
      </c>
      <c r="AH34" s="149">
        <f>SUM(AD34:AG34)</f>
        <v>5596</v>
      </c>
      <c r="AI34" s="149"/>
      <c r="AJ34" s="149"/>
    </row>
    <row r="35" spans="2:36" x14ac:dyDescent="0.25">
      <c r="B35" s="111" t="s">
        <v>91</v>
      </c>
      <c r="C35" s="88"/>
      <c r="E35" s="89"/>
      <c r="F35" s="89"/>
      <c r="G35" s="89"/>
      <c r="H35" s="89"/>
      <c r="I35" s="150" t="s">
        <v>90</v>
      </c>
      <c r="J35" s="150"/>
      <c r="K35" s="150"/>
      <c r="L35" s="150"/>
      <c r="M35" s="150"/>
      <c r="N35" s="147">
        <f>N34/I34-1</f>
        <v>0.15238382619191304</v>
      </c>
      <c r="O35" s="166"/>
      <c r="P35" s="166"/>
      <c r="Q35" s="166"/>
      <c r="R35" s="166"/>
      <c r="S35" s="147">
        <f>S34/N34-1</f>
        <v>-0.10264467137994238</v>
      </c>
      <c r="T35" s="147">
        <f>T34/O34-1</f>
        <v>-0.16475972540045769</v>
      </c>
      <c r="U35" s="147">
        <f t="shared" ref="U35" si="17">U34/P34-1</f>
        <v>-0.17116060961313018</v>
      </c>
      <c r="V35" s="147">
        <f>V34/Q34-1</f>
        <v>-0.1715628672150411</v>
      </c>
      <c r="W35" s="147">
        <f>W34/R34-1</f>
        <v>-0.16961130742049468</v>
      </c>
      <c r="X35" s="147">
        <f>X34/S34-1</f>
        <v>-0.16924423694193169</v>
      </c>
      <c r="Y35" s="147">
        <f>Y34/T34-1</f>
        <v>-0.26712328767123283</v>
      </c>
      <c r="Z35" s="147">
        <f t="shared" ref="Z35" si="18">Z34/U34-1</f>
        <v>-0.37623762376237624</v>
      </c>
      <c r="AA35" s="147">
        <f>AA34/V34-1</f>
        <v>-0.37730496453900708</v>
      </c>
      <c r="AB35" s="147">
        <f>AB34/W34-1</f>
        <v>-0.37872340425531914</v>
      </c>
      <c r="AC35" s="147">
        <f>AC34/X34-1</f>
        <v>-0.34913944502985594</v>
      </c>
      <c r="AD35" s="147">
        <f>AD34/Y34-1</f>
        <v>1.5794392523364484</v>
      </c>
      <c r="AE35" s="147">
        <f>AE34/Z34-1</f>
        <v>2.437641723356009</v>
      </c>
      <c r="AF35" s="149"/>
      <c r="AG35" s="149"/>
      <c r="AH35" s="151"/>
      <c r="AI35" s="151"/>
      <c r="AJ35" s="151"/>
    </row>
    <row r="36" spans="2:36" x14ac:dyDescent="0.25">
      <c r="B36" s="111" t="s">
        <v>93</v>
      </c>
      <c r="C36" s="88"/>
      <c r="E36" s="89"/>
      <c r="F36" s="89"/>
      <c r="G36" s="89"/>
      <c r="H36" s="89"/>
      <c r="I36" s="147">
        <f>I34/I$10</f>
        <v>0.14665663583661548</v>
      </c>
      <c r="J36" s="147"/>
      <c r="K36" s="147"/>
      <c r="L36" s="147"/>
      <c r="M36" s="147"/>
      <c r="N36" s="147">
        <f>N34/N$10</f>
        <v>0.15987106496985934</v>
      </c>
      <c r="O36" s="147">
        <f t="shared" ref="O36:X36" si="19">O34/O$10</f>
        <v>0.13132982719759578</v>
      </c>
      <c r="P36" s="147">
        <f t="shared" si="19"/>
        <v>0.12904689863842664</v>
      </c>
      <c r="Q36" s="147">
        <f t="shared" si="19"/>
        <v>0.12555326054883448</v>
      </c>
      <c r="R36" s="147">
        <f t="shared" si="19"/>
        <v>0.11462130417172944</v>
      </c>
      <c r="S36" s="147">
        <f t="shared" si="19"/>
        <v>0.12484517304189435</v>
      </c>
      <c r="T36" s="147">
        <f t="shared" si="19"/>
        <v>9.4731378146898526E-2</v>
      </c>
      <c r="U36" s="147">
        <f t="shared" si="19"/>
        <v>8.7251635196840677E-2</v>
      </c>
      <c r="V36" s="147">
        <f t="shared" si="19"/>
        <v>8.329395085066163E-2</v>
      </c>
      <c r="W36" s="147">
        <f t="shared" si="19"/>
        <v>7.8947368421052627E-2</v>
      </c>
      <c r="X36" s="147">
        <f t="shared" si="19"/>
        <v>8.5745263982170292E-2</v>
      </c>
      <c r="Y36" s="147">
        <f>Y34/Y$10</f>
        <v>6.0011217049915869E-2</v>
      </c>
      <c r="Z36" s="147">
        <f t="shared" ref="Z36:AB36" si="20">Z34/Z$10</f>
        <v>5.0498110614908963E-2</v>
      </c>
      <c r="AA36" s="147">
        <f t="shared" si="20"/>
        <v>4.9459215863001352E-2</v>
      </c>
      <c r="AB36" s="147">
        <f t="shared" si="20"/>
        <v>4.7122108660570199E-2</v>
      </c>
      <c r="AC36" s="147">
        <f t="shared" ref="AC36:AH36" si="21">AC34/AC$10</f>
        <v>5.1732320835310867E-2</v>
      </c>
      <c r="AD36" s="147">
        <f t="shared" si="21"/>
        <v>0.11537496864810634</v>
      </c>
      <c r="AE36" s="147">
        <f t="shared" si="21"/>
        <v>0.12140626251301354</v>
      </c>
      <c r="AF36" s="147">
        <f t="shared" si="21"/>
        <v>0.10387398008735801</v>
      </c>
      <c r="AG36" s="147">
        <f t="shared" si="21"/>
        <v>9.0490808222134053E-2</v>
      </c>
      <c r="AH36" s="147">
        <f t="shared" si="21"/>
        <v>0.10701451867275223</v>
      </c>
      <c r="AI36" s="149"/>
      <c r="AJ36" s="149"/>
    </row>
    <row r="37" spans="2:36" x14ac:dyDescent="0.25">
      <c r="B37" t="s">
        <v>139</v>
      </c>
      <c r="C37" s="88"/>
      <c r="E37" s="89"/>
      <c r="F37" s="89"/>
      <c r="G37" s="89"/>
      <c r="H37" s="89"/>
      <c r="I37" s="152">
        <f>'Raw Input'!I13</f>
        <v>77</v>
      </c>
      <c r="J37" s="152"/>
      <c r="K37" s="152"/>
      <c r="L37" s="152"/>
      <c r="M37" s="152"/>
      <c r="N37" s="152">
        <f>'Raw Input'!N13</f>
        <v>35</v>
      </c>
      <c r="O37" s="152">
        <f>'Raw Input'!O13</f>
        <v>15</v>
      </c>
      <c r="P37" s="152">
        <f>'Raw Input'!P13</f>
        <v>1</v>
      </c>
      <c r="Q37" s="152">
        <f>'Raw Input'!Q13</f>
        <v>1</v>
      </c>
      <c r="R37" s="152">
        <f>'Raw Input'!R13</f>
        <v>0</v>
      </c>
      <c r="S37" s="152">
        <f>'Raw Input'!S13</f>
        <v>17</v>
      </c>
      <c r="T37" s="152">
        <f>'Raw Input'!T13</f>
        <v>2</v>
      </c>
      <c r="U37" s="152">
        <f>'Raw Input'!U13</f>
        <v>1</v>
      </c>
      <c r="V37" s="152">
        <f>'Raw Input'!V13</f>
        <v>1</v>
      </c>
      <c r="W37" s="152">
        <f>'Raw Input'!W13</f>
        <v>1</v>
      </c>
      <c r="X37" s="152">
        <f>'Raw Input'!X13</f>
        <v>5</v>
      </c>
      <c r="Y37" s="152">
        <f>'Raw Input'!Y13</f>
        <v>2</v>
      </c>
      <c r="Z37" s="152">
        <v>0</v>
      </c>
      <c r="AA37" s="152">
        <f>'Raw Input'!AA13</f>
        <v>1</v>
      </c>
      <c r="AB37" s="152">
        <f>'Raw Input'!AB13</f>
        <v>1</v>
      </c>
      <c r="AC37" s="152">
        <f>'Raw Input'!AC13</f>
        <v>4</v>
      </c>
      <c r="AD37" s="152">
        <f>'Raw Input'!AD13</f>
        <v>92</v>
      </c>
      <c r="AE37" s="152">
        <f>'Raw Input'!AE13</f>
        <v>53</v>
      </c>
      <c r="AF37" s="149">
        <f>AF39*AF$10</f>
        <v>80.867220000000003</v>
      </c>
      <c r="AG37" s="149">
        <f>AG39*AG$10</f>
        <v>100.56270000000001</v>
      </c>
      <c r="AH37" s="149">
        <f>SUM(AD37:AG37)</f>
        <v>326.42992000000004</v>
      </c>
      <c r="AI37" s="149"/>
      <c r="AJ37" s="149"/>
    </row>
    <row r="38" spans="2:36" x14ac:dyDescent="0.25">
      <c r="B38" s="111" t="s">
        <v>91</v>
      </c>
      <c r="C38" s="88"/>
      <c r="E38" s="89"/>
      <c r="F38" s="89"/>
      <c r="G38" s="89"/>
      <c r="H38" s="89"/>
      <c r="I38" s="150" t="s">
        <v>90</v>
      </c>
      <c r="J38" s="150"/>
      <c r="K38" s="150"/>
      <c r="L38" s="150"/>
      <c r="M38" s="150"/>
      <c r="N38" s="147">
        <f>N37/I37-1</f>
        <v>-0.54545454545454541</v>
      </c>
      <c r="O38" s="166"/>
      <c r="P38" s="166"/>
      <c r="Q38" s="166"/>
      <c r="R38" s="166"/>
      <c r="S38" s="147">
        <f>S37/N37-1</f>
        <v>-0.51428571428571423</v>
      </c>
      <c r="T38" s="147">
        <f>T37/O37-1</f>
        <v>-0.8666666666666667</v>
      </c>
      <c r="U38" s="147">
        <f t="shared" ref="U38" si="22">U37/P37-1</f>
        <v>0</v>
      </c>
      <c r="V38" s="147">
        <f>V37/Q37-1</f>
        <v>0</v>
      </c>
      <c r="W38" s="147" t="e">
        <f>W37/R37-1</f>
        <v>#DIV/0!</v>
      </c>
      <c r="X38" s="147">
        <f>X37/S37-1</f>
        <v>-0.70588235294117641</v>
      </c>
      <c r="Y38" s="147">
        <f>Y37/T37-1</f>
        <v>0</v>
      </c>
      <c r="Z38" s="147">
        <f t="shared" ref="Z38" si="23">Z37/U37-1</f>
        <v>-1</v>
      </c>
      <c r="AA38" s="147">
        <f>AA37/V37-1</f>
        <v>0</v>
      </c>
      <c r="AB38" s="147">
        <f>AB37/W37-1</f>
        <v>0</v>
      </c>
      <c r="AC38" s="147">
        <f>AC37/X37-1</f>
        <v>-0.19999999999999996</v>
      </c>
      <c r="AD38" s="147">
        <f>AD37/Y37-1</f>
        <v>45</v>
      </c>
      <c r="AE38" s="147" t="e">
        <f>AE37/Z37-1</f>
        <v>#DIV/0!</v>
      </c>
      <c r="AF38" s="149"/>
      <c r="AG38" s="149"/>
      <c r="AH38" s="151"/>
      <c r="AI38" s="151"/>
      <c r="AJ38" s="151"/>
    </row>
    <row r="39" spans="2:36" s="1" customFormat="1" x14ac:dyDescent="0.25">
      <c r="B39" s="111" t="s">
        <v>93</v>
      </c>
      <c r="C39" s="99"/>
      <c r="E39" s="100"/>
      <c r="F39" s="100"/>
      <c r="G39" s="100"/>
      <c r="H39" s="100"/>
      <c r="I39" s="147">
        <f>I37/I$10</f>
        <v>3.4075319732707883E-3</v>
      </c>
      <c r="J39" s="147"/>
      <c r="K39" s="147"/>
      <c r="L39" s="147"/>
      <c r="M39" s="147"/>
      <c r="N39" s="147">
        <f>N37/N$10</f>
        <v>1.4651707970529137E-3</v>
      </c>
      <c r="O39" s="147">
        <f t="shared" ref="O39:X39" si="24">O37/O$10</f>
        <v>2.2539444027047332E-3</v>
      </c>
      <c r="P39" s="147">
        <f t="shared" si="24"/>
        <v>1.51285930408472E-4</v>
      </c>
      <c r="Q39" s="147">
        <f t="shared" si="24"/>
        <v>1.4753614635585718E-4</v>
      </c>
      <c r="R39" s="147">
        <f t="shared" si="24"/>
        <v>0</v>
      </c>
      <c r="S39" s="147">
        <f t="shared" si="24"/>
        <v>6.1930783242258652E-4</v>
      </c>
      <c r="T39" s="147">
        <f t="shared" si="24"/>
        <v>2.5953802232026989E-4</v>
      </c>
      <c r="U39" s="147">
        <f t="shared" si="24"/>
        <v>1.2341108231519191E-4</v>
      </c>
      <c r="V39" s="147">
        <f t="shared" si="24"/>
        <v>1.1814744801512288E-4</v>
      </c>
      <c r="W39" s="147">
        <f t="shared" si="24"/>
        <v>1.1198208286674133E-4</v>
      </c>
      <c r="X39" s="147">
        <f t="shared" si="24"/>
        <v>1.5058880221666717E-4</v>
      </c>
      <c r="Y39" s="147">
        <f>Y37/Y$10</f>
        <v>2.243409983174425E-4</v>
      </c>
      <c r="Z39" s="147">
        <f t="shared" ref="Z39:AB39" si="25">Z37/Z$10</f>
        <v>0</v>
      </c>
      <c r="AA39" s="147">
        <f t="shared" si="25"/>
        <v>1.1266336187471834E-4</v>
      </c>
      <c r="AB39" s="147">
        <f t="shared" si="25"/>
        <v>1.0758472296933836E-4</v>
      </c>
      <c r="AC39" s="147">
        <f>AC37/AC$10</f>
        <v>1.1167257600714705E-4</v>
      </c>
      <c r="AD39" s="147">
        <f>AD37/AD$10</f>
        <v>7.691664576540423E-3</v>
      </c>
      <c r="AE39" s="147">
        <f>AE37/AE$10</f>
        <v>4.2444141907583884E-3</v>
      </c>
      <c r="AF39" s="147">
        <v>6.0000000000000001E-3</v>
      </c>
      <c r="AG39" s="147">
        <v>7.0000000000000001E-3</v>
      </c>
      <c r="AH39" s="147">
        <f>AH37/AH$10</f>
        <v>6.2424483147221271E-3</v>
      </c>
      <c r="AI39" s="149"/>
      <c r="AJ39" s="149"/>
    </row>
    <row r="40" spans="2:36" s="1" customFormat="1" x14ac:dyDescent="0.25">
      <c r="B40" s="1" t="s">
        <v>150</v>
      </c>
      <c r="C40" s="99"/>
      <c r="E40" s="100"/>
      <c r="F40" s="100"/>
      <c r="G40" s="100"/>
      <c r="H40" s="100"/>
      <c r="I40" s="159">
        <f>'Raw Input'!I14</f>
        <v>10114</v>
      </c>
      <c r="J40" s="159"/>
      <c r="K40" s="159"/>
      <c r="L40" s="159"/>
      <c r="M40" s="159"/>
      <c r="N40" s="159">
        <f>'Raw Input'!N14</f>
        <v>10372</v>
      </c>
      <c r="O40" s="159">
        <f>'Raw Input'!O14</f>
        <v>2703</v>
      </c>
      <c r="P40" s="159">
        <f>'Raw Input'!P14</f>
        <v>2553</v>
      </c>
      <c r="Q40" s="159">
        <f>'Raw Input'!Q14</f>
        <v>2581</v>
      </c>
      <c r="R40" s="159">
        <f>'Raw Input'!R14</f>
        <v>2769</v>
      </c>
      <c r="S40" s="159">
        <f>'Raw Input'!S14</f>
        <v>10606</v>
      </c>
      <c r="T40" s="159">
        <f>'Raw Input'!T14</f>
        <v>2657</v>
      </c>
      <c r="U40" s="159">
        <f>'Raw Input'!U14</f>
        <v>2664</v>
      </c>
      <c r="V40" s="159">
        <f>'Raw Input'!V14</f>
        <v>2783</v>
      </c>
      <c r="W40" s="159">
        <f>'Raw Input'!W14</f>
        <v>3004</v>
      </c>
      <c r="X40" s="159">
        <f>'Raw Input'!X14</f>
        <v>11108</v>
      </c>
      <c r="Y40" s="159">
        <f>'Raw Input'!Y14</f>
        <v>2911</v>
      </c>
      <c r="Z40" s="159">
        <f>'Raw Input'!Z14</f>
        <v>2618</v>
      </c>
      <c r="AA40" s="159">
        <f>'Raw Input'!AA14</f>
        <v>2712</v>
      </c>
      <c r="AB40" s="159">
        <f>'Raw Input'!AB14</f>
        <v>2888</v>
      </c>
      <c r="AC40" s="159">
        <f>'Raw Input'!AC14</f>
        <v>11129</v>
      </c>
      <c r="AD40" s="159">
        <f>'Raw Input'!AD14</f>
        <v>4586</v>
      </c>
      <c r="AE40" s="159">
        <f>'Raw Input'!AE14</f>
        <v>4711</v>
      </c>
      <c r="AF40" s="160">
        <f>AF37+AF34+AF31+AF28</f>
        <v>5119.8921200000004</v>
      </c>
      <c r="AG40" s="160">
        <f>AG37+AG34+AG31+AG28</f>
        <v>5423.0707000000002</v>
      </c>
      <c r="AH40" s="160">
        <f>AH37+AH34+AH31+AH28</f>
        <v>19839.962820000001</v>
      </c>
      <c r="AI40" s="161"/>
      <c r="AJ40" s="161"/>
    </row>
    <row r="41" spans="2:36" s="1" customFormat="1" x14ac:dyDescent="0.25">
      <c r="B41" s="111" t="s">
        <v>91</v>
      </c>
      <c r="C41" s="99"/>
      <c r="E41" s="100"/>
      <c r="F41" s="100"/>
      <c r="G41" s="100"/>
      <c r="H41" s="100"/>
      <c r="I41" s="150" t="s">
        <v>90</v>
      </c>
      <c r="J41" s="150"/>
      <c r="K41" s="150"/>
      <c r="L41" s="150"/>
      <c r="M41" s="150"/>
      <c r="N41" s="147">
        <f>N40/I40-1</f>
        <v>2.5509195175005051E-2</v>
      </c>
      <c r="O41" s="166"/>
      <c r="P41" s="166"/>
      <c r="Q41" s="166"/>
      <c r="R41" s="166"/>
      <c r="S41" s="147">
        <f>S40/N40-1</f>
        <v>2.2560740455071393E-2</v>
      </c>
      <c r="T41" s="147">
        <f>T40/O40-1</f>
        <v>-1.7018128005919397E-2</v>
      </c>
      <c r="U41" s="147">
        <f t="shared" ref="U41" si="26">U40/P40-1</f>
        <v>4.3478260869565188E-2</v>
      </c>
      <c r="V41" s="147">
        <f>V40/Q40-1</f>
        <v>7.8264238667183239E-2</v>
      </c>
      <c r="W41" s="147">
        <f>W40/R40-1</f>
        <v>8.4868183459732682E-2</v>
      </c>
      <c r="X41" s="147">
        <f>X40/S40-1</f>
        <v>4.7331699038280162E-2</v>
      </c>
      <c r="Y41" s="147">
        <f>Y40/T40-1</f>
        <v>9.5596537448249919E-2</v>
      </c>
      <c r="Z41" s="147">
        <f t="shared" ref="Z41" si="27">Z40/U40-1</f>
        <v>-1.7267267267267239E-2</v>
      </c>
      <c r="AA41" s="147">
        <f>AA40/V40-1</f>
        <v>-2.5512037369744833E-2</v>
      </c>
      <c r="AB41" s="147">
        <f>AB40/W40-1</f>
        <v>-3.8615179760319585E-2</v>
      </c>
      <c r="AC41" s="147">
        <f>AC40/X40-1</f>
        <v>1.890529348217429E-3</v>
      </c>
      <c r="AD41" s="147">
        <f>AD40/Y40-1</f>
        <v>0.57540364136035738</v>
      </c>
      <c r="AE41" s="147">
        <f>AE40/Z40-1</f>
        <v>0.79946524064171132</v>
      </c>
      <c r="AF41" s="149"/>
      <c r="AG41" s="149"/>
      <c r="AH41" s="151"/>
      <c r="AI41" s="149"/>
      <c r="AJ41" s="149"/>
    </row>
    <row r="42" spans="2:36" s="1" customFormat="1" x14ac:dyDescent="0.25">
      <c r="B42" s="111" t="s">
        <v>93</v>
      </c>
      <c r="I42" s="147">
        <f>I40/I$10</f>
        <v>0.44758153737221756</v>
      </c>
      <c r="J42" s="147"/>
      <c r="K42" s="147"/>
      <c r="L42" s="147"/>
      <c r="M42" s="147"/>
      <c r="N42" s="147">
        <f>N40/N$10</f>
        <v>0.4341929002009377</v>
      </c>
      <c r="O42" s="147">
        <f t="shared" ref="O42:X42" si="28">O40/O$10</f>
        <v>0.40616078136739292</v>
      </c>
      <c r="P42" s="147">
        <f t="shared" si="28"/>
        <v>0.38623298033282905</v>
      </c>
      <c r="Q42" s="147">
        <f t="shared" si="28"/>
        <v>0.38079079374446739</v>
      </c>
      <c r="R42" s="147">
        <f t="shared" si="28"/>
        <v>0.37383556095585257</v>
      </c>
      <c r="S42" s="147">
        <f t="shared" si="28"/>
        <v>0.38637522768670307</v>
      </c>
      <c r="T42" s="147">
        <f t="shared" si="28"/>
        <v>0.34479626265247859</v>
      </c>
      <c r="U42" s="147">
        <f t="shared" si="28"/>
        <v>0.32876712328767121</v>
      </c>
      <c r="V42" s="147">
        <f t="shared" si="28"/>
        <v>0.32880434782608697</v>
      </c>
      <c r="W42" s="147">
        <f t="shared" si="28"/>
        <v>0.33639417693169094</v>
      </c>
      <c r="X42" s="147">
        <f t="shared" si="28"/>
        <v>0.3345480830045478</v>
      </c>
      <c r="Y42" s="147">
        <f>Y40/Y$10</f>
        <v>0.32652832305103757</v>
      </c>
      <c r="Z42" s="147">
        <f t="shared" ref="Z42:AB42" si="29">Z40/Z$10</f>
        <v>0.29978243444406277</v>
      </c>
      <c r="AA42" s="147">
        <f t="shared" si="29"/>
        <v>0.30554303740423616</v>
      </c>
      <c r="AB42" s="147">
        <f t="shared" si="29"/>
        <v>0.31070467993544915</v>
      </c>
      <c r="AC42" s="147">
        <f>AC40/AC$10</f>
        <v>0.31070102459588489</v>
      </c>
      <c r="AD42" s="147">
        <f>AD40/AD$10</f>
        <v>0.38341275813059111</v>
      </c>
      <c r="AE42" s="147">
        <f>AE40/AE$10</f>
        <v>0.37727236325778812</v>
      </c>
      <c r="AF42" s="153"/>
      <c r="AG42" s="153"/>
      <c r="AH42" s="147">
        <f>AH40/AH$10</f>
        <v>0.37940744668827736</v>
      </c>
      <c r="AI42" s="149"/>
      <c r="AJ42" s="149"/>
    </row>
    <row r="43" spans="2:36" s="1" customFormat="1" x14ac:dyDescent="0.25">
      <c r="B43" s="112" t="s">
        <v>94</v>
      </c>
      <c r="C43" s="113"/>
      <c r="D43" s="112"/>
      <c r="E43" s="114"/>
      <c r="F43" s="114"/>
      <c r="G43" s="114"/>
      <c r="H43" s="114"/>
      <c r="I43" s="162">
        <f>'Raw Input'!I15</f>
        <v>12483</v>
      </c>
      <c r="J43" s="162"/>
      <c r="K43" s="162"/>
      <c r="L43" s="162"/>
      <c r="M43" s="162"/>
      <c r="N43" s="162">
        <f>'Raw Input'!N15</f>
        <v>13516</v>
      </c>
      <c r="O43" s="162">
        <f>'Raw Input'!O15</f>
        <v>3952</v>
      </c>
      <c r="P43" s="162">
        <f>'Raw Input'!P15</f>
        <v>4057</v>
      </c>
      <c r="Q43" s="162">
        <f>'Raw Input'!Q15</f>
        <v>4197</v>
      </c>
      <c r="R43" s="162">
        <f>'Raw Input'!R15</f>
        <v>4638</v>
      </c>
      <c r="S43" s="162">
        <f>'Raw Input'!S15</f>
        <v>16844</v>
      </c>
      <c r="T43" s="162">
        <f>'Raw Input'!T15</f>
        <v>5049</v>
      </c>
      <c r="U43" s="162">
        <f>'Raw Input'!U15</f>
        <v>5439</v>
      </c>
      <c r="V43" s="162">
        <f>'Raw Input'!V15</f>
        <v>5681</v>
      </c>
      <c r="W43" s="162">
        <f>'Raw Input'!W15</f>
        <v>5926</v>
      </c>
      <c r="X43" s="162">
        <f>'Raw Input'!X15</f>
        <v>22095</v>
      </c>
      <c r="Y43" s="162">
        <f>'Raw Input'!Y15</f>
        <v>6004</v>
      </c>
      <c r="Z43" s="162">
        <f>'Raw Input'!Z15</f>
        <v>6115</v>
      </c>
      <c r="AA43" s="162">
        <f>'Raw Input'!AA15</f>
        <v>6164</v>
      </c>
      <c r="AB43" s="162">
        <f>'Raw Input'!AB15</f>
        <v>6407</v>
      </c>
      <c r="AC43" s="162">
        <f>'Raw Input'!AC15</f>
        <v>24690</v>
      </c>
      <c r="AD43" s="162">
        <f>'Raw Input'!AD15</f>
        <v>7375</v>
      </c>
      <c r="AE43" s="162">
        <f>'Raw Input'!AE15</f>
        <v>7776</v>
      </c>
      <c r="AF43" s="163">
        <f>AF10-AF40</f>
        <v>8357.9778800000004</v>
      </c>
      <c r="AG43" s="163">
        <f>AG10-AG40</f>
        <v>8943.0293000000001</v>
      </c>
      <c r="AH43" s="163">
        <f>AH10-AH40</f>
        <v>32452.007180000001</v>
      </c>
      <c r="AI43" s="158"/>
      <c r="AJ43" s="158"/>
    </row>
    <row r="44" spans="2:36" s="1" customFormat="1" x14ac:dyDescent="0.25">
      <c r="B44" s="111" t="s">
        <v>91</v>
      </c>
      <c r="C44" s="118"/>
      <c r="D44" s="119"/>
      <c r="E44" s="120"/>
      <c r="F44" s="120"/>
      <c r="G44" s="120"/>
      <c r="H44" s="120"/>
      <c r="I44" s="150" t="s">
        <v>90</v>
      </c>
      <c r="J44" s="150"/>
      <c r="K44" s="150"/>
      <c r="L44" s="150"/>
      <c r="M44" s="150"/>
      <c r="N44" s="147">
        <f>N43/I43-1</f>
        <v>8.2752543459104322E-2</v>
      </c>
      <c r="O44" s="166"/>
      <c r="P44" s="166"/>
      <c r="Q44" s="166"/>
      <c r="R44" s="166"/>
      <c r="S44" s="147">
        <f>S43/N43-1</f>
        <v>0.24622669428825095</v>
      </c>
      <c r="T44" s="147">
        <f>T43/O43-1</f>
        <v>0.27758097165991913</v>
      </c>
      <c r="U44" s="147">
        <f t="shared" ref="U44" si="30">U43/P43-1</f>
        <v>0.34064579738723189</v>
      </c>
      <c r="V44" s="147">
        <f>V43/Q43-1</f>
        <v>0.353585894686681</v>
      </c>
      <c r="W44" s="147">
        <f>W43/R43-1</f>
        <v>0.2777059077188444</v>
      </c>
      <c r="X44" s="147">
        <f>X43/S43-1</f>
        <v>0.31174305390643542</v>
      </c>
      <c r="Y44" s="147">
        <f>Y43/T43-1</f>
        <v>0.18914636561695386</v>
      </c>
      <c r="Z44" s="147">
        <f t="shared" ref="Z44" si="31">Z43/U43-1</f>
        <v>0.12428755285898152</v>
      </c>
      <c r="AA44" s="147">
        <f>AA43/V43-1</f>
        <v>8.5020242914979782E-2</v>
      </c>
      <c r="AB44" s="147">
        <f>AB43/W43-1</f>
        <v>8.1167735403307351E-2</v>
      </c>
      <c r="AC44" s="147">
        <f>AC43/X43-1</f>
        <v>0.11744738628649021</v>
      </c>
      <c r="AD44" s="147">
        <f>AD43/Y43-1</f>
        <v>0.22834776815456359</v>
      </c>
      <c r="AE44" s="147">
        <f>AE43/Z43-1</f>
        <v>0.27162714636140639</v>
      </c>
      <c r="AF44" s="149"/>
      <c r="AG44" s="149"/>
      <c r="AH44" s="147">
        <f>AH43/AC43-1</f>
        <v>0.31437858161198862</v>
      </c>
      <c r="AI44" s="151"/>
      <c r="AJ44" s="151"/>
    </row>
    <row r="45" spans="2:36" s="169" customFormat="1" x14ac:dyDescent="0.25">
      <c r="B45" s="167" t="s">
        <v>95</v>
      </c>
      <c r="C45" s="168"/>
      <c r="E45" s="170"/>
      <c r="F45" s="170"/>
      <c r="G45" s="170"/>
      <c r="H45" s="170"/>
      <c r="I45" s="171">
        <f>I43/I$10</f>
        <v>0.55241846262778249</v>
      </c>
      <c r="J45" s="171"/>
      <c r="K45" s="171"/>
      <c r="L45" s="171"/>
      <c r="M45" s="171"/>
      <c r="N45" s="171">
        <f>N43/N$10</f>
        <v>0.5658070997990623</v>
      </c>
      <c r="O45" s="171">
        <f t="shared" ref="O45:X45" si="32">O43/O$10</f>
        <v>0.59383921863260702</v>
      </c>
      <c r="P45" s="171">
        <f t="shared" si="32"/>
        <v>0.61376701966717095</v>
      </c>
      <c r="Q45" s="171">
        <f t="shared" si="32"/>
        <v>0.61920920625553255</v>
      </c>
      <c r="R45" s="171">
        <f t="shared" si="32"/>
        <v>0.62616443904414743</v>
      </c>
      <c r="S45" s="171">
        <f t="shared" si="32"/>
        <v>0.61362477231329693</v>
      </c>
      <c r="T45" s="171">
        <f t="shared" si="32"/>
        <v>0.65520373734752146</v>
      </c>
      <c r="U45" s="171">
        <f t="shared" si="32"/>
        <v>0.67123287671232879</v>
      </c>
      <c r="V45" s="171">
        <f t="shared" si="32"/>
        <v>0.67119565217391308</v>
      </c>
      <c r="W45" s="171">
        <f t="shared" si="32"/>
        <v>0.66360582306830906</v>
      </c>
      <c r="X45" s="171">
        <f t="shared" si="32"/>
        <v>0.66545191699545225</v>
      </c>
      <c r="Y45" s="171">
        <f>Y43/Y$10</f>
        <v>0.67347167694896237</v>
      </c>
      <c r="Z45" s="171">
        <f t="shared" ref="Z45:AB45" si="33">Z43/Z$10</f>
        <v>0.70021756555593728</v>
      </c>
      <c r="AA45" s="171">
        <f t="shared" si="33"/>
        <v>0.69445696259576384</v>
      </c>
      <c r="AB45" s="171">
        <f t="shared" si="33"/>
        <v>0.68929532006455085</v>
      </c>
      <c r="AC45" s="171">
        <f>AC43/AC$10</f>
        <v>0.68929897540411511</v>
      </c>
      <c r="AD45" s="171">
        <f>AD43/AD$10</f>
        <v>0.61658724186940894</v>
      </c>
      <c r="AE45" s="171">
        <f>AE43/AE$10</f>
        <v>0.62272763674221188</v>
      </c>
      <c r="AF45" s="171">
        <f t="shared" ref="AF45:AH45" si="34">AF43/AF$10</f>
        <v>0.62012601991264193</v>
      </c>
      <c r="AG45" s="171">
        <f t="shared" si="34"/>
        <v>0.6225091917778659</v>
      </c>
      <c r="AH45" s="171">
        <f t="shared" si="34"/>
        <v>0.62059255331172258</v>
      </c>
      <c r="AI45" s="172"/>
      <c r="AJ45" s="172"/>
    </row>
    <row r="46" spans="2:36" x14ac:dyDescent="0.25">
      <c r="B46" s="116"/>
      <c r="C46" s="88"/>
      <c r="E46" s="89"/>
      <c r="F46" s="89"/>
      <c r="G46" s="89"/>
      <c r="H46" s="89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1"/>
      <c r="AG46" s="151"/>
      <c r="AH46" s="149"/>
      <c r="AI46" s="149"/>
      <c r="AJ46" s="149"/>
    </row>
    <row r="47" spans="2:36" x14ac:dyDescent="0.25">
      <c r="B47" s="115" t="s">
        <v>96</v>
      </c>
      <c r="C47" s="88"/>
      <c r="E47" s="89"/>
      <c r="F47" s="89"/>
      <c r="G47" s="89"/>
      <c r="H47" s="8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51"/>
      <c r="AG47" s="151"/>
      <c r="AH47" s="151"/>
      <c r="AI47" s="151"/>
      <c r="AJ47" s="151"/>
    </row>
    <row r="48" spans="2:36" x14ac:dyDescent="0.25">
      <c r="B48" t="s">
        <v>152</v>
      </c>
      <c r="C48" s="88"/>
      <c r="E48" s="89"/>
      <c r="F48" s="89"/>
      <c r="G48" s="89"/>
      <c r="H48" s="89"/>
      <c r="I48" s="149">
        <f>'Raw Input'!I18</f>
        <v>4696</v>
      </c>
      <c r="J48" s="149"/>
      <c r="K48" s="149"/>
      <c r="L48" s="149"/>
      <c r="M48" s="149"/>
      <c r="N48" s="149">
        <f>'Raw Input'!N18</f>
        <v>4968</v>
      </c>
      <c r="O48" s="149">
        <f>'Raw Input'!O18</f>
        <v>1211</v>
      </c>
      <c r="P48" s="149">
        <f>'Raw Input'!P18</f>
        <v>1238</v>
      </c>
      <c r="Q48" s="149">
        <f>'Raw Input'!Q18</f>
        <v>1205</v>
      </c>
      <c r="R48" s="149">
        <f>'Raw Input'!R18</f>
        <v>1200</v>
      </c>
      <c r="S48" s="149">
        <f>'Raw Input'!S18</f>
        <v>4854</v>
      </c>
      <c r="T48" s="149">
        <f>'Raw Input'!T18</f>
        <v>1206</v>
      </c>
      <c r="U48" s="149">
        <f>'Raw Input'!U18</f>
        <v>1261</v>
      </c>
      <c r="V48" s="149">
        <f>'Raw Input'!V18</f>
        <v>1255</v>
      </c>
      <c r="W48" s="149">
        <f>'Raw Input'!W18</f>
        <v>1197</v>
      </c>
      <c r="X48" s="149">
        <f>'Raw Input'!X18</f>
        <v>4919</v>
      </c>
      <c r="Y48" s="149">
        <f>'Raw Input'!Y18</f>
        <v>1195</v>
      </c>
      <c r="Z48" s="149">
        <f>'Raw Input'!Z18</f>
        <v>1312</v>
      </c>
      <c r="AA48" s="149">
        <f>'Raw Input'!AA18</f>
        <v>1358</v>
      </c>
      <c r="AB48" s="149">
        <f>'Raw Input'!AB18</f>
        <v>1388</v>
      </c>
      <c r="AC48" s="149">
        <f>'Raw Input'!AC18</f>
        <v>5253</v>
      </c>
      <c r="AD48" s="149">
        <f>'Raw Input'!AD18</f>
        <v>2308</v>
      </c>
      <c r="AE48" s="149">
        <f>'Raw Input'!AE18</f>
        <v>2415</v>
      </c>
      <c r="AF48" s="151">
        <f>AF50*AF$10</f>
        <v>2560.7953000000002</v>
      </c>
      <c r="AG48" s="151">
        <f>AG50*AG$10</f>
        <v>2729.5590000000002</v>
      </c>
      <c r="AH48" s="149">
        <f>SUM(AD48:AG48)</f>
        <v>10013.354299999999</v>
      </c>
      <c r="AI48" s="151">
        <f>AI50*AI10</f>
        <v>12188.297160000002</v>
      </c>
      <c r="AJ48" s="151">
        <f>AJ50*AJ10</f>
        <v>13810.329619200002</v>
      </c>
    </row>
    <row r="49" spans="2:36" x14ac:dyDescent="0.25">
      <c r="B49" s="111" t="s">
        <v>91</v>
      </c>
      <c r="C49" s="88"/>
      <c r="E49" s="89"/>
      <c r="F49" s="89"/>
      <c r="G49" s="89"/>
      <c r="H49" s="89"/>
      <c r="I49" s="150" t="s">
        <v>90</v>
      </c>
      <c r="J49" s="150"/>
      <c r="K49" s="150"/>
      <c r="L49" s="150"/>
      <c r="M49" s="150"/>
      <c r="N49" s="147">
        <f>N48/I48-1</f>
        <v>5.7921635434412311E-2</v>
      </c>
      <c r="O49" s="166"/>
      <c r="P49" s="166"/>
      <c r="Q49" s="166"/>
      <c r="R49" s="166"/>
      <c r="S49" s="147">
        <f>S48/N48-1</f>
        <v>-2.2946859903381633E-2</v>
      </c>
      <c r="T49" s="147">
        <f>T48/O48-1</f>
        <v>-4.1288191577208977E-3</v>
      </c>
      <c r="U49" s="147">
        <f t="shared" ref="U49" si="35">U48/P48-1</f>
        <v>1.8578352180937063E-2</v>
      </c>
      <c r="V49" s="147">
        <f>V48/Q48-1</f>
        <v>4.1493775933610033E-2</v>
      </c>
      <c r="W49" s="147">
        <f>W48/R48-1</f>
        <v>-2.4999999999999467E-3</v>
      </c>
      <c r="X49" s="147">
        <f>X48/S48-1</f>
        <v>1.339101771734641E-2</v>
      </c>
      <c r="Y49" s="147">
        <f>Y48/T48-1</f>
        <v>-9.121061359867344E-3</v>
      </c>
      <c r="Z49" s="147">
        <f t="shared" ref="Z49" si="36">Z48/U48-1</f>
        <v>4.0444091990483821E-2</v>
      </c>
      <c r="AA49" s="147">
        <f>AA48/V48-1</f>
        <v>8.2071713147410463E-2</v>
      </c>
      <c r="AB49" s="147">
        <f>AB48/W48-1</f>
        <v>0.15956558061821213</v>
      </c>
      <c r="AC49" s="147">
        <f>AC48/X48-1</f>
        <v>6.7899979670664745E-2</v>
      </c>
      <c r="AD49" s="147">
        <f>AD48/Y48-1</f>
        <v>0.93138075313807533</v>
      </c>
      <c r="AE49" s="147">
        <f>AE48/Z48-1</f>
        <v>0.84070121951219523</v>
      </c>
      <c r="AF49" s="149"/>
      <c r="AG49" s="149"/>
      <c r="AH49" s="147">
        <f>AH48/AC48-1</f>
        <v>0.90621631448695972</v>
      </c>
      <c r="AI49" s="149"/>
      <c r="AJ49" s="149"/>
    </row>
    <row r="50" spans="2:36" x14ac:dyDescent="0.25">
      <c r="B50" s="111" t="s">
        <v>93</v>
      </c>
      <c r="C50" s="88"/>
      <c r="E50" s="89"/>
      <c r="F50" s="89"/>
      <c r="G50" s="89"/>
      <c r="H50" s="89"/>
      <c r="I50" s="147">
        <f>I48/I$10</f>
        <v>0.20781519670752754</v>
      </c>
      <c r="J50" s="147"/>
      <c r="K50" s="147"/>
      <c r="L50" s="147"/>
      <c r="M50" s="147"/>
      <c r="N50" s="147">
        <f>N48/N$10</f>
        <v>0.20797052913596786</v>
      </c>
      <c r="O50" s="147">
        <f t="shared" ref="O50:X50" si="37">O48/O$10</f>
        <v>0.18196844477836213</v>
      </c>
      <c r="P50" s="147">
        <f t="shared" si="37"/>
        <v>0.18729198184568835</v>
      </c>
      <c r="Q50" s="147">
        <f t="shared" si="37"/>
        <v>0.17778105635880792</v>
      </c>
      <c r="R50" s="147">
        <f t="shared" si="37"/>
        <v>0.16200891049007696</v>
      </c>
      <c r="S50" s="147">
        <f t="shared" si="37"/>
        <v>0.17683060109289617</v>
      </c>
      <c r="T50" s="147">
        <f t="shared" si="37"/>
        <v>0.15650142745912277</v>
      </c>
      <c r="U50" s="147">
        <f t="shared" si="37"/>
        <v>0.15562137479945698</v>
      </c>
      <c r="V50" s="147">
        <f t="shared" si="37"/>
        <v>0.14827504725897919</v>
      </c>
      <c r="W50" s="147">
        <f t="shared" si="37"/>
        <v>0.13404255319148936</v>
      </c>
      <c r="X50" s="147">
        <f t="shared" si="37"/>
        <v>0.14814926362075717</v>
      </c>
      <c r="Y50" s="147">
        <f>Y48/Y$10</f>
        <v>0.13404374649467191</v>
      </c>
      <c r="Z50" s="147">
        <f t="shared" ref="Z50:AB50" si="38">Z48/Z$10</f>
        <v>0.15023474178403756</v>
      </c>
      <c r="AA50" s="147">
        <f t="shared" si="38"/>
        <v>0.1529968454258675</v>
      </c>
      <c r="AB50" s="147">
        <f t="shared" si="38"/>
        <v>0.14932759548144164</v>
      </c>
      <c r="AC50" s="147">
        <f>AC48/AC$10</f>
        <v>0.14665401044138585</v>
      </c>
      <c r="AD50" s="147">
        <f>AD48/AD$10</f>
        <v>0.19296045481147062</v>
      </c>
      <c r="AE50" s="147">
        <f>AE48/AE$10</f>
        <v>0.19340113718266996</v>
      </c>
      <c r="AF50" s="147">
        <v>0.19</v>
      </c>
      <c r="AG50" s="147">
        <v>0.19</v>
      </c>
      <c r="AH50" s="147">
        <f>AH48/AH$10</f>
        <v>0.19148933000611756</v>
      </c>
      <c r="AI50" s="147">
        <v>0.2</v>
      </c>
      <c r="AJ50" s="147">
        <v>0.2</v>
      </c>
    </row>
    <row r="51" spans="2:36" x14ac:dyDescent="0.25">
      <c r="B51" s="134" t="s">
        <v>153</v>
      </c>
      <c r="C51" s="88"/>
      <c r="E51" s="89"/>
      <c r="F51" s="89"/>
      <c r="G51" s="89"/>
      <c r="H51" s="89"/>
      <c r="I51" s="149">
        <f>'Raw Input'!I19</f>
        <v>1709</v>
      </c>
      <c r="J51" s="149"/>
      <c r="K51" s="149"/>
      <c r="L51" s="149"/>
      <c r="M51" s="149"/>
      <c r="N51" s="149">
        <f>'Raw Input'!N19</f>
        <v>1935</v>
      </c>
      <c r="O51" s="149">
        <f>'Raw Input'!O19</f>
        <v>339</v>
      </c>
      <c r="P51" s="149">
        <f>'Raw Input'!P19</f>
        <v>325</v>
      </c>
      <c r="Q51" s="149">
        <f>'Raw Input'!Q19</f>
        <v>346</v>
      </c>
      <c r="R51" s="149">
        <f>'Raw Input'!R19</f>
        <v>337</v>
      </c>
      <c r="S51" s="149">
        <f>'Raw Input'!S19</f>
        <v>1347</v>
      </c>
      <c r="T51" s="149">
        <f>'Raw Input'!T19</f>
        <v>321</v>
      </c>
      <c r="U51" s="149">
        <f>'Raw Input'!U19</f>
        <v>368</v>
      </c>
      <c r="V51" s="149">
        <f>'Raw Input'!V19</f>
        <v>323</v>
      </c>
      <c r="W51" s="149">
        <f>'Raw Input'!W19</f>
        <v>370</v>
      </c>
      <c r="X51" s="149">
        <f>'Raw Input'!X19</f>
        <v>1382</v>
      </c>
      <c r="Y51" s="149">
        <f>'Raw Input'!Y19</f>
        <v>348</v>
      </c>
      <c r="Z51" s="149">
        <f>'Raw Input'!Z19</f>
        <v>438</v>
      </c>
      <c r="AA51" s="149">
        <f>'Raw Input'!AA19</f>
        <v>388</v>
      </c>
      <c r="AB51" s="149">
        <f>'Raw Input'!AB19</f>
        <v>418</v>
      </c>
      <c r="AC51" s="149">
        <f>'Raw Input'!AC19</f>
        <v>1592</v>
      </c>
      <c r="AD51" s="149">
        <f>'Raw Input'!AD19</f>
        <v>1572</v>
      </c>
      <c r="AE51" s="149">
        <f>'Raw Input'!AE19</f>
        <v>1277</v>
      </c>
      <c r="AF51" s="151">
        <f>AF53*AF$10</f>
        <v>1347.7870000000003</v>
      </c>
      <c r="AG51" s="151">
        <f>AG53*AG$10</f>
        <v>1436.6100000000001</v>
      </c>
      <c r="AH51" s="149">
        <f>SUM(AD51:AG51)</f>
        <v>5633.3970000000008</v>
      </c>
      <c r="AI51" s="149">
        <f>AI53*AI10</f>
        <v>6703.563438000001</v>
      </c>
      <c r="AJ51" s="149">
        <f>AJ53*AJ10</f>
        <v>7595.6812905600009</v>
      </c>
    </row>
    <row r="52" spans="2:36" x14ac:dyDescent="0.25">
      <c r="B52" s="111" t="s">
        <v>91</v>
      </c>
      <c r="C52" s="88"/>
      <c r="E52" s="89"/>
      <c r="F52" s="89"/>
      <c r="G52" s="89"/>
      <c r="H52" s="89"/>
      <c r="I52" s="150" t="s">
        <v>90</v>
      </c>
      <c r="J52" s="150"/>
      <c r="K52" s="150"/>
      <c r="L52" s="150"/>
      <c r="M52" s="150"/>
      <c r="N52" s="147">
        <f>N51/I51-1</f>
        <v>0.13224107665301355</v>
      </c>
      <c r="O52" s="166"/>
      <c r="P52" s="166"/>
      <c r="Q52" s="166"/>
      <c r="R52" s="166"/>
      <c r="S52" s="147">
        <f>S51/N51-1</f>
        <v>-0.30387596899224811</v>
      </c>
      <c r="T52" s="147">
        <f>T51/O51-1</f>
        <v>-5.3097345132743334E-2</v>
      </c>
      <c r="U52" s="147">
        <f t="shared" ref="U52" si="39">U51/P51-1</f>
        <v>0.13230769230769224</v>
      </c>
      <c r="V52" s="147">
        <f>V51/Q51-1</f>
        <v>-6.6473988439306408E-2</v>
      </c>
      <c r="W52" s="147">
        <f>W51/R51-1</f>
        <v>9.7922848664688367E-2</v>
      </c>
      <c r="X52" s="147">
        <f>X51/S51-1</f>
        <v>2.5983667409057221E-2</v>
      </c>
      <c r="Y52" s="147">
        <f>Y51/T51-1</f>
        <v>8.4112149532710179E-2</v>
      </c>
      <c r="Z52" s="147">
        <f t="shared" ref="Z52" si="40">Z51/U51-1</f>
        <v>0.19021739130434789</v>
      </c>
      <c r="AA52" s="147">
        <f>AA51/V51-1</f>
        <v>0.20123839009287936</v>
      </c>
      <c r="AB52" s="147">
        <f>AB51/W51-1</f>
        <v>0.12972972972972974</v>
      </c>
      <c r="AC52" s="147">
        <f>AC51/X51-1</f>
        <v>0.15195369030390737</v>
      </c>
      <c r="AD52" s="147">
        <f>AD51/Y51-1</f>
        <v>3.5172413793103452</v>
      </c>
      <c r="AE52" s="147">
        <f>AE51/Z51-1</f>
        <v>1.9155251141552512</v>
      </c>
      <c r="AF52" s="149"/>
      <c r="AG52" s="149"/>
      <c r="AH52" s="147">
        <f>AH51/AC51-1</f>
        <v>2.5385659547738699</v>
      </c>
      <c r="AI52" s="149"/>
      <c r="AJ52" s="149"/>
    </row>
    <row r="53" spans="2:36" x14ac:dyDescent="0.25">
      <c r="B53" s="111" t="s">
        <v>93</v>
      </c>
      <c r="C53" s="99"/>
      <c r="D53" s="1"/>
      <c r="E53" s="100"/>
      <c r="F53" s="100"/>
      <c r="G53" s="100"/>
      <c r="H53" s="100"/>
      <c r="I53" s="147">
        <f>I51/I$10</f>
        <v>7.5629508341815282E-2</v>
      </c>
      <c r="J53" s="147"/>
      <c r="K53" s="147"/>
      <c r="L53" s="147"/>
      <c r="M53" s="147"/>
      <c r="N53" s="147">
        <f>N51/N$10</f>
        <v>8.1003014065639659E-2</v>
      </c>
      <c r="O53" s="147">
        <f t="shared" ref="O53:X53" si="41">O51/O$10</f>
        <v>5.0939143501126972E-2</v>
      </c>
      <c r="P53" s="147">
        <f t="shared" si="41"/>
        <v>4.9167927382753406E-2</v>
      </c>
      <c r="Q53" s="147">
        <f t="shared" si="41"/>
        <v>5.1047506639126584E-2</v>
      </c>
      <c r="R53" s="147">
        <f t="shared" si="41"/>
        <v>4.5497502362629942E-2</v>
      </c>
      <c r="S53" s="147">
        <f t="shared" si="41"/>
        <v>4.907103825136612E-2</v>
      </c>
      <c r="T53" s="147">
        <f t="shared" si="41"/>
        <v>4.165585258240332E-2</v>
      </c>
      <c r="U53" s="147">
        <f t="shared" si="41"/>
        <v>4.5415278291990623E-2</v>
      </c>
      <c r="V53" s="147">
        <f t="shared" si="41"/>
        <v>3.8161625708884685E-2</v>
      </c>
      <c r="W53" s="147">
        <f t="shared" si="41"/>
        <v>4.1433370660694288E-2</v>
      </c>
      <c r="X53" s="147">
        <f t="shared" si="41"/>
        <v>4.1622744932686806E-2</v>
      </c>
      <c r="Y53" s="147">
        <f>Y51/Y$10</f>
        <v>3.9035333707234998E-2</v>
      </c>
      <c r="Z53" s="147">
        <f t="shared" ref="Z53:AB53" si="42">Z51/Z$10</f>
        <v>5.015458605290278E-2</v>
      </c>
      <c r="AA53" s="147">
        <f t="shared" si="42"/>
        <v>4.3713384407390719E-2</v>
      </c>
      <c r="AB53" s="147">
        <f t="shared" si="42"/>
        <v>4.4970414201183431E-2</v>
      </c>
      <c r="AC53" s="147">
        <f>AC51/AC$10</f>
        <v>4.4445685250844524E-2</v>
      </c>
      <c r="AD53" s="147">
        <f>AD51/AD$10</f>
        <v>0.13142713819914723</v>
      </c>
      <c r="AE53" s="147">
        <f>AE51/AE$10</f>
        <v>0.10226635701129175</v>
      </c>
      <c r="AF53" s="147">
        <v>0.1</v>
      </c>
      <c r="AG53" s="147">
        <v>0.1</v>
      </c>
      <c r="AH53" s="147">
        <f>AH51/AH$10</f>
        <v>0.10772967627725635</v>
      </c>
      <c r="AI53" s="147">
        <v>0.11</v>
      </c>
      <c r="AJ53" s="147">
        <v>0.11</v>
      </c>
    </row>
    <row r="54" spans="2:36" x14ac:dyDescent="0.25">
      <c r="B54" s="134" t="s">
        <v>149</v>
      </c>
      <c r="C54" s="88"/>
      <c r="E54" s="89"/>
      <c r="F54" s="89"/>
      <c r="G54" s="89"/>
      <c r="H54" s="89"/>
      <c r="I54" s="149">
        <f>'Raw Input'!I20</f>
        <v>1898</v>
      </c>
      <c r="J54" s="149"/>
      <c r="K54" s="149"/>
      <c r="L54" s="149"/>
      <c r="M54" s="149"/>
      <c r="N54" s="149">
        <f>'Raw Input'!N20</f>
        <v>2401</v>
      </c>
      <c r="O54" s="149">
        <f>'Raw Input'!O20</f>
        <v>494</v>
      </c>
      <c r="P54" s="149">
        <f>'Raw Input'!P20</f>
        <v>494</v>
      </c>
      <c r="Q54" s="149">
        <f>'Raw Input'!Q20</f>
        <v>494</v>
      </c>
      <c r="R54" s="149">
        <f>'Raw Input'!R20</f>
        <v>494</v>
      </c>
      <c r="S54" s="149">
        <f>'Raw Input'!S20</f>
        <v>1976</v>
      </c>
      <c r="T54" s="149">
        <f>'Raw Input'!T20</f>
        <v>397</v>
      </c>
      <c r="U54" s="149">
        <f>'Raw Input'!U20</f>
        <v>398</v>
      </c>
      <c r="V54" s="149">
        <f>'Raw Input'!V20</f>
        <v>359</v>
      </c>
      <c r="W54" s="149">
        <f>'Raw Input'!W20</f>
        <v>358</v>
      </c>
      <c r="X54" s="149">
        <f>'Raw Input'!X20</f>
        <v>1512</v>
      </c>
      <c r="Y54" s="149">
        <f>'Raw Input'!Y20</f>
        <v>348</v>
      </c>
      <c r="Z54" s="149">
        <f>'Raw Input'!Z20</f>
        <v>348</v>
      </c>
      <c r="AA54" s="149">
        <f>'Raw Input'!AA20</f>
        <v>350</v>
      </c>
      <c r="AB54" s="149">
        <f>'Raw Input'!AB20</f>
        <v>348</v>
      </c>
      <c r="AC54" s="149">
        <f>'Raw Input'!AC20</f>
        <v>1394</v>
      </c>
      <c r="AD54" s="149">
        <f>'Raw Input'!AD20</f>
        <v>792</v>
      </c>
      <c r="AE54" s="149">
        <f>'Raw Input'!AE20</f>
        <v>827</v>
      </c>
      <c r="AF54" s="151">
        <f>AF56*AF$10</f>
        <v>808.67219999999998</v>
      </c>
      <c r="AG54" s="151">
        <f>AG56*AG$10</f>
        <v>861.96600000000001</v>
      </c>
      <c r="AH54" s="149">
        <f>SUM(AD54:AG54)</f>
        <v>3289.6381999999999</v>
      </c>
      <c r="AI54" s="151"/>
      <c r="AJ54" s="151"/>
    </row>
    <row r="55" spans="2:36" s="119" customFormat="1" x14ac:dyDescent="0.25">
      <c r="B55" s="111" t="s">
        <v>91</v>
      </c>
      <c r="I55" s="150" t="s">
        <v>90</v>
      </c>
      <c r="J55" s="150"/>
      <c r="K55" s="150"/>
      <c r="L55" s="150"/>
      <c r="M55" s="150"/>
      <c r="N55" s="147">
        <f>N54/I54-1</f>
        <v>0.26501580611169651</v>
      </c>
      <c r="O55" s="166"/>
      <c r="P55" s="166"/>
      <c r="Q55" s="166"/>
      <c r="R55" s="166"/>
      <c r="S55" s="147">
        <f>S54/N54-1</f>
        <v>-0.17700957934194084</v>
      </c>
      <c r="T55" s="147">
        <f>T54/O54-1</f>
        <v>-0.19635627530364375</v>
      </c>
      <c r="U55" s="147">
        <f t="shared" ref="U55" si="43">U54/P54-1</f>
        <v>-0.19433198380566796</v>
      </c>
      <c r="V55" s="147">
        <f>V54/Q54-1</f>
        <v>-0.27327935222672062</v>
      </c>
      <c r="W55" s="147">
        <f>W54/R54-1</f>
        <v>-0.2753036437246964</v>
      </c>
      <c r="X55" s="147">
        <f>X54/S54-1</f>
        <v>-0.23481781376518218</v>
      </c>
      <c r="Y55" s="147">
        <f>Y54/T54-1</f>
        <v>-0.12342569269521408</v>
      </c>
      <c r="Z55" s="147">
        <f t="shared" ref="Z55" si="44">Z54/U54-1</f>
        <v>-0.12562814070351758</v>
      </c>
      <c r="AA55" s="147">
        <f>AA54/V54-1</f>
        <v>-2.5069637883008311E-2</v>
      </c>
      <c r="AB55" s="147">
        <f>AB54/W54-1</f>
        <v>-2.7932960893854775E-2</v>
      </c>
      <c r="AC55" s="147">
        <f>AC54/X54-1</f>
        <v>-7.8042328042328024E-2</v>
      </c>
      <c r="AD55" s="147">
        <f>AD54/Y54-1</f>
        <v>1.2758620689655173</v>
      </c>
      <c r="AE55" s="147">
        <f>AE54/Z54-1</f>
        <v>1.3764367816091956</v>
      </c>
      <c r="AF55" s="152"/>
      <c r="AG55" s="152"/>
      <c r="AH55" s="152"/>
      <c r="AI55" s="151"/>
      <c r="AJ55" s="151"/>
    </row>
    <row r="56" spans="2:36" x14ac:dyDescent="0.25">
      <c r="B56" s="111" t="s">
        <v>93</v>
      </c>
      <c r="C56" s="88"/>
      <c r="E56" s="89"/>
      <c r="F56" s="89"/>
      <c r="G56" s="89"/>
      <c r="H56" s="89"/>
      <c r="I56" s="147">
        <f>I54/I$10</f>
        <v>8.3993450458025407E-2</v>
      </c>
      <c r="J56" s="147"/>
      <c r="K56" s="147"/>
      <c r="L56" s="147"/>
      <c r="M56" s="147"/>
      <c r="N56" s="147">
        <f>N54/N$10</f>
        <v>0.10051071667782988</v>
      </c>
      <c r="O56" s="147">
        <f t="shared" ref="O56:X56" si="45">O54/O$10</f>
        <v>7.4229902329075878E-2</v>
      </c>
      <c r="P56" s="147">
        <f t="shared" si="45"/>
        <v>7.4735249621785169E-2</v>
      </c>
      <c r="Q56" s="147">
        <f t="shared" si="45"/>
        <v>7.288285629979345E-2</v>
      </c>
      <c r="R56" s="147">
        <f t="shared" si="45"/>
        <v>6.6693668151748348E-2</v>
      </c>
      <c r="S56" s="147">
        <f t="shared" si="45"/>
        <v>7.1985428051001818E-2</v>
      </c>
      <c r="T56" s="147">
        <f t="shared" si="45"/>
        <v>5.1518297430573581E-2</v>
      </c>
      <c r="U56" s="147">
        <f t="shared" si="45"/>
        <v>4.9117610761446377E-2</v>
      </c>
      <c r="V56" s="147">
        <f t="shared" si="45"/>
        <v>4.2414933837429114E-2</v>
      </c>
      <c r="W56" s="147">
        <f t="shared" si="45"/>
        <v>4.0089585666293392E-2</v>
      </c>
      <c r="X56" s="147">
        <f t="shared" si="45"/>
        <v>4.5538053790320152E-2</v>
      </c>
      <c r="Y56" s="147">
        <f>Y54/Y$10</f>
        <v>3.9035333707234998E-2</v>
      </c>
      <c r="Z56" s="147">
        <f t="shared" ref="Z56:AB56" si="46">Z54/Z$10</f>
        <v>3.9848849192717278E-2</v>
      </c>
      <c r="AA56" s="147">
        <f t="shared" si="46"/>
        <v>3.9432176656151417E-2</v>
      </c>
      <c r="AB56" s="147">
        <f t="shared" si="46"/>
        <v>3.7439483593329749E-2</v>
      </c>
      <c r="AC56" s="147">
        <f>AC54/AC$10</f>
        <v>3.8917892738490743E-2</v>
      </c>
      <c r="AD56" s="147">
        <f>AD54/AD$10</f>
        <v>6.6215199398043642E-2</v>
      </c>
      <c r="AE56" s="147">
        <f>AE54/AE$10</f>
        <v>6.6228878033154484E-2</v>
      </c>
      <c r="AF56" s="147">
        <v>0.06</v>
      </c>
      <c r="AG56" s="147">
        <v>0.06</v>
      </c>
      <c r="AH56" s="147">
        <f>AH54/AH$10</f>
        <v>6.2909050854270732E-2</v>
      </c>
      <c r="AI56" s="149"/>
      <c r="AJ56" s="149"/>
    </row>
    <row r="57" spans="2:36" s="119" customFormat="1" x14ac:dyDescent="0.25">
      <c r="B57" s="134" t="s">
        <v>154</v>
      </c>
      <c r="I57" s="152">
        <f>'Raw Input'!I21</f>
        <v>736</v>
      </c>
      <c r="J57" s="152"/>
      <c r="K57" s="152"/>
      <c r="L57" s="152"/>
      <c r="M57" s="152"/>
      <c r="N57" s="152">
        <f>'Raw Input'!N21</f>
        <v>198</v>
      </c>
      <c r="O57" s="152">
        <f>'Raw Input'!O21</f>
        <v>71</v>
      </c>
      <c r="P57" s="152">
        <f>'Raw Input'!P21</f>
        <v>25</v>
      </c>
      <c r="Q57" s="152">
        <f>'Raw Input'!Q21</f>
        <v>26</v>
      </c>
      <c r="R57" s="152">
        <f>'Raw Input'!R21</f>
        <v>26</v>
      </c>
      <c r="S57" s="152">
        <f>'Raw Input'!S21</f>
        <v>148</v>
      </c>
      <c r="T57" s="152">
        <f>'Raw Input'!T21</f>
        <v>17</v>
      </c>
      <c r="U57" s="152">
        <f>'Raw Input'!U21</f>
        <v>18</v>
      </c>
      <c r="V57" s="152">
        <f>'Raw Input'!V21</f>
        <v>7</v>
      </c>
      <c r="W57" s="152">
        <f>'Raw Input'!W21</f>
        <v>15</v>
      </c>
      <c r="X57" s="152">
        <f>'Raw Input'!X21</f>
        <v>57</v>
      </c>
      <c r="Y57" s="152">
        <f>'Raw Input'!Y21</f>
        <v>10</v>
      </c>
      <c r="Z57" s="152">
        <f>'Raw Input'!Z21</f>
        <v>9</v>
      </c>
      <c r="AA57" s="152">
        <f>'Raw Input'!AA21</f>
        <v>212</v>
      </c>
      <c r="AB57" s="152">
        <f>'Raw Input'!AB21</f>
        <v>13</v>
      </c>
      <c r="AC57" s="152">
        <f>'Raw Input'!AC21</f>
        <v>244</v>
      </c>
      <c r="AD57" s="152">
        <f>'Raw Input'!AD21</f>
        <v>620</v>
      </c>
      <c r="AE57" s="152">
        <f>'Raw Input'!AE21</f>
        <v>292</v>
      </c>
      <c r="AF57" s="151">
        <f>AF59*AF$10</f>
        <v>269.55740000000003</v>
      </c>
      <c r="AG57" s="151">
        <f>AG59*AG$10</f>
        <v>287.322</v>
      </c>
      <c r="AH57" s="149">
        <f>SUM(AD57:AG57)</f>
        <v>1468.8794000000003</v>
      </c>
      <c r="AI57" s="151"/>
      <c r="AJ57" s="151"/>
    </row>
    <row r="58" spans="2:36" s="1" customFormat="1" x14ac:dyDescent="0.25">
      <c r="B58" s="111" t="s">
        <v>91</v>
      </c>
      <c r="C58" s="99"/>
      <c r="E58" s="100"/>
      <c r="F58" s="100"/>
      <c r="G58" s="100"/>
      <c r="H58" s="100"/>
      <c r="I58" s="150" t="s">
        <v>90</v>
      </c>
      <c r="J58" s="150"/>
      <c r="K58" s="150"/>
      <c r="L58" s="150"/>
      <c r="M58" s="150"/>
      <c r="N58" s="147">
        <f>N57/I57-1</f>
        <v>-0.73097826086956519</v>
      </c>
      <c r="O58" s="166"/>
      <c r="P58" s="166"/>
      <c r="Q58" s="166"/>
      <c r="R58" s="166"/>
      <c r="S58" s="147">
        <f>S57/N57-1</f>
        <v>-0.25252525252525249</v>
      </c>
      <c r="T58" s="147">
        <f>T57/O57-1</f>
        <v>-0.76056338028169013</v>
      </c>
      <c r="U58" s="147">
        <f t="shared" ref="U58" si="47">U57/P57-1</f>
        <v>-0.28000000000000003</v>
      </c>
      <c r="V58" s="147">
        <f>V57/Q57-1</f>
        <v>-0.73076923076923084</v>
      </c>
      <c r="W58" s="147">
        <f>W57/R57-1</f>
        <v>-0.42307692307692313</v>
      </c>
      <c r="X58" s="147">
        <f>X57/S57-1</f>
        <v>-0.61486486486486491</v>
      </c>
      <c r="Y58" s="147">
        <f>Y57/T57-1</f>
        <v>-0.41176470588235292</v>
      </c>
      <c r="Z58" s="147">
        <f t="shared" ref="Z58" si="48">Z57/U57-1</f>
        <v>-0.5</v>
      </c>
      <c r="AA58" s="147">
        <f>AA57/V57-1</f>
        <v>29.285714285714285</v>
      </c>
      <c r="AB58" s="147">
        <f>AB57/W57-1</f>
        <v>-0.1333333333333333</v>
      </c>
      <c r="AC58" s="147">
        <f>AC57/X57-1</f>
        <v>3.2807017543859649</v>
      </c>
      <c r="AD58" s="147">
        <f>AD57/Y57-1</f>
        <v>61</v>
      </c>
      <c r="AE58" s="147">
        <f>AE57/Z57-1</f>
        <v>31.444444444444443</v>
      </c>
      <c r="AF58" s="149"/>
      <c r="AG58" s="149"/>
      <c r="AH58" s="149"/>
      <c r="AI58" s="149"/>
      <c r="AJ58" s="149"/>
    </row>
    <row r="59" spans="2:36" s="1" customFormat="1" x14ac:dyDescent="0.25">
      <c r="B59" s="111" t="s">
        <v>93</v>
      </c>
      <c r="C59" s="118"/>
      <c r="D59" s="119"/>
      <c r="E59" s="120"/>
      <c r="F59" s="120"/>
      <c r="G59" s="120"/>
      <c r="H59" s="120"/>
      <c r="I59" s="147">
        <f>I57/I$10</f>
        <v>3.2570695225029873E-2</v>
      </c>
      <c r="J59" s="147"/>
      <c r="K59" s="147"/>
      <c r="L59" s="147"/>
      <c r="M59" s="147"/>
      <c r="N59" s="147">
        <f>N57/N$10</f>
        <v>8.2886805090421969E-3</v>
      </c>
      <c r="O59" s="147">
        <f t="shared" ref="O59:X59" si="49">O57/O$10</f>
        <v>1.0668670172802404E-2</v>
      </c>
      <c r="P59" s="147">
        <f t="shared" si="49"/>
        <v>3.7821482602118004E-3</v>
      </c>
      <c r="Q59" s="147">
        <f t="shared" si="49"/>
        <v>3.8359398052522867E-3</v>
      </c>
      <c r="R59" s="147">
        <f t="shared" si="49"/>
        <v>3.5101930606183341E-3</v>
      </c>
      <c r="S59" s="147">
        <f t="shared" si="49"/>
        <v>5.3916211293260474E-3</v>
      </c>
      <c r="T59" s="147">
        <f t="shared" si="49"/>
        <v>2.2060731897222941E-3</v>
      </c>
      <c r="U59" s="147">
        <f t="shared" si="49"/>
        <v>2.2213994816734544E-3</v>
      </c>
      <c r="V59" s="147">
        <f t="shared" si="49"/>
        <v>8.270321361058601E-4</v>
      </c>
      <c r="W59" s="147">
        <f t="shared" si="49"/>
        <v>1.6797312430011197E-3</v>
      </c>
      <c r="X59" s="147">
        <f t="shared" si="49"/>
        <v>1.7167123452700057E-3</v>
      </c>
      <c r="Y59" s="147">
        <f>Y57/Y$10</f>
        <v>1.1217049915872126E-3</v>
      </c>
      <c r="Z59" s="147">
        <f t="shared" ref="Z59:AB59" si="50">Z57/Z$10</f>
        <v>1.0305736860185502E-3</v>
      </c>
      <c r="AA59" s="147">
        <f t="shared" si="50"/>
        <v>2.3884632717440287E-2</v>
      </c>
      <c r="AB59" s="147">
        <f t="shared" si="50"/>
        <v>1.3986013986013986E-3</v>
      </c>
      <c r="AC59" s="147">
        <f>AC57/AC$10</f>
        <v>6.8120271364359693E-3</v>
      </c>
      <c r="AD59" s="147">
        <f>AD57/AD$10</f>
        <v>5.1835130841902853E-2</v>
      </c>
      <c r="AE59" s="147">
        <f>AE57/AE$10</f>
        <v>2.3384319692480178E-2</v>
      </c>
      <c r="AF59" s="147">
        <v>0.02</v>
      </c>
      <c r="AG59" s="147">
        <v>0.02</v>
      </c>
      <c r="AH59" s="147">
        <f>AH57/AH$10</f>
        <v>2.8089961039907279E-2</v>
      </c>
      <c r="AI59" s="151"/>
      <c r="AJ59" s="151"/>
    </row>
    <row r="60" spans="2:36" s="1" customFormat="1" x14ac:dyDescent="0.25">
      <c r="B60" s="1" t="s">
        <v>200</v>
      </c>
      <c r="C60" s="118"/>
      <c r="D60" s="119"/>
      <c r="E60" s="120"/>
      <c r="F60" s="120"/>
      <c r="G60" s="120"/>
      <c r="H60" s="120"/>
      <c r="I60" s="159">
        <f>'Raw Input'!I22</f>
        <v>9039</v>
      </c>
      <c r="J60" s="159"/>
      <c r="K60" s="159"/>
      <c r="L60" s="159"/>
      <c r="M60" s="159"/>
      <c r="N60" s="159">
        <f>'Raw Input'!N22</f>
        <v>9502</v>
      </c>
      <c r="O60" s="159">
        <f>'Raw Input'!O22</f>
        <v>2115</v>
      </c>
      <c r="P60" s="159">
        <f>'Raw Input'!P22</f>
        <v>2082</v>
      </c>
      <c r="Q60" s="159">
        <f>'Raw Input'!Q22</f>
        <v>2071</v>
      </c>
      <c r="R60" s="159">
        <f>'Raw Input'!R22</f>
        <v>2057</v>
      </c>
      <c r="S60" s="159">
        <f>'Raw Input'!S22</f>
        <v>8325</v>
      </c>
      <c r="T60" s="159">
        <f>'Raw Input'!T22</f>
        <v>1941</v>
      </c>
      <c r="U60" s="159">
        <f>'Raw Input'!U22</f>
        <v>2045</v>
      </c>
      <c r="V60" s="159">
        <f>'Raw Input'!V22</f>
        <v>1944</v>
      </c>
      <c r="W60" s="159">
        <f>'Raw Input'!W22</f>
        <v>1940</v>
      </c>
      <c r="X60" s="159">
        <f>'Raw Input'!X22</f>
        <v>7870</v>
      </c>
      <c r="Y60" s="159">
        <f>'Raw Input'!Y22</f>
        <v>1901</v>
      </c>
      <c r="Z60" s="159">
        <f>'Raw Input'!Z22</f>
        <v>2107</v>
      </c>
      <c r="AA60" s="159">
        <f>'Raw Input'!AA22</f>
        <v>2308</v>
      </c>
      <c r="AB60" s="159">
        <f>'Raw Input'!AB22</f>
        <v>2167</v>
      </c>
      <c r="AC60" s="159">
        <f>'Raw Input'!AC22</f>
        <v>8483</v>
      </c>
      <c r="AD60" s="159">
        <f>'Raw Input'!AD22</f>
        <v>5292</v>
      </c>
      <c r="AE60" s="159">
        <f>'Raw Input'!AE22</f>
        <v>4811</v>
      </c>
      <c r="AF60" s="164">
        <f>AF57+AF54+AF51+AF48</f>
        <v>4986.8119000000006</v>
      </c>
      <c r="AG60" s="164">
        <f>AG57+AG54+AG51+AG48</f>
        <v>5315.4570000000003</v>
      </c>
      <c r="AH60" s="161">
        <f>SUM(AD60:AG60)</f>
        <v>20405.268900000003</v>
      </c>
      <c r="AI60" s="164"/>
      <c r="AJ60" s="164"/>
    </row>
    <row r="61" spans="2:36" s="1" customFormat="1" x14ac:dyDescent="0.25">
      <c r="B61" s="111" t="s">
        <v>91</v>
      </c>
      <c r="I61" s="150" t="s">
        <v>90</v>
      </c>
      <c r="J61" s="150"/>
      <c r="K61" s="150"/>
      <c r="L61" s="150"/>
      <c r="M61" s="150"/>
      <c r="N61" s="147">
        <f>N60/I60-1</f>
        <v>5.1222480362872025E-2</v>
      </c>
      <c r="O61" s="166"/>
      <c r="P61" s="166"/>
      <c r="Q61" s="166"/>
      <c r="R61" s="166"/>
      <c r="S61" s="147">
        <f>S60/N60-1</f>
        <v>-0.12386865922963586</v>
      </c>
      <c r="T61" s="147">
        <f>T60/O60-1</f>
        <v>-8.2269503546099298E-2</v>
      </c>
      <c r="U61" s="147">
        <f t="shared" ref="U61" si="51">U60/P60-1</f>
        <v>-1.7771373679154712E-2</v>
      </c>
      <c r="V61" s="147">
        <f>V60/Q60-1</f>
        <v>-6.1323032351521034E-2</v>
      </c>
      <c r="W61" s="147">
        <f>W60/R60-1</f>
        <v>-5.6878949927078315E-2</v>
      </c>
      <c r="X61" s="147">
        <f>X60/S60-1</f>
        <v>-5.4654654654654689E-2</v>
      </c>
      <c r="Y61" s="147">
        <f>Y60/T60-1</f>
        <v>-2.0607934054611032E-2</v>
      </c>
      <c r="Z61" s="147">
        <f t="shared" ref="Z61" si="52">Z60/U60-1</f>
        <v>3.0317848410758019E-2</v>
      </c>
      <c r="AA61" s="147">
        <f>AA60/V60-1</f>
        <v>0.18724279835390956</v>
      </c>
      <c r="AB61" s="147">
        <f>AB60/W60-1</f>
        <v>0.11701030927835054</v>
      </c>
      <c r="AC61" s="147">
        <f>AC60/X60-1</f>
        <v>7.7890724269377376E-2</v>
      </c>
      <c r="AD61" s="147">
        <f>AD60/Y60-1</f>
        <v>1.783798001052078</v>
      </c>
      <c r="AE61" s="147">
        <f>AE60/Z60-1</f>
        <v>1.2833412434741338</v>
      </c>
      <c r="AF61" s="149"/>
      <c r="AG61" s="149"/>
      <c r="AH61" s="149"/>
      <c r="AI61" s="151"/>
      <c r="AJ61" s="151"/>
    </row>
    <row r="62" spans="2:36" s="1" customFormat="1" x14ac:dyDescent="0.25">
      <c r="B62" s="111" t="s">
        <v>93</v>
      </c>
      <c r="C62" s="99"/>
      <c r="E62" s="100"/>
      <c r="F62" s="100"/>
      <c r="G62" s="100"/>
      <c r="H62" s="100"/>
      <c r="I62" s="147">
        <f>I60/I$10</f>
        <v>0.40000885073239811</v>
      </c>
      <c r="J62" s="147"/>
      <c r="K62" s="147"/>
      <c r="L62" s="147"/>
      <c r="M62" s="147"/>
      <c r="N62" s="147">
        <f>N60/N$10</f>
        <v>0.39777294038847955</v>
      </c>
      <c r="O62" s="147">
        <f t="shared" ref="O62:X62" si="53">O60/O$10</f>
        <v>0.31780616078136742</v>
      </c>
      <c r="P62" s="147">
        <f t="shared" si="53"/>
        <v>0.31497730711043875</v>
      </c>
      <c r="Q62" s="147">
        <f t="shared" si="53"/>
        <v>0.30554735910298025</v>
      </c>
      <c r="R62" s="147">
        <f t="shared" si="53"/>
        <v>0.27771027406507359</v>
      </c>
      <c r="S62" s="147">
        <f t="shared" si="53"/>
        <v>0.30327868852459017</v>
      </c>
      <c r="T62" s="147">
        <f t="shared" si="53"/>
        <v>0.25188165066182194</v>
      </c>
      <c r="U62" s="147">
        <f t="shared" si="53"/>
        <v>0.25237566333456746</v>
      </c>
      <c r="V62" s="147">
        <f t="shared" si="53"/>
        <v>0.22967863894139887</v>
      </c>
      <c r="W62" s="147">
        <f t="shared" si="53"/>
        <v>0.21724524076147816</v>
      </c>
      <c r="X62" s="147">
        <f t="shared" si="53"/>
        <v>0.23702677468903413</v>
      </c>
      <c r="Y62" s="147">
        <f>Y60/Y$10</f>
        <v>0.2132361189007291</v>
      </c>
      <c r="Z62" s="147">
        <f t="shared" ref="Z62:AB62" si="54">Z60/Z$10</f>
        <v>0.24126875071567616</v>
      </c>
      <c r="AA62" s="147">
        <f t="shared" si="54"/>
        <v>0.26002703920684994</v>
      </c>
      <c r="AB62" s="147">
        <f t="shared" si="54"/>
        <v>0.2331360946745562</v>
      </c>
      <c r="AC62" s="147">
        <f t="shared" ref="AC62:AH62" si="55">AC60/AC$10</f>
        <v>0.23682961556715709</v>
      </c>
      <c r="AD62" s="147">
        <f t="shared" si="55"/>
        <v>0.44243792325056436</v>
      </c>
      <c r="AE62" s="147">
        <f t="shared" si="55"/>
        <v>0.38528069191959641</v>
      </c>
      <c r="AF62" s="147">
        <f t="shared" si="55"/>
        <v>0.37</v>
      </c>
      <c r="AG62" s="147">
        <f t="shared" si="55"/>
        <v>0.37</v>
      </c>
      <c r="AH62" s="147">
        <f t="shared" si="55"/>
        <v>0.39021801817755197</v>
      </c>
      <c r="AI62" s="149"/>
      <c r="AJ62" s="149"/>
    </row>
    <row r="63" spans="2:36" s="1" customFormat="1" x14ac:dyDescent="0.25">
      <c r="B63" s="112" t="s">
        <v>81</v>
      </c>
      <c r="C63" s="144"/>
      <c r="D63" s="145"/>
      <c r="E63" s="146"/>
      <c r="F63" s="146"/>
      <c r="G63" s="146"/>
      <c r="H63" s="146"/>
      <c r="I63" s="162">
        <f>'Raw Input'!I23</f>
        <v>3444</v>
      </c>
      <c r="J63" s="162"/>
      <c r="K63" s="162"/>
      <c r="L63" s="162"/>
      <c r="M63" s="162"/>
      <c r="N63" s="162">
        <f>'Raw Input'!N23</f>
        <v>4014</v>
      </c>
      <c r="O63" s="162">
        <f>'Raw Input'!O23</f>
        <v>1837</v>
      </c>
      <c r="P63" s="162">
        <f>'Raw Input'!P23</f>
        <v>1975</v>
      </c>
      <c r="Q63" s="162">
        <f>'Raw Input'!Q23</f>
        <v>2126</v>
      </c>
      <c r="R63" s="162">
        <f>'Raw Input'!R23</f>
        <v>2581</v>
      </c>
      <c r="S63" s="162">
        <f>'Raw Input'!S23</f>
        <v>8519</v>
      </c>
      <c r="T63" s="162">
        <f>'Raw Input'!T23</f>
        <v>3108</v>
      </c>
      <c r="U63" s="162">
        <f>'Raw Input'!U23</f>
        <v>3394</v>
      </c>
      <c r="V63" s="162">
        <f>'Raw Input'!V23</f>
        <v>3737</v>
      </c>
      <c r="W63" s="162">
        <f>'Raw Input'!W23</f>
        <v>3986</v>
      </c>
      <c r="X63" s="162">
        <f>'Raw Input'!X23</f>
        <v>14225</v>
      </c>
      <c r="Y63" s="162">
        <f>'Raw Input'!Y23</f>
        <v>4103</v>
      </c>
      <c r="Z63" s="162">
        <f>'Raw Input'!Z23</f>
        <v>4008</v>
      </c>
      <c r="AA63" s="162">
        <f>'Raw Input'!AA23</f>
        <v>3856</v>
      </c>
      <c r="AB63" s="162">
        <f>'Raw Input'!AB23</f>
        <v>4240</v>
      </c>
      <c r="AC63" s="162">
        <f>'Raw Input'!AC23</f>
        <v>16207</v>
      </c>
      <c r="AD63" s="162">
        <f>'Raw Input'!AD23</f>
        <v>2083</v>
      </c>
      <c r="AE63" s="162">
        <f>'Raw Input'!AE23</f>
        <v>2965</v>
      </c>
      <c r="AF63" s="163">
        <f>AF43-AF60</f>
        <v>3371.1659799999998</v>
      </c>
      <c r="AG63" s="163">
        <f>AG43-AG60</f>
        <v>3627.5722999999998</v>
      </c>
      <c r="AH63" s="163">
        <f>AH43-AH60</f>
        <v>12046.738279999998</v>
      </c>
      <c r="AI63" s="163"/>
      <c r="AJ63" s="163"/>
    </row>
    <row r="64" spans="2:36" s="1" customFormat="1" x14ac:dyDescent="0.25">
      <c r="B64" s="111" t="s">
        <v>91</v>
      </c>
      <c r="C64" s="118"/>
      <c r="D64" s="119"/>
      <c r="E64" s="120"/>
      <c r="F64" s="120"/>
      <c r="G64" s="120"/>
      <c r="H64" s="120"/>
      <c r="I64" s="150" t="s">
        <v>90</v>
      </c>
      <c r="J64" s="150"/>
      <c r="K64" s="150"/>
      <c r="L64" s="150"/>
      <c r="M64" s="150"/>
      <c r="N64" s="147">
        <f>N63/I63-1</f>
        <v>0.16550522648083632</v>
      </c>
      <c r="O64" s="166"/>
      <c r="P64" s="166"/>
      <c r="Q64" s="166"/>
      <c r="R64" s="166"/>
      <c r="S64" s="147">
        <f>S63/N63-1</f>
        <v>1.1223218734429499</v>
      </c>
      <c r="T64" s="147">
        <f>T63/O63-1</f>
        <v>0.69188894937397927</v>
      </c>
      <c r="U64" s="147">
        <f t="shared" ref="U64" si="56">U63/P63-1</f>
        <v>0.71848101265822795</v>
      </c>
      <c r="V64" s="147">
        <f>V63/Q63-1</f>
        <v>0.75776105362182511</v>
      </c>
      <c r="W64" s="147">
        <f>W63/R63-1</f>
        <v>0.54436265013560625</v>
      </c>
      <c r="X64" s="147">
        <f>X63/S63-1</f>
        <v>0.66979692452165751</v>
      </c>
      <c r="Y64" s="147">
        <f>Y63/T63-1</f>
        <v>0.32014157014157019</v>
      </c>
      <c r="Z64" s="147">
        <f t="shared" ref="Z64" si="57">Z63/U63-1</f>
        <v>0.18090748379493227</v>
      </c>
      <c r="AA64" s="147">
        <f t="shared" ref="AA64:AH64" si="58">AA63/V63-1</f>
        <v>3.184372491303189E-2</v>
      </c>
      <c r="AB64" s="147">
        <f t="shared" si="58"/>
        <v>6.3723030607125031E-2</v>
      </c>
      <c r="AC64" s="147">
        <f t="shared" si="58"/>
        <v>0.13933216168717055</v>
      </c>
      <c r="AD64" s="147">
        <f t="shared" si="58"/>
        <v>-0.49232269071411161</v>
      </c>
      <c r="AE64" s="147">
        <f t="shared" si="58"/>
        <v>-0.26022954091816364</v>
      </c>
      <c r="AF64" s="147">
        <f t="shared" si="58"/>
        <v>-0.12573496369294612</v>
      </c>
      <c r="AG64" s="147">
        <f t="shared" si="58"/>
        <v>-0.14444049528301894</v>
      </c>
      <c r="AH64" s="147">
        <f t="shared" si="58"/>
        <v>-0.25669536126365167</v>
      </c>
      <c r="AI64" s="151"/>
      <c r="AJ64" s="151"/>
    </row>
    <row r="65" spans="1:36" s="174" customFormat="1" x14ac:dyDescent="0.25">
      <c r="B65" s="116" t="s">
        <v>97</v>
      </c>
      <c r="C65" s="173"/>
      <c r="E65" s="175"/>
      <c r="F65" s="175"/>
      <c r="G65" s="175"/>
      <c r="H65" s="175"/>
      <c r="I65" s="171">
        <f>I63/I$10</f>
        <v>0.15240961189538435</v>
      </c>
      <c r="J65" s="171"/>
      <c r="K65" s="171"/>
      <c r="L65" s="171"/>
      <c r="M65" s="171"/>
      <c r="N65" s="171">
        <f>N63/N$10</f>
        <v>0.16803415941058272</v>
      </c>
      <c r="O65" s="171">
        <f t="shared" ref="O65:X65" si="59">O63/O$10</f>
        <v>0.27603305785123966</v>
      </c>
      <c r="P65" s="171">
        <f t="shared" si="59"/>
        <v>0.2987897125567322</v>
      </c>
      <c r="Q65" s="171">
        <f t="shared" si="59"/>
        <v>0.31366184715255235</v>
      </c>
      <c r="R65" s="171">
        <f t="shared" si="59"/>
        <v>0.34845416497907383</v>
      </c>
      <c r="S65" s="171">
        <f t="shared" si="59"/>
        <v>0.31034608378870676</v>
      </c>
      <c r="T65" s="171">
        <f t="shared" si="59"/>
        <v>0.40332208668569947</v>
      </c>
      <c r="U65" s="171">
        <f t="shared" si="59"/>
        <v>0.41885721337776133</v>
      </c>
      <c r="V65" s="171">
        <f t="shared" si="59"/>
        <v>0.44151701323251419</v>
      </c>
      <c r="W65" s="171">
        <f>W63/W$10</f>
        <v>0.4463605823068309</v>
      </c>
      <c r="X65" s="171">
        <f t="shared" si="59"/>
        <v>0.42842514230641809</v>
      </c>
      <c r="Y65" s="171">
        <f>Y63/Y$10</f>
        <v>0.4602355580482333</v>
      </c>
      <c r="Z65" s="171">
        <f t="shared" ref="Z65:AB65" si="60">Z63/Z$10</f>
        <v>0.45894881484026107</v>
      </c>
      <c r="AA65" s="171">
        <f t="shared" si="60"/>
        <v>0.43442992338891395</v>
      </c>
      <c r="AB65" s="171">
        <f t="shared" si="60"/>
        <v>0.45615922538999459</v>
      </c>
      <c r="AC65" s="171">
        <f>AC63/AC$10</f>
        <v>0.45246935983695802</v>
      </c>
      <c r="AD65" s="171">
        <f>AD63/AD$10</f>
        <v>0.17414931861884458</v>
      </c>
      <c r="AE65" s="171">
        <f>AE63/AE$10</f>
        <v>0.23744694482261552</v>
      </c>
      <c r="AF65" s="171">
        <f t="shared" ref="AF65:AG65" si="61">AF63/AF$10</f>
        <v>0.25012601991264194</v>
      </c>
      <c r="AG65" s="171">
        <f t="shared" si="61"/>
        <v>0.2525091917778659</v>
      </c>
      <c r="AH65" s="171">
        <f>AH63/AH$10</f>
        <v>0.23037453513417064</v>
      </c>
      <c r="AI65" s="172"/>
      <c r="AJ65" s="172"/>
    </row>
    <row r="67" spans="1:36" x14ac:dyDescent="0.25">
      <c r="B67" s="1" t="s">
        <v>164</v>
      </c>
      <c r="C67" s="88"/>
      <c r="E67" s="89"/>
      <c r="F67" s="89"/>
      <c r="G67" s="89"/>
      <c r="H67" s="89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>
        <v>1704</v>
      </c>
      <c r="T67" s="152">
        <v>387</v>
      </c>
      <c r="U67" s="152">
        <f>773-T67</f>
        <v>386</v>
      </c>
      <c r="V67" s="152">
        <f>1146-U67-T67</f>
        <v>373</v>
      </c>
      <c r="W67" s="152">
        <f>X67-V67-U67-T67</f>
        <v>387</v>
      </c>
      <c r="X67" s="152">
        <v>1533</v>
      </c>
      <c r="Y67" s="152">
        <v>391</v>
      </c>
      <c r="Z67" s="152">
        <f>904-Y67</f>
        <v>513</v>
      </c>
      <c r="AA67" s="152">
        <f>1533-Z67-Y67</f>
        <v>629</v>
      </c>
      <c r="AB67" s="152">
        <f>AC67-AA67-Z67-Y67</f>
        <v>594</v>
      </c>
      <c r="AC67" s="152">
        <v>2127</v>
      </c>
      <c r="AD67" s="152">
        <v>1582</v>
      </c>
      <c r="AE67" s="152">
        <f>3039-AD67</f>
        <v>1457</v>
      </c>
      <c r="AF67" s="151">
        <v>1500</v>
      </c>
      <c r="AG67" s="151">
        <v>1500</v>
      </c>
      <c r="AH67" s="154">
        <f>SUM(AD67:AG67)</f>
        <v>6039</v>
      </c>
      <c r="AI67" s="154">
        <f>AI69*AI10</f>
        <v>7312.9782960000011</v>
      </c>
      <c r="AJ67" s="154">
        <f>AJ69*AJ10</f>
        <v>8286.197771520001</v>
      </c>
    </row>
    <row r="68" spans="1:36" x14ac:dyDescent="0.25">
      <c r="B68" s="111" t="s">
        <v>91</v>
      </c>
      <c r="C68" s="88"/>
      <c r="E68" s="89"/>
      <c r="F68" s="89"/>
      <c r="G68" s="89"/>
      <c r="H68" s="89"/>
      <c r="I68" s="150" t="s">
        <v>90</v>
      </c>
      <c r="J68" s="150"/>
      <c r="K68" s="150"/>
      <c r="L68" s="150"/>
      <c r="M68" s="150"/>
      <c r="N68" s="147" t="e">
        <f>N67/I67-1</f>
        <v>#DIV/0!</v>
      </c>
      <c r="O68" s="166"/>
      <c r="P68" s="166"/>
      <c r="Q68" s="166"/>
      <c r="R68" s="166"/>
      <c r="S68" s="147" t="e">
        <f>S67/N67-1</f>
        <v>#DIV/0!</v>
      </c>
      <c r="T68" s="147" t="e">
        <f>T67/O67-1</f>
        <v>#DIV/0!</v>
      </c>
      <c r="U68" s="147" t="e">
        <f t="shared" ref="U68" si="62">U67/P67-1</f>
        <v>#DIV/0!</v>
      </c>
      <c r="V68" s="147" t="e">
        <f>V67/Q67-1</f>
        <v>#DIV/0!</v>
      </c>
      <c r="W68" s="147" t="e">
        <f>W67/R67-1</f>
        <v>#DIV/0!</v>
      </c>
      <c r="X68" s="147">
        <f>X67/S67-1</f>
        <v>-0.10035211267605637</v>
      </c>
      <c r="Y68" s="147">
        <f>Y67/T67-1</f>
        <v>1.0335917312661591E-2</v>
      </c>
      <c r="Z68" s="147">
        <f t="shared" ref="Z68" si="63">Z67/U67-1</f>
        <v>0.32901554404145084</v>
      </c>
      <c r="AA68" s="147">
        <f>AA67/V67-1</f>
        <v>0.68632707774798929</v>
      </c>
      <c r="AB68" s="147">
        <f>AB67/W67-1</f>
        <v>0.53488372093023262</v>
      </c>
      <c r="AC68" s="147">
        <f>AC67/X67-1</f>
        <v>0.38747553816046976</v>
      </c>
      <c r="AD68" s="147">
        <f>AD67/Y67-1</f>
        <v>3.0460358056265981</v>
      </c>
      <c r="AE68" s="147">
        <f>AE67/Z67-1</f>
        <v>1.8401559454191032</v>
      </c>
      <c r="AF68" s="149"/>
      <c r="AG68" s="149"/>
      <c r="AH68" s="147">
        <f>AH67/AC67-1</f>
        <v>1.8392101551480957</v>
      </c>
      <c r="AI68" s="147">
        <f>AI67/AH67-1</f>
        <v>0.21095848584202703</v>
      </c>
      <c r="AJ68" s="154"/>
    </row>
    <row r="69" spans="1:36" x14ac:dyDescent="0.25">
      <c r="B69" s="111" t="s">
        <v>93</v>
      </c>
      <c r="C69" s="88"/>
      <c r="E69" s="89"/>
      <c r="F69" s="89"/>
      <c r="G69" s="89"/>
      <c r="H69" s="89"/>
      <c r="I69" s="147">
        <f>I67/I$10</f>
        <v>0</v>
      </c>
      <c r="J69" s="147"/>
      <c r="K69" s="147"/>
      <c r="L69" s="147"/>
      <c r="M69" s="147"/>
      <c r="N69" s="147">
        <f>N67/N$10</f>
        <v>0</v>
      </c>
      <c r="O69" s="147">
        <f t="shared" ref="O69:W69" si="64">O67/O$10</f>
        <v>0</v>
      </c>
      <c r="P69" s="147">
        <f t="shared" si="64"/>
        <v>0</v>
      </c>
      <c r="Q69" s="147">
        <f t="shared" si="64"/>
        <v>0</v>
      </c>
      <c r="R69" s="147">
        <f t="shared" si="64"/>
        <v>0</v>
      </c>
      <c r="S69" s="147">
        <f t="shared" si="64"/>
        <v>6.2076502732240441E-2</v>
      </c>
      <c r="T69" s="147">
        <f t="shared" si="64"/>
        <v>5.0220607318972231E-2</v>
      </c>
      <c r="U69" s="147">
        <f t="shared" si="64"/>
        <v>4.7636677773664073E-2</v>
      </c>
      <c r="V69" s="147">
        <f t="shared" si="64"/>
        <v>4.4068998109640829E-2</v>
      </c>
      <c r="W69" s="147">
        <f t="shared" si="64"/>
        <v>4.3337066069428894E-2</v>
      </c>
      <c r="X69" s="147">
        <f>X67/X$10</f>
        <v>4.6170526759630154E-2</v>
      </c>
      <c r="Y69" s="147">
        <f>Y67/Y$10</f>
        <v>4.3858665171060011E-2</v>
      </c>
      <c r="Z69" s="147">
        <f t="shared" ref="Z69:AB69" si="65">Z67/Z$10</f>
        <v>5.874270010305737E-2</v>
      </c>
      <c r="AA69" s="147">
        <f t="shared" si="65"/>
        <v>7.0865254619197834E-2</v>
      </c>
      <c r="AB69" s="147">
        <f t="shared" si="65"/>
        <v>6.3905325443786978E-2</v>
      </c>
      <c r="AC69" s="147">
        <f>AC67/AC$10</f>
        <v>5.9381892291800444E-2</v>
      </c>
      <c r="AD69" s="147">
        <f>AD67/AD$10</f>
        <v>0.13226318869659728</v>
      </c>
      <c r="AE69" s="147">
        <f>AE67/AE$10</f>
        <v>0.11668134860254664</v>
      </c>
      <c r="AF69" s="147">
        <v>0.19</v>
      </c>
      <c r="AG69" s="147">
        <v>0.19</v>
      </c>
      <c r="AH69" s="147">
        <f>AH67/AH$10</f>
        <v>0.11548618267776103</v>
      </c>
      <c r="AI69" s="147">
        <v>0.12</v>
      </c>
      <c r="AJ69" s="147">
        <v>0.12</v>
      </c>
    </row>
    <row r="70" spans="1:36" s="1" customFormat="1" x14ac:dyDescent="0.25">
      <c r="A70" s="1" t="s">
        <v>217</v>
      </c>
      <c r="B70" s="122"/>
      <c r="C70" s="99"/>
      <c r="E70" s="100"/>
      <c r="F70" s="100"/>
      <c r="G70" s="100"/>
      <c r="H70" s="100"/>
      <c r="I70" s="159"/>
      <c r="J70" s="159">
        <f>J63+J57+J54+J37+J34</f>
        <v>0</v>
      </c>
      <c r="K70" s="159">
        <f>K63+K57+K54+K37+K34</f>
        <v>0</v>
      </c>
      <c r="L70" s="159">
        <f>L63+L57+L54+L37+L34</f>
        <v>0</v>
      </c>
      <c r="M70" s="159">
        <f>M63+M57+M54+M37+M34</f>
        <v>0</v>
      </c>
      <c r="N70" s="159"/>
      <c r="O70" s="159"/>
      <c r="P70" s="159"/>
      <c r="Q70" s="159"/>
      <c r="R70" s="159"/>
      <c r="S70" s="159">
        <f t="shared" ref="S70:AH70" si="66">S63+S57+S54+S37+S34+S67</f>
        <v>15791</v>
      </c>
      <c r="T70" s="159">
        <f t="shared" si="66"/>
        <v>4641</v>
      </c>
      <c r="U70" s="159">
        <f t="shared" si="66"/>
        <v>4904</v>
      </c>
      <c r="V70" s="159">
        <f t="shared" si="66"/>
        <v>5182</v>
      </c>
      <c r="W70" s="159">
        <f t="shared" si="66"/>
        <v>5452</v>
      </c>
      <c r="X70" s="159">
        <f t="shared" si="66"/>
        <v>20179</v>
      </c>
      <c r="Y70" s="159">
        <f t="shared" si="66"/>
        <v>5389</v>
      </c>
      <c r="Z70" s="159">
        <f t="shared" si="66"/>
        <v>5319</v>
      </c>
      <c r="AA70" s="159">
        <f t="shared" si="66"/>
        <v>5487</v>
      </c>
      <c r="AB70" s="159">
        <f t="shared" si="66"/>
        <v>5634</v>
      </c>
      <c r="AC70" s="159">
        <f t="shared" si="66"/>
        <v>21829</v>
      </c>
      <c r="AD70" s="159">
        <f t="shared" si="66"/>
        <v>6549</v>
      </c>
      <c r="AE70" s="159">
        <f t="shared" si="66"/>
        <v>7110</v>
      </c>
      <c r="AF70" s="159">
        <f t="shared" si="66"/>
        <v>7430.2628000000004</v>
      </c>
      <c r="AG70" s="159">
        <f t="shared" si="66"/>
        <v>7677.4230000000007</v>
      </c>
      <c r="AH70" s="159">
        <f t="shared" si="66"/>
        <v>28766.685799999996</v>
      </c>
      <c r="AI70" s="181">
        <f>AI10-AI28-AI31-AI48-AI51+AI67</f>
        <v>32908.402332000012</v>
      </c>
      <c r="AJ70" s="181">
        <f>AJ10-AJ28-AJ31-AJ48-AJ51+AJ67</f>
        <v>37287.889971840006</v>
      </c>
    </row>
    <row r="71" spans="1:36" x14ac:dyDescent="0.25">
      <c r="B71" s="122"/>
      <c r="C71" s="88"/>
      <c r="E71" s="89"/>
      <c r="F71" s="89"/>
      <c r="G71" s="89"/>
      <c r="H71" s="89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47">
        <f>X70/S70-1</f>
        <v>0.277879804952188</v>
      </c>
      <c r="Y71" s="147">
        <f>Y70/T70-1</f>
        <v>0.16117216117216127</v>
      </c>
      <c r="Z71" s="147">
        <f t="shared" ref="Z71" si="67">Z70/U70-1</f>
        <v>8.4624796084828757E-2</v>
      </c>
      <c r="AA71" s="147">
        <f t="shared" ref="AA71" si="68">AA70/V70-1</f>
        <v>5.8857583944422975E-2</v>
      </c>
      <c r="AB71" s="147">
        <f t="shared" ref="AB71" si="69">AB70/W70-1</f>
        <v>3.338224504768883E-2</v>
      </c>
      <c r="AC71" s="147">
        <f t="shared" ref="AC71" si="70">AC70/X70-1</f>
        <v>8.1768174835224805E-2</v>
      </c>
      <c r="AD71" s="147">
        <f t="shared" ref="AD71" si="71">AD70/Y70-1</f>
        <v>0.21525329374652058</v>
      </c>
      <c r="AE71" s="147">
        <f t="shared" ref="AE71" si="72">AE70/Z70-1</f>
        <v>0.33671742808798655</v>
      </c>
      <c r="AF71" s="147">
        <f t="shared" ref="AF71" si="73">AF70/AA70-1</f>
        <v>0.35415760889374903</v>
      </c>
      <c r="AG71" s="147">
        <f t="shared" ref="AG71" si="74">AG70/AB70-1</f>
        <v>0.36269488817891382</v>
      </c>
      <c r="AH71" s="147">
        <f t="shared" ref="AH71" si="75">AH70/AC70-1</f>
        <v>0.31781968024187979</v>
      </c>
      <c r="AI71" s="147">
        <f>AI70/AH70-1</f>
        <v>0.14397614521169544</v>
      </c>
      <c r="AJ71" s="147">
        <f>AJ70/AI70-1</f>
        <v>0.13308113823506384</v>
      </c>
    </row>
    <row r="72" spans="1:36" x14ac:dyDescent="0.25">
      <c r="B72" s="117"/>
      <c r="C72" s="88"/>
      <c r="E72" s="89"/>
      <c r="F72" s="89"/>
      <c r="G72" s="89"/>
      <c r="H72" s="8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71">
        <f t="shared" ref="S72:X72" si="76">S70/S$10</f>
        <v>0.57526411657559196</v>
      </c>
      <c r="T72" s="171">
        <f t="shared" si="76"/>
        <v>0.60225798079418635</v>
      </c>
      <c r="U72" s="171">
        <f t="shared" si="76"/>
        <v>0.60520794767370112</v>
      </c>
      <c r="V72" s="171">
        <f t="shared" si="76"/>
        <v>0.61224007561436677</v>
      </c>
      <c r="W72" s="171">
        <f>W70/W$10</f>
        <v>0.61052631578947369</v>
      </c>
      <c r="X72" s="171">
        <f t="shared" si="76"/>
        <v>0.60774628798602537</v>
      </c>
      <c r="Y72" s="171">
        <f>Y70/Y$10</f>
        <v>0.6044868199663489</v>
      </c>
      <c r="Z72" s="171">
        <f t="shared" ref="Z72:AB72" si="77">Z70/Z$10</f>
        <v>0.60906904843696319</v>
      </c>
      <c r="AA72" s="171">
        <f t="shared" si="77"/>
        <v>0.61818386660657954</v>
      </c>
      <c r="AB72" s="171">
        <f t="shared" si="77"/>
        <v>0.60613232920925231</v>
      </c>
      <c r="AC72" s="171">
        <f>AC70/AC$10</f>
        <v>0.60942516541500324</v>
      </c>
      <c r="AD72" s="171">
        <f>AD70/AD$10</f>
        <v>0.54752947078003511</v>
      </c>
      <c r="AE72" s="171">
        <f>AE70/AE$10</f>
        <v>0.5693921678545687</v>
      </c>
      <c r="AF72" s="171">
        <f t="shared" ref="AF72:AG72" si="78">AF70/AF$10</f>
        <v>0.55129355009359793</v>
      </c>
      <c r="AG72" s="171">
        <f t="shared" si="78"/>
        <v>0.53441247102553935</v>
      </c>
      <c r="AH72" s="171">
        <f>AH70/AH$10</f>
        <v>0.55011669669358398</v>
      </c>
      <c r="AI72" s="171">
        <f>AI70/AI$10</f>
        <v>0.54000000000000015</v>
      </c>
      <c r="AJ72" s="171">
        <f>AJ70/AJ$10</f>
        <v>0.54</v>
      </c>
    </row>
    <row r="73" spans="1:36" x14ac:dyDescent="0.25">
      <c r="B73" s="122" t="s">
        <v>100</v>
      </c>
      <c r="C73" s="88"/>
      <c r="E73" s="89"/>
      <c r="F73" s="89"/>
      <c r="G73" s="89"/>
      <c r="H73" s="89"/>
      <c r="I73" s="152"/>
      <c r="J73" s="152"/>
      <c r="K73" s="152"/>
      <c r="L73" s="152"/>
      <c r="M73" s="152"/>
      <c r="N73" s="274"/>
      <c r="O73" s="274"/>
      <c r="P73" s="274"/>
      <c r="Q73" s="274"/>
      <c r="R73" s="274"/>
      <c r="S73" s="274">
        <v>15874.6</v>
      </c>
      <c r="T73" s="274"/>
      <c r="U73" s="274"/>
      <c r="V73" s="274"/>
      <c r="W73" s="274"/>
      <c r="X73" s="274">
        <v>20261.3</v>
      </c>
      <c r="Y73" s="274"/>
      <c r="Z73" s="274"/>
      <c r="AA73" s="274"/>
      <c r="AB73" s="274"/>
      <c r="AC73" s="274">
        <v>22109.9</v>
      </c>
      <c r="AD73" s="274"/>
      <c r="AE73" s="274"/>
      <c r="AF73" s="275"/>
      <c r="AG73" s="275"/>
      <c r="AH73" s="276">
        <v>30289.200000000001</v>
      </c>
      <c r="AI73" s="276">
        <v>37536</v>
      </c>
      <c r="AJ73" s="276">
        <v>42020.2</v>
      </c>
    </row>
    <row r="74" spans="1:36" x14ac:dyDescent="0.25">
      <c r="B74" s="122"/>
      <c r="C74" s="88"/>
      <c r="E74" s="89"/>
      <c r="F74" s="89"/>
      <c r="G74" s="89"/>
      <c r="H74" s="89"/>
      <c r="I74" s="152"/>
      <c r="J74" s="152"/>
      <c r="K74" s="152"/>
      <c r="L74" s="152"/>
      <c r="M74" s="152"/>
      <c r="N74" s="274"/>
      <c r="O74" s="274"/>
      <c r="P74" s="274"/>
      <c r="Q74" s="274"/>
      <c r="R74" s="274"/>
      <c r="S74" s="274"/>
      <c r="T74" s="274"/>
      <c r="U74" s="274"/>
      <c r="V74" s="274"/>
      <c r="W74" s="274"/>
      <c r="X74" s="274"/>
      <c r="Y74" s="274"/>
      <c r="Z74" s="274"/>
      <c r="AA74" s="274"/>
      <c r="AB74" s="274"/>
      <c r="AC74" s="274"/>
      <c r="AD74" s="274"/>
      <c r="AE74" s="274"/>
      <c r="AF74" s="275"/>
      <c r="AG74" s="275"/>
      <c r="AH74" s="276"/>
      <c r="AI74" s="276"/>
      <c r="AJ74" s="276"/>
    </row>
    <row r="75" spans="1:36" s="1" customFormat="1" x14ac:dyDescent="0.25">
      <c r="B75" t="s">
        <v>140</v>
      </c>
      <c r="C75" s="99"/>
      <c r="E75" s="100"/>
      <c r="F75" s="100"/>
      <c r="G75" s="100"/>
      <c r="H75" s="100"/>
      <c r="I75" s="149">
        <f>'Raw Input'!I26</f>
        <v>-1444</v>
      </c>
      <c r="J75" s="149"/>
      <c r="K75" s="149"/>
      <c r="L75" s="149"/>
      <c r="M75" s="149"/>
      <c r="N75" s="149">
        <f>'Raw Input'!N26</f>
        <v>-1777</v>
      </c>
      <c r="O75" s="149">
        <f>'Raw Input'!O26</f>
        <v>-570</v>
      </c>
      <c r="P75" s="149">
        <f>'Raw Input'!P26</f>
        <v>-466</v>
      </c>
      <c r="Q75" s="149">
        <f>'Raw Input'!Q26</f>
        <v>-415</v>
      </c>
      <c r="R75" s="149">
        <f>'Raw Input'!R26</f>
        <v>-434</v>
      </c>
      <c r="S75" s="149">
        <f>'Raw Input'!S26</f>
        <v>-1885</v>
      </c>
      <c r="T75" s="149">
        <f>'Raw Input'!T26</f>
        <v>-407</v>
      </c>
      <c r="U75" s="149">
        <f>'Raw Input'!U26</f>
        <v>-518</v>
      </c>
      <c r="V75" s="149">
        <f>'Raw Input'!V26</f>
        <v>-406</v>
      </c>
      <c r="W75" s="149">
        <f>'Raw Input'!W26</f>
        <v>-406</v>
      </c>
      <c r="X75" s="149">
        <f>'Raw Input'!X26</f>
        <v>-1737</v>
      </c>
      <c r="Y75" s="149">
        <f>'Raw Input'!Y26</f>
        <v>-406</v>
      </c>
      <c r="Z75" s="149">
        <f>'Raw Input'!Z26</f>
        <v>-405</v>
      </c>
      <c r="AA75" s="149">
        <f>'Raw Input'!AA26</f>
        <v>-406</v>
      </c>
      <c r="AB75" s="149">
        <f>'Raw Input'!AB26</f>
        <v>-405</v>
      </c>
      <c r="AC75" s="149">
        <f>'Raw Input'!AC26</f>
        <v>-1622</v>
      </c>
      <c r="AD75" s="149">
        <f>'Raw Input'!AD26</f>
        <v>-926</v>
      </c>
      <c r="AE75" s="149">
        <f>'Raw Input'!AE26</f>
        <v>-1047</v>
      </c>
      <c r="AF75" s="149">
        <f>AF77*AF$63</f>
        <v>-1179.9080929999998</v>
      </c>
      <c r="AG75" s="149">
        <f>AG77*AG$63</f>
        <v>-1269.6503049999999</v>
      </c>
      <c r="AH75" s="149">
        <f>SUM(AD75:AG75)</f>
        <v>-4422.5583980000001</v>
      </c>
      <c r="AI75" s="149">
        <f>AI77*AI70</f>
        <v>-4936.2603498000017</v>
      </c>
      <c r="AJ75" s="149">
        <f>AJ77*AJ70</f>
        <v>-5593.1834957760011</v>
      </c>
    </row>
    <row r="76" spans="1:36" x14ac:dyDescent="0.25">
      <c r="B76" s="111" t="s">
        <v>91</v>
      </c>
      <c r="C76" s="88"/>
      <c r="E76" s="89"/>
      <c r="F76" s="89"/>
      <c r="G76" s="89"/>
      <c r="H76" s="89"/>
      <c r="I76" s="150" t="s">
        <v>90</v>
      </c>
      <c r="J76" s="150"/>
      <c r="K76" s="150"/>
      <c r="L76" s="150"/>
      <c r="M76" s="150"/>
      <c r="N76" s="147">
        <f>N75/I75-1</f>
        <v>0.23060941828254844</v>
      </c>
      <c r="O76" s="166"/>
      <c r="P76" s="166"/>
      <c r="Q76" s="166"/>
      <c r="R76" s="166"/>
      <c r="S76" s="147">
        <f>S75/N75-1</f>
        <v>6.0776589758019028E-2</v>
      </c>
      <c r="T76" s="147">
        <f>T75/O75-1</f>
        <v>-0.28596491228070176</v>
      </c>
      <c r="U76" s="147">
        <f t="shared" ref="U76" si="79">U75/P75-1</f>
        <v>0.11158798283261806</v>
      </c>
      <c r="V76" s="147">
        <f>V75/Q75-1</f>
        <v>-2.168674698795181E-2</v>
      </c>
      <c r="W76" s="147">
        <f>W75/R75-1</f>
        <v>-6.4516129032258118E-2</v>
      </c>
      <c r="X76" s="147">
        <f>X75/S75-1</f>
        <v>-7.8514588859416423E-2</v>
      </c>
      <c r="Y76" s="147">
        <f>Y75/T75-1</f>
        <v>-2.4570024570024218E-3</v>
      </c>
      <c r="Z76" s="147">
        <f t="shared" ref="Z76" si="80">Z75/U75-1</f>
        <v>-0.21814671814671815</v>
      </c>
      <c r="AA76" s="147">
        <f>AA75/V75-1</f>
        <v>0</v>
      </c>
      <c r="AB76" s="147">
        <f>AB75/W75-1</f>
        <v>-2.4630541871921707E-3</v>
      </c>
      <c r="AC76" s="147">
        <f>AC75/X75-1</f>
        <v>-6.6206102475532491E-2</v>
      </c>
      <c r="AD76" s="147">
        <f>AD75/Y75-1</f>
        <v>1.2807881773399017</v>
      </c>
      <c r="AE76" s="147">
        <f>AE75/Z75-1</f>
        <v>1.585185185185185</v>
      </c>
      <c r="AF76" s="152"/>
      <c r="AG76" s="152"/>
      <c r="AH76" s="147">
        <f>AH75/AC75-1</f>
        <v>1.7266081368680641</v>
      </c>
      <c r="AI76" s="152"/>
      <c r="AJ76" s="152"/>
    </row>
    <row r="77" spans="1:36" x14ac:dyDescent="0.25">
      <c r="B77" s="111" t="s">
        <v>201</v>
      </c>
      <c r="C77" s="88"/>
      <c r="E77" s="89"/>
      <c r="F77" s="89"/>
      <c r="G77" s="89"/>
      <c r="H77" s="89"/>
      <c r="I77" s="147">
        <f>I75/I$63</f>
        <v>-0.41927990708478513</v>
      </c>
      <c r="J77" s="147" t="e">
        <f t="shared" ref="J77:AD77" si="81">J75/J$63</f>
        <v>#DIV/0!</v>
      </c>
      <c r="K77" s="147" t="e">
        <f t="shared" si="81"/>
        <v>#DIV/0!</v>
      </c>
      <c r="L77" s="147" t="e">
        <f t="shared" si="81"/>
        <v>#DIV/0!</v>
      </c>
      <c r="M77" s="147" t="e">
        <f t="shared" si="81"/>
        <v>#DIV/0!</v>
      </c>
      <c r="N77" s="147">
        <f t="shared" si="81"/>
        <v>-0.442700548081714</v>
      </c>
      <c r="O77" s="147">
        <f t="shared" si="81"/>
        <v>-0.31028851388132828</v>
      </c>
      <c r="P77" s="147">
        <f t="shared" si="81"/>
        <v>-0.23594936708860759</v>
      </c>
      <c r="Q77" s="147">
        <f t="shared" si="81"/>
        <v>-0.19520225776105363</v>
      </c>
      <c r="R77" s="147">
        <f t="shared" si="81"/>
        <v>-0.16815187911662147</v>
      </c>
      <c r="S77" s="147">
        <f t="shared" si="81"/>
        <v>-0.22127010212466253</v>
      </c>
      <c r="T77" s="147">
        <f t="shared" si="81"/>
        <v>-0.13095238095238096</v>
      </c>
      <c r="U77" s="147">
        <f t="shared" si="81"/>
        <v>-0.15262227460223923</v>
      </c>
      <c r="V77" s="147">
        <f t="shared" si="81"/>
        <v>-0.10864329676210864</v>
      </c>
      <c r="W77" s="147">
        <f t="shared" si="81"/>
        <v>-0.10185649774209735</v>
      </c>
      <c r="X77" s="147">
        <f t="shared" si="81"/>
        <v>-0.12210896309314587</v>
      </c>
      <c r="Y77" s="147">
        <f t="shared" si="81"/>
        <v>-9.8951986351450152E-2</v>
      </c>
      <c r="Z77" s="147">
        <f t="shared" si="81"/>
        <v>-0.10104790419161677</v>
      </c>
      <c r="AA77" s="147">
        <f t="shared" si="81"/>
        <v>-0.10529045643153527</v>
      </c>
      <c r="AB77" s="147">
        <f t="shared" si="81"/>
        <v>-9.5518867924528308E-2</v>
      </c>
      <c r="AC77" s="147">
        <f t="shared" si="81"/>
        <v>-0.10008021225396434</v>
      </c>
      <c r="AD77" s="147">
        <f t="shared" si="81"/>
        <v>-0.4445511281805089</v>
      </c>
      <c r="AE77" s="147">
        <f>AE75/AE$63</f>
        <v>-0.35311973018549747</v>
      </c>
      <c r="AF77" s="147">
        <v>-0.35</v>
      </c>
      <c r="AG77" s="147">
        <v>-0.35</v>
      </c>
      <c r="AH77" s="147">
        <f>AH75/AH$63</f>
        <v>-0.36711666637120643</v>
      </c>
      <c r="AI77" s="147">
        <v>-0.15</v>
      </c>
      <c r="AJ77" s="147">
        <v>-0.15</v>
      </c>
    </row>
    <row r="78" spans="1:36" x14ac:dyDescent="0.25">
      <c r="B78" t="s">
        <v>141</v>
      </c>
      <c r="C78" s="88"/>
      <c r="E78" s="89"/>
      <c r="F78" s="89"/>
      <c r="G78" s="89"/>
      <c r="H78" s="89"/>
      <c r="I78" s="149">
        <f>'Raw Input'!I27</f>
        <v>226</v>
      </c>
      <c r="J78" s="149"/>
      <c r="K78" s="149"/>
      <c r="L78" s="149"/>
      <c r="M78" s="149"/>
      <c r="N78" s="149">
        <f>'Raw Input'!N27</f>
        <v>206</v>
      </c>
      <c r="O78" s="149">
        <f>'Raw Input'!O27</f>
        <v>117</v>
      </c>
      <c r="P78" s="149">
        <f>'Raw Input'!P27</f>
        <v>-23</v>
      </c>
      <c r="Q78" s="149">
        <f>'Raw Input'!Q27</f>
        <v>15</v>
      </c>
      <c r="R78" s="149">
        <f>'Raw Input'!R27</f>
        <v>22</v>
      </c>
      <c r="S78" s="149">
        <f>'Raw Input'!S27</f>
        <v>131</v>
      </c>
      <c r="T78" s="149">
        <f>'Raw Input'!T27</f>
        <v>-14</v>
      </c>
      <c r="U78" s="149">
        <f>'Raw Input'!U27</f>
        <v>-86</v>
      </c>
      <c r="V78" s="149">
        <f>'Raw Input'!V27</f>
        <v>6</v>
      </c>
      <c r="W78" s="149">
        <f>'Raw Input'!W27</f>
        <v>40</v>
      </c>
      <c r="X78" s="149">
        <f>'Raw Input'!X27</f>
        <v>-54</v>
      </c>
      <c r="Y78" s="149">
        <f>'Raw Input'!Y27</f>
        <v>143</v>
      </c>
      <c r="Z78" s="149">
        <f>'Raw Input'!Z27</f>
        <v>113</v>
      </c>
      <c r="AA78" s="149">
        <f>'Raw Input'!AA27</f>
        <v>124</v>
      </c>
      <c r="AB78" s="149">
        <f>'Raw Input'!AB27</f>
        <v>132</v>
      </c>
      <c r="AC78" s="149">
        <f>'Raw Input'!AC27</f>
        <v>512</v>
      </c>
      <c r="AD78" s="149">
        <f>'Raw Input'!AD27</f>
        <v>185</v>
      </c>
      <c r="AE78" s="149">
        <f>'Raw Input'!AE27</f>
        <v>87</v>
      </c>
      <c r="AF78" s="149">
        <f>AF80*AF$63</f>
        <v>101.13497939999999</v>
      </c>
      <c r="AG78" s="149">
        <f>AG80*AG$63</f>
        <v>108.82716899999998</v>
      </c>
      <c r="AH78" s="149">
        <f>SUM(AD78:AG78)</f>
        <v>481.96214839999999</v>
      </c>
      <c r="AI78" s="149">
        <f>AI80*AI70</f>
        <v>1480.8781049400004</v>
      </c>
      <c r="AJ78" s="149">
        <f>AJ80*AJ70</f>
        <v>1677.9550487328002</v>
      </c>
    </row>
    <row r="79" spans="1:36" x14ac:dyDescent="0.25">
      <c r="B79" s="111" t="s">
        <v>91</v>
      </c>
      <c r="C79" s="88"/>
      <c r="E79" s="89"/>
      <c r="F79" s="89"/>
      <c r="G79" s="89"/>
      <c r="H79" s="89"/>
      <c r="I79" s="150" t="s">
        <v>90</v>
      </c>
      <c r="J79" s="150"/>
      <c r="K79" s="150"/>
      <c r="L79" s="150"/>
      <c r="M79" s="150"/>
      <c r="N79" s="147">
        <f>N78/I78-1</f>
        <v>-8.8495575221238965E-2</v>
      </c>
      <c r="O79" s="166"/>
      <c r="P79" s="166"/>
      <c r="Q79" s="166"/>
      <c r="R79" s="166"/>
      <c r="S79" s="147">
        <f>S78/N78-1</f>
        <v>-0.36407766990291257</v>
      </c>
      <c r="T79" s="147">
        <f>T78/O78-1</f>
        <v>-1.1196581196581197</v>
      </c>
      <c r="U79" s="147">
        <f t="shared" ref="U79" si="82">U78/P78-1</f>
        <v>2.7391304347826089</v>
      </c>
      <c r="V79" s="147">
        <f>V78/Q78-1</f>
        <v>-0.6</v>
      </c>
      <c r="W79" s="147">
        <f>W78/R78-1</f>
        <v>0.81818181818181812</v>
      </c>
      <c r="X79" s="147">
        <f>X78/S78-1</f>
        <v>-1.4122137404580153</v>
      </c>
      <c r="Y79" s="147">
        <f>Y78/T78-1</f>
        <v>-11.214285714285714</v>
      </c>
      <c r="Z79" s="147">
        <f t="shared" ref="Z79" si="83">Z78/U78-1</f>
        <v>-2.3139534883720927</v>
      </c>
      <c r="AA79" s="147">
        <f>AA78/V78-1</f>
        <v>19.666666666666668</v>
      </c>
      <c r="AB79" s="147">
        <f>AB78/W78-1</f>
        <v>2.2999999999999998</v>
      </c>
      <c r="AC79" s="147">
        <f>AC78/X78-1</f>
        <v>-10.481481481481481</v>
      </c>
      <c r="AD79" s="147">
        <f>AD78/Y78-1</f>
        <v>0.29370629370629375</v>
      </c>
      <c r="AE79" s="147">
        <f>AE78/Z78-1</f>
        <v>-0.23008849557522126</v>
      </c>
      <c r="AF79" s="149"/>
      <c r="AG79" s="149"/>
      <c r="AH79" s="147">
        <f>AH78/AC78-1</f>
        <v>-5.866767890625002E-2</v>
      </c>
      <c r="AI79" s="149"/>
      <c r="AJ79" s="149"/>
    </row>
    <row r="80" spans="1:36" x14ac:dyDescent="0.25">
      <c r="B80" s="111" t="s">
        <v>201</v>
      </c>
      <c r="C80" s="88"/>
      <c r="E80" s="89"/>
      <c r="F80" s="89"/>
      <c r="G80" s="89"/>
      <c r="H80" s="89"/>
      <c r="I80" s="147">
        <f>I78/I$63</f>
        <v>6.5621370499419282E-2</v>
      </c>
      <c r="J80" s="147" t="e">
        <f t="shared" ref="J80:AE80" si="84">J78/J$63</f>
        <v>#DIV/0!</v>
      </c>
      <c r="K80" s="147" t="e">
        <f t="shared" si="84"/>
        <v>#DIV/0!</v>
      </c>
      <c r="L80" s="147" t="e">
        <f t="shared" si="84"/>
        <v>#DIV/0!</v>
      </c>
      <c r="M80" s="147" t="e">
        <f t="shared" si="84"/>
        <v>#DIV/0!</v>
      </c>
      <c r="N80" s="147">
        <f t="shared" si="84"/>
        <v>5.1320378674638761E-2</v>
      </c>
      <c r="O80" s="147">
        <f t="shared" si="84"/>
        <v>6.3690800217746327E-2</v>
      </c>
      <c r="P80" s="147">
        <f t="shared" si="84"/>
        <v>-1.1645569620253165E-2</v>
      </c>
      <c r="Q80" s="147">
        <f t="shared" si="84"/>
        <v>7.0555032925682035E-3</v>
      </c>
      <c r="R80" s="147">
        <f t="shared" si="84"/>
        <v>8.5238279736536225E-3</v>
      </c>
      <c r="S80" s="147">
        <f t="shared" si="84"/>
        <v>1.5377391712642329E-2</v>
      </c>
      <c r="T80" s="147">
        <f t="shared" si="84"/>
        <v>-4.5045045045045045E-3</v>
      </c>
      <c r="U80" s="147">
        <f t="shared" si="84"/>
        <v>-2.5338833235120803E-2</v>
      </c>
      <c r="V80" s="147">
        <f t="shared" si="84"/>
        <v>1.6055659620016055E-3</v>
      </c>
      <c r="W80" s="147">
        <f t="shared" si="84"/>
        <v>1.0035122930255895E-2</v>
      </c>
      <c r="X80" s="147">
        <f t="shared" si="84"/>
        <v>-3.796133567662566E-3</v>
      </c>
      <c r="Y80" s="147">
        <f t="shared" si="84"/>
        <v>3.4852546916890083E-2</v>
      </c>
      <c r="Z80" s="147">
        <f t="shared" si="84"/>
        <v>2.8193612774451097E-2</v>
      </c>
      <c r="AA80" s="147">
        <f t="shared" si="84"/>
        <v>3.2157676348547715E-2</v>
      </c>
      <c r="AB80" s="147">
        <f t="shared" si="84"/>
        <v>3.1132075471698113E-2</v>
      </c>
      <c r="AC80" s="147">
        <f t="shared" si="84"/>
        <v>3.1591287715184796E-2</v>
      </c>
      <c r="AD80" s="147">
        <f t="shared" si="84"/>
        <v>8.8814210273643779E-2</v>
      </c>
      <c r="AE80" s="147">
        <f t="shared" si="84"/>
        <v>2.9342327150084318E-2</v>
      </c>
      <c r="AF80" s="147">
        <v>0.03</v>
      </c>
      <c r="AG80" s="147">
        <v>0.03</v>
      </c>
      <c r="AH80" s="147">
        <f>AH78/AH$63</f>
        <v>4.0007688155735389E-2</v>
      </c>
      <c r="AI80" s="147">
        <v>4.4999999999999998E-2</v>
      </c>
      <c r="AJ80" s="147">
        <v>4.4999999999999998E-2</v>
      </c>
    </row>
    <row r="81" spans="2:36" x14ac:dyDescent="0.25">
      <c r="B81" t="s">
        <v>156</v>
      </c>
      <c r="C81" s="99"/>
      <c r="D81" s="1"/>
      <c r="E81" s="100"/>
      <c r="F81" s="100"/>
      <c r="G81" s="100"/>
      <c r="H81" s="100"/>
      <c r="I81" s="149">
        <f>'Raw Input'!I28</f>
        <v>2226</v>
      </c>
      <c r="J81" s="149"/>
      <c r="K81" s="149"/>
      <c r="L81" s="149"/>
      <c r="M81" s="149"/>
      <c r="N81" s="149">
        <f>'Raw Input'!N28</f>
        <v>2443</v>
      </c>
      <c r="O81" s="149">
        <f>'Raw Input'!O28</f>
        <v>1384</v>
      </c>
      <c r="P81" s="149">
        <f>'Raw Input'!P28</f>
        <v>1486</v>
      </c>
      <c r="Q81" s="149">
        <f>'Raw Input'!Q28</f>
        <v>1726</v>
      </c>
      <c r="R81" s="149">
        <f>'Raw Input'!R28</f>
        <v>2169</v>
      </c>
      <c r="S81" s="149">
        <f>'Raw Input'!S28</f>
        <v>6765</v>
      </c>
      <c r="T81" s="149">
        <f>'Raw Input'!T28</f>
        <v>2687</v>
      </c>
      <c r="U81" s="149">
        <f>'Raw Input'!U28</f>
        <v>2790</v>
      </c>
      <c r="V81" s="149">
        <f>'Raw Input'!V28</f>
        <v>3337</v>
      </c>
      <c r="W81" s="149">
        <f>'Raw Input'!W28</f>
        <v>3620</v>
      </c>
      <c r="X81" s="149">
        <f>'Raw Input'!X28</f>
        <v>12434</v>
      </c>
      <c r="Y81" s="149">
        <f>'Raw Input'!Y28</f>
        <v>3840</v>
      </c>
      <c r="Z81" s="149">
        <f>'Raw Input'!Z28</f>
        <v>3716</v>
      </c>
      <c r="AA81" s="149">
        <f>'Raw Input'!AA28</f>
        <v>3574</v>
      </c>
      <c r="AB81" s="149">
        <f>'Raw Input'!AB28</f>
        <v>3967</v>
      </c>
      <c r="AC81" s="149">
        <f>'Raw Input'!AC28</f>
        <v>15097</v>
      </c>
      <c r="AD81" s="149">
        <f>'Raw Input'!AD28</f>
        <v>1342</v>
      </c>
      <c r="AE81" s="149">
        <f>'Raw Input'!AE28</f>
        <v>2005</v>
      </c>
      <c r="AF81" s="149">
        <f>AF63+AF75+AF78</f>
        <v>2292.3928663999995</v>
      </c>
      <c r="AG81" s="149">
        <f>AG63+AG75+AG78</f>
        <v>2466.7491639999998</v>
      </c>
      <c r="AH81" s="149">
        <f>SUM(AD81:AG81)</f>
        <v>8106.1420303999994</v>
      </c>
      <c r="AI81" s="149"/>
      <c r="AJ81" s="149"/>
    </row>
    <row r="82" spans="2:36" x14ac:dyDescent="0.25">
      <c r="B82" s="111" t="s">
        <v>91</v>
      </c>
      <c r="C82" s="88"/>
      <c r="E82" s="89"/>
      <c r="F82" s="89"/>
      <c r="G82" s="89"/>
      <c r="H82" s="89"/>
      <c r="I82" s="150" t="s">
        <v>90</v>
      </c>
      <c r="J82" s="150"/>
      <c r="K82" s="150"/>
      <c r="L82" s="150"/>
      <c r="M82" s="150"/>
      <c r="N82" s="147">
        <f>N81/I81-1</f>
        <v>9.7484276729559838E-2</v>
      </c>
      <c r="O82" s="166"/>
      <c r="P82" s="166"/>
      <c r="Q82" s="166"/>
      <c r="R82" s="166"/>
      <c r="S82" s="147">
        <f>S81/N81-1</f>
        <v>1.7691363078182563</v>
      </c>
      <c r="T82" s="147">
        <f>T81/O81-1</f>
        <v>0.94147398843930641</v>
      </c>
      <c r="U82" s="147">
        <f t="shared" ref="U82" si="85">U81/P81-1</f>
        <v>0.87752355316285335</v>
      </c>
      <c r="V82" s="147">
        <f>V81/Q81-1</f>
        <v>0.93337195828505215</v>
      </c>
      <c r="W82" s="147">
        <f>W81/R81-1</f>
        <v>0.66897187644075617</v>
      </c>
      <c r="X82" s="147">
        <f>X81/S81-1</f>
        <v>0.83798965262379888</v>
      </c>
      <c r="Y82" s="147">
        <f>Y81/T81-1</f>
        <v>0.42910308894678084</v>
      </c>
      <c r="Z82" s="147">
        <f t="shared" ref="Z82" si="86">Z81/U81-1</f>
        <v>0.33189964157706098</v>
      </c>
      <c r="AA82" s="147">
        <f>AA81/V81-1</f>
        <v>7.1021875936469803E-2</v>
      </c>
      <c r="AB82" s="147">
        <f>AB81/W81-1</f>
        <v>9.5856353591160293E-2</v>
      </c>
      <c r="AC82" s="147">
        <f>AC81/X81-1</f>
        <v>0.21417082193984238</v>
      </c>
      <c r="AD82" s="147">
        <f>AD81/Y81-1</f>
        <v>-0.65052083333333333</v>
      </c>
      <c r="AE82" s="147">
        <f>AE81/Z81-1</f>
        <v>-0.4604413347685683</v>
      </c>
      <c r="AF82" s="149"/>
      <c r="AG82" s="149"/>
      <c r="AH82" s="147">
        <f>AH81/AC81-1</f>
        <v>-0.46306272568059881</v>
      </c>
      <c r="AI82" s="149"/>
      <c r="AJ82" s="149"/>
    </row>
    <row r="83" spans="2:36" s="132" customFormat="1" x14ac:dyDescent="0.25">
      <c r="B83" s="111" t="s">
        <v>201</v>
      </c>
      <c r="C83" s="131"/>
      <c r="E83" s="133"/>
      <c r="F83" s="133"/>
      <c r="G83" s="133"/>
      <c r="H83" s="133"/>
      <c r="I83" s="147">
        <f>I81/I$63</f>
        <v>0.64634146341463417</v>
      </c>
      <c r="J83" s="147" t="e">
        <f t="shared" ref="J83:AG83" si="87">J81/J$63</f>
        <v>#DIV/0!</v>
      </c>
      <c r="K83" s="147" t="e">
        <f t="shared" si="87"/>
        <v>#DIV/0!</v>
      </c>
      <c r="L83" s="147" t="e">
        <f t="shared" si="87"/>
        <v>#DIV/0!</v>
      </c>
      <c r="M83" s="147" t="e">
        <f t="shared" si="87"/>
        <v>#DIV/0!</v>
      </c>
      <c r="N83" s="147">
        <f t="shared" si="87"/>
        <v>0.60861983059292479</v>
      </c>
      <c r="O83" s="147">
        <f t="shared" si="87"/>
        <v>0.75340228633641804</v>
      </c>
      <c r="P83" s="147">
        <f t="shared" si="87"/>
        <v>0.75240506329113921</v>
      </c>
      <c r="Q83" s="147">
        <f t="shared" si="87"/>
        <v>0.81185324553151461</v>
      </c>
      <c r="R83" s="147">
        <f t="shared" si="87"/>
        <v>0.84037194885703215</v>
      </c>
      <c r="S83" s="147">
        <f t="shared" si="87"/>
        <v>0.79410728958797983</v>
      </c>
      <c r="T83" s="147">
        <f t="shared" si="87"/>
        <v>0.8645431145431145</v>
      </c>
      <c r="U83" s="147">
        <f t="shared" si="87"/>
        <v>0.82203889216263992</v>
      </c>
      <c r="V83" s="147">
        <f t="shared" si="87"/>
        <v>0.89296226919989297</v>
      </c>
      <c r="W83" s="147">
        <f t="shared" si="87"/>
        <v>0.90817862518815851</v>
      </c>
      <c r="X83" s="147">
        <f t="shared" si="87"/>
        <v>0.8740949033391916</v>
      </c>
      <c r="Y83" s="147">
        <f t="shared" si="87"/>
        <v>0.93590056056543991</v>
      </c>
      <c r="Z83" s="147">
        <f t="shared" si="87"/>
        <v>0.92714570858283429</v>
      </c>
      <c r="AA83" s="147">
        <f t="shared" si="87"/>
        <v>0.92686721991701249</v>
      </c>
      <c r="AB83" s="147">
        <f t="shared" si="87"/>
        <v>0.93561320754716981</v>
      </c>
      <c r="AC83" s="147">
        <f t="shared" si="87"/>
        <v>0.93151107546122047</v>
      </c>
      <c r="AD83" s="147">
        <f t="shared" si="87"/>
        <v>0.64426308209313488</v>
      </c>
      <c r="AE83" s="147">
        <f t="shared" si="87"/>
        <v>0.67622259696458686</v>
      </c>
      <c r="AF83" s="147">
        <f t="shared" si="87"/>
        <v>0.67999999999999994</v>
      </c>
      <c r="AG83" s="147">
        <f t="shared" si="87"/>
        <v>0.67999999999999994</v>
      </c>
      <c r="AH83" s="147">
        <f>AH81/AH$63</f>
        <v>0.67289102178452909</v>
      </c>
      <c r="AI83" s="152"/>
      <c r="AJ83" s="152"/>
    </row>
    <row r="84" spans="2:36" x14ac:dyDescent="0.25">
      <c r="B84" t="s">
        <v>157</v>
      </c>
      <c r="C84" s="88"/>
      <c r="E84" s="89"/>
      <c r="F84" s="89"/>
      <c r="G84" s="89"/>
      <c r="H84" s="89"/>
      <c r="I84" s="149">
        <f>'Raw Input'!I29</f>
        <v>-510</v>
      </c>
      <c r="J84" s="149"/>
      <c r="K84" s="149"/>
      <c r="L84" s="149"/>
      <c r="M84" s="149"/>
      <c r="N84" s="149">
        <f>'Raw Input'!N29</f>
        <v>-518</v>
      </c>
      <c r="O84" s="149">
        <f>'Raw Input'!O29</f>
        <v>6</v>
      </c>
      <c r="P84" s="149">
        <f>'Raw Input'!P29</f>
        <v>-7</v>
      </c>
      <c r="Q84" s="149">
        <f>'Raw Input'!Q29</f>
        <v>-150</v>
      </c>
      <c r="R84" s="149">
        <f>'Raw Input'!R29</f>
        <v>180</v>
      </c>
      <c r="S84" s="149">
        <f>'Raw Input'!S29</f>
        <v>29</v>
      </c>
      <c r="T84" s="149">
        <f>'Raw Input'!T29</f>
        <v>215</v>
      </c>
      <c r="U84" s="149">
        <f>'Raw Input'!U29</f>
        <v>200</v>
      </c>
      <c r="V84" s="149">
        <f>'Raw Input'!V29</f>
        <v>263</v>
      </c>
      <c r="W84" s="149">
        <f>'Raw Input'!W29</f>
        <v>261</v>
      </c>
      <c r="X84" s="149">
        <f>'Raw Input'!X29</f>
        <v>939</v>
      </c>
      <c r="Y84" s="149">
        <f>'Raw Input'!Y29</f>
        <v>66</v>
      </c>
      <c r="Z84" s="149">
        <f>'Raw Input'!Z29</f>
        <v>235</v>
      </c>
      <c r="AA84" s="149">
        <f>'Raw Input'!AA29</f>
        <v>271</v>
      </c>
      <c r="AB84" s="149">
        <f>'Raw Input'!AB29</f>
        <v>443</v>
      </c>
      <c r="AC84" s="149">
        <f>'Raw Input'!AC29</f>
        <v>1015</v>
      </c>
      <c r="AD84" s="149">
        <f>'Raw Input'!AD29</f>
        <v>68</v>
      </c>
      <c r="AE84" s="149">
        <f>'Raw Input'!AE29</f>
        <v>-116</v>
      </c>
      <c r="AF84" s="149">
        <f>(AH84-AD84-AE84)/2</f>
        <v>385.40214839999993</v>
      </c>
      <c r="AG84" s="149">
        <f>AF84</f>
        <v>385.40214839999993</v>
      </c>
      <c r="AH84" s="149">
        <f>AH86*AH63</f>
        <v>722.80429679999986</v>
      </c>
      <c r="AI84" s="149">
        <f>AI86*AI70</f>
        <v>1809.9621282600008</v>
      </c>
      <c r="AJ84" s="149">
        <f>AJ86*AJ70</f>
        <v>2050.8339484512003</v>
      </c>
    </row>
    <row r="85" spans="2:36" x14ac:dyDescent="0.25">
      <c r="B85" s="111" t="s">
        <v>91</v>
      </c>
      <c r="C85" s="88"/>
      <c r="E85" s="89"/>
      <c r="F85" s="89"/>
      <c r="G85" s="89"/>
      <c r="H85" s="89"/>
      <c r="I85" s="150" t="s">
        <v>90</v>
      </c>
      <c r="J85" s="150"/>
      <c r="K85" s="150"/>
      <c r="L85" s="150"/>
      <c r="M85" s="150"/>
      <c r="N85" s="147">
        <f>N84/I84-1</f>
        <v>1.5686274509803866E-2</v>
      </c>
      <c r="O85" s="166"/>
      <c r="P85" s="166"/>
      <c r="Q85" s="166"/>
      <c r="R85" s="166"/>
      <c r="S85" s="147">
        <f>S84/N84-1</f>
        <v>-1.055984555984556</v>
      </c>
      <c r="T85" s="147">
        <f>T84/O84-1</f>
        <v>34.833333333333336</v>
      </c>
      <c r="U85" s="147">
        <f t="shared" ref="U85" si="88">U84/P84-1</f>
        <v>-29.571428571428573</v>
      </c>
      <c r="V85" s="147">
        <f>V84/Q84-1</f>
        <v>-2.7533333333333334</v>
      </c>
      <c r="W85" s="147">
        <f>W84/R84-1</f>
        <v>0.44999999999999996</v>
      </c>
      <c r="X85" s="147">
        <f>X84/S84-1</f>
        <v>31.379310344827587</v>
      </c>
      <c r="Y85" s="147">
        <f>Y84/T84-1</f>
        <v>-0.69302325581395352</v>
      </c>
      <c r="Z85" s="147">
        <f t="shared" ref="Z85" si="89">Z84/U84-1</f>
        <v>0.17500000000000004</v>
      </c>
      <c r="AA85" s="147">
        <f>AA84/V84-1</f>
        <v>3.041825095057038E-2</v>
      </c>
      <c r="AB85" s="147">
        <f>AB84/W84-1</f>
        <v>0.69731800766283536</v>
      </c>
      <c r="AC85" s="147">
        <f>AC84/X84-1</f>
        <v>8.0937167199148119E-2</v>
      </c>
      <c r="AD85" s="147">
        <f>AD84/Y84-1</f>
        <v>3.0303030303030276E-2</v>
      </c>
      <c r="AE85" s="147">
        <f>AE84/Z84-1</f>
        <v>-1.4936170212765958</v>
      </c>
      <c r="AF85" s="149"/>
      <c r="AG85" s="149"/>
      <c r="AH85" s="147">
        <f>AH84/AC84-1</f>
        <v>-0.28787754009852229</v>
      </c>
      <c r="AI85" s="149"/>
      <c r="AJ85" s="149"/>
    </row>
    <row r="86" spans="2:36" x14ac:dyDescent="0.25">
      <c r="B86" s="111" t="s">
        <v>201</v>
      </c>
      <c r="C86" s="99"/>
      <c r="D86" s="1"/>
      <c r="E86" s="100"/>
      <c r="F86" s="100"/>
      <c r="G86" s="100"/>
      <c r="H86" s="100"/>
      <c r="I86" s="147">
        <f>I84/I$63</f>
        <v>-0.1480836236933798</v>
      </c>
      <c r="J86" s="147" t="e">
        <f t="shared" ref="J86:AE86" si="90">J84/J$63</f>
        <v>#DIV/0!</v>
      </c>
      <c r="K86" s="147" t="e">
        <f t="shared" si="90"/>
        <v>#DIV/0!</v>
      </c>
      <c r="L86" s="147" t="e">
        <f t="shared" si="90"/>
        <v>#DIV/0!</v>
      </c>
      <c r="M86" s="147" t="e">
        <f t="shared" si="90"/>
        <v>#DIV/0!</v>
      </c>
      <c r="N86" s="147">
        <f t="shared" si="90"/>
        <v>-0.12904833084205281</v>
      </c>
      <c r="O86" s="147">
        <f t="shared" si="90"/>
        <v>3.2661948829613499E-3</v>
      </c>
      <c r="P86" s="147">
        <f t="shared" si="90"/>
        <v>-3.5443037974683543E-3</v>
      </c>
      <c r="Q86" s="147">
        <f t="shared" si="90"/>
        <v>-7.0555032925682035E-2</v>
      </c>
      <c r="R86" s="147">
        <f t="shared" si="90"/>
        <v>6.9740410693529639E-2</v>
      </c>
      <c r="S86" s="147">
        <f t="shared" si="90"/>
        <v>3.4041554173025001E-3</v>
      </c>
      <c r="T86" s="147">
        <f t="shared" si="90"/>
        <v>6.9176319176319181E-2</v>
      </c>
      <c r="U86" s="147">
        <f t="shared" si="90"/>
        <v>5.8927519151443723E-2</v>
      </c>
      <c r="V86" s="147">
        <f t="shared" si="90"/>
        <v>7.0377308001070379E-2</v>
      </c>
      <c r="W86" s="147">
        <f t="shared" si="90"/>
        <v>6.5479177119919713E-2</v>
      </c>
      <c r="X86" s="147">
        <f t="shared" si="90"/>
        <v>6.6010544815465727E-2</v>
      </c>
      <c r="Y86" s="147">
        <f t="shared" si="90"/>
        <v>1.6085790884718499E-2</v>
      </c>
      <c r="Z86" s="147">
        <f t="shared" si="90"/>
        <v>5.8632734530938126E-2</v>
      </c>
      <c r="AA86" s="147">
        <f t="shared" si="90"/>
        <v>7.0280082987551867E-2</v>
      </c>
      <c r="AB86" s="147">
        <f t="shared" si="90"/>
        <v>0.1044811320754717</v>
      </c>
      <c r="AC86" s="147">
        <f t="shared" si="90"/>
        <v>6.2627259826001105E-2</v>
      </c>
      <c r="AD86" s="147">
        <f>AD84/AD$63</f>
        <v>3.2645223235717717E-2</v>
      </c>
      <c r="AE86" s="147">
        <f t="shared" si="90"/>
        <v>-3.9123102866779093E-2</v>
      </c>
      <c r="AF86" s="147">
        <f>AF84/AF63</f>
        <v>0.11432310087562048</v>
      </c>
      <c r="AG86" s="147">
        <f>AG84/AG63</f>
        <v>0.10624244440283105</v>
      </c>
      <c r="AH86" s="147">
        <v>0.06</v>
      </c>
      <c r="AI86" s="147">
        <v>5.5E-2</v>
      </c>
      <c r="AJ86" s="147">
        <v>5.5E-2</v>
      </c>
    </row>
    <row r="87" spans="2:36" s="1" customFormat="1" x14ac:dyDescent="0.25">
      <c r="B87" s="1" t="s">
        <v>82</v>
      </c>
      <c r="C87" s="99"/>
      <c r="E87" s="100"/>
      <c r="F87" s="100"/>
      <c r="G87" s="100"/>
      <c r="H87" s="100"/>
      <c r="I87" s="161">
        <f>'Raw Input'!I31</f>
        <v>2724</v>
      </c>
      <c r="J87" s="161"/>
      <c r="K87" s="161"/>
      <c r="L87" s="161"/>
      <c r="M87" s="161"/>
      <c r="N87" s="161">
        <f>'Raw Input'!N31</f>
        <v>2960</v>
      </c>
      <c r="O87" s="161">
        <f>'Raw Input'!O31</f>
        <v>1378</v>
      </c>
      <c r="P87" s="161">
        <f>'Raw Input'!P31</f>
        <v>1493</v>
      </c>
      <c r="Q87" s="161">
        <f>'Raw Input'!Q31</f>
        <v>1876</v>
      </c>
      <c r="R87" s="161">
        <f>'Raw Input'!R31</f>
        <v>1989</v>
      </c>
      <c r="S87" s="161">
        <f>'Raw Input'!S31</f>
        <v>6736</v>
      </c>
      <c r="T87" s="161">
        <f>'Raw Input'!T31</f>
        <v>2472</v>
      </c>
      <c r="U87" s="161">
        <f>'Raw Input'!U31</f>
        <v>2590</v>
      </c>
      <c r="V87" s="161">
        <f>'Raw Input'!V31</f>
        <v>3074</v>
      </c>
      <c r="W87" s="161">
        <f>'Raw Input'!W31</f>
        <v>3359</v>
      </c>
      <c r="X87" s="161">
        <f>'Raw Input'!X31</f>
        <v>11495</v>
      </c>
      <c r="Y87" s="161">
        <f>'Raw Input'!Y31</f>
        <v>3774</v>
      </c>
      <c r="Z87" s="161">
        <f>'Raw Input'!Z31</f>
        <v>3481</v>
      </c>
      <c r="AA87" s="161">
        <f>'Raw Input'!AA31</f>
        <v>3303</v>
      </c>
      <c r="AB87" s="161">
        <f>'Raw Input'!AB31</f>
        <v>3524</v>
      </c>
      <c r="AC87" s="161">
        <f>'Raw Input'!AC31</f>
        <v>14082</v>
      </c>
      <c r="AD87" s="161">
        <f>'Raw Input'!AD31</f>
        <v>1325</v>
      </c>
      <c r="AE87" s="161">
        <f>'Raw Input'!AE31</f>
        <v>2121</v>
      </c>
      <c r="AF87" s="161">
        <f>AF81-AF84</f>
        <v>1906.9907179999996</v>
      </c>
      <c r="AG87" s="161">
        <f>AG81-AG84</f>
        <v>2081.3470155999998</v>
      </c>
      <c r="AH87" s="161">
        <f>AH81-AH84</f>
        <v>7383.3377335999994</v>
      </c>
      <c r="AI87" s="161"/>
      <c r="AJ87" s="161"/>
    </row>
    <row r="88" spans="2:36" s="1" customFormat="1" x14ac:dyDescent="0.25">
      <c r="B88" s="111" t="s">
        <v>91</v>
      </c>
      <c r="C88" s="99"/>
      <c r="E88" s="100"/>
      <c r="F88" s="100"/>
      <c r="G88" s="100"/>
      <c r="H88" s="100"/>
      <c r="I88" s="150" t="s">
        <v>90</v>
      </c>
      <c r="J88" s="150"/>
      <c r="K88" s="150"/>
      <c r="L88" s="150"/>
      <c r="M88" s="150"/>
      <c r="N88" s="147">
        <f>N87/I87-1</f>
        <v>8.6637298091042592E-2</v>
      </c>
      <c r="O88" s="166"/>
      <c r="P88" s="166"/>
      <c r="Q88" s="166"/>
      <c r="R88" s="166"/>
      <c r="S88" s="147">
        <f>S87/N87-1</f>
        <v>1.2756756756756755</v>
      </c>
      <c r="T88" s="147">
        <f>T87/O87-1</f>
        <v>0.79390420899854863</v>
      </c>
      <c r="U88" s="147">
        <f t="shared" ref="U88" si="91">U87/P87-1</f>
        <v>0.7347622237106497</v>
      </c>
      <c r="V88" s="147">
        <f>V87/Q87-1</f>
        <v>0.63859275053304909</v>
      </c>
      <c r="W88" s="147">
        <f>W87/R87-1</f>
        <v>0.68878833584715937</v>
      </c>
      <c r="X88" s="147">
        <f>X87/S87-1</f>
        <v>0.70650237529691218</v>
      </c>
      <c r="Y88" s="147">
        <f>Y87/T87-1</f>
        <v>0.52669902912621369</v>
      </c>
      <c r="Z88" s="147">
        <f t="shared" ref="Z88" si="92">Z87/U87-1</f>
        <v>0.34401544401544393</v>
      </c>
      <c r="AA88" s="147">
        <f>AA87/V87-1</f>
        <v>7.4495770982433207E-2</v>
      </c>
      <c r="AB88" s="147">
        <f>AB87/W87-1</f>
        <v>4.9121762429294336E-2</v>
      </c>
      <c r="AC88" s="147">
        <f>AC87/X87-1</f>
        <v>0.22505437146585483</v>
      </c>
      <c r="AD88" s="147">
        <f>AD87/Y87-1</f>
        <v>-0.64891361950185478</v>
      </c>
      <c r="AE88" s="147">
        <f>AE87/Z87-1</f>
        <v>-0.39069232979029012</v>
      </c>
      <c r="AF88" s="149"/>
      <c r="AG88" s="149"/>
      <c r="AH88" s="149"/>
      <c r="AI88" s="149"/>
      <c r="AJ88" s="149"/>
    </row>
    <row r="89" spans="2:36" x14ac:dyDescent="0.25">
      <c r="B89" s="117" t="s">
        <v>98</v>
      </c>
      <c r="C89" s="88"/>
      <c r="E89" s="89"/>
      <c r="F89" s="89"/>
      <c r="G89" s="89"/>
      <c r="H89" s="89"/>
      <c r="I89" s="171">
        <f>I87/I$10</f>
        <v>0.12054697526220294</v>
      </c>
      <c r="J89" s="171"/>
      <c r="K89" s="171"/>
      <c r="L89" s="171"/>
      <c r="M89" s="171"/>
      <c r="N89" s="171">
        <f>N87/N$10</f>
        <v>0.12391158740790355</v>
      </c>
      <c r="O89" s="171">
        <f t="shared" ref="O89:X89" si="93">O87/O$10</f>
        <v>0.20706235912847484</v>
      </c>
      <c r="P89" s="171">
        <f t="shared" si="93"/>
        <v>0.2258698940998487</v>
      </c>
      <c r="Q89" s="171">
        <f t="shared" si="93"/>
        <v>0.27677781056358808</v>
      </c>
      <c r="R89" s="171">
        <f t="shared" si="93"/>
        <v>0.26852976913730253</v>
      </c>
      <c r="S89" s="171">
        <f t="shared" si="93"/>
        <v>0.24539162112932605</v>
      </c>
      <c r="T89" s="171">
        <f t="shared" si="93"/>
        <v>0.32078899558785362</v>
      </c>
      <c r="U89" s="171">
        <f t="shared" si="93"/>
        <v>0.31963470319634701</v>
      </c>
      <c r="V89" s="171">
        <f t="shared" si="93"/>
        <v>0.36318525519848771</v>
      </c>
      <c r="W89" s="171">
        <f>W87/W$10</f>
        <v>0.3761478163493841</v>
      </c>
      <c r="X89" s="171">
        <f t="shared" si="93"/>
        <v>0.34620365629611782</v>
      </c>
      <c r="Y89" s="171">
        <f>Y87/Y$10</f>
        <v>0.42333146382501402</v>
      </c>
      <c r="Z89" s="171">
        <f t="shared" ref="Z89:AB89" si="94">Z87/Z$10</f>
        <v>0.39860300011450817</v>
      </c>
      <c r="AA89" s="171">
        <f t="shared" si="94"/>
        <v>0.37212708427219471</v>
      </c>
      <c r="AB89" s="171">
        <f t="shared" si="94"/>
        <v>0.37912856374394838</v>
      </c>
      <c r="AC89" s="171">
        <f>AC87/AC$10</f>
        <v>0.39314330383316115</v>
      </c>
      <c r="AD89" s="171">
        <f>AD87/AD$10</f>
        <v>0.11077669091213109</v>
      </c>
      <c r="AE89" s="171">
        <f>AE87/AE$10</f>
        <v>0.16985665091695362</v>
      </c>
      <c r="AF89" s="171">
        <f t="shared" ref="AF89:AH89" si="95">AF87/AF$10</f>
        <v>0.14149051133450607</v>
      </c>
      <c r="AG89" s="171">
        <f t="shared" si="95"/>
        <v>0.14487905664028511</v>
      </c>
      <c r="AH89" s="171">
        <f t="shared" si="95"/>
        <v>0.14119448423151776</v>
      </c>
      <c r="AI89" s="149"/>
      <c r="AJ89" s="149"/>
    </row>
    <row r="91" spans="2:36" x14ac:dyDescent="0.25">
      <c r="B91" s="1" t="s">
        <v>218</v>
      </c>
      <c r="C91" s="88"/>
      <c r="E91" s="89"/>
      <c r="F91" s="89"/>
      <c r="G91" s="89"/>
      <c r="H91" s="8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>
        <f t="shared" ref="S91:AJ91" si="96">S70+S75+S78-S84</f>
        <v>14008</v>
      </c>
      <c r="T91" s="149">
        <f t="shared" si="96"/>
        <v>4005</v>
      </c>
      <c r="U91" s="149">
        <f t="shared" si="96"/>
        <v>4100</v>
      </c>
      <c r="V91" s="149">
        <f t="shared" si="96"/>
        <v>4519</v>
      </c>
      <c r="W91" s="149">
        <f t="shared" si="96"/>
        <v>4825</v>
      </c>
      <c r="X91" s="149">
        <f t="shared" si="96"/>
        <v>17449</v>
      </c>
      <c r="Y91" s="149">
        <f t="shared" si="96"/>
        <v>5060</v>
      </c>
      <c r="Z91" s="149">
        <f t="shared" si="96"/>
        <v>4792</v>
      </c>
      <c r="AA91" s="149">
        <f t="shared" si="96"/>
        <v>4934</v>
      </c>
      <c r="AB91" s="149">
        <f t="shared" si="96"/>
        <v>4918</v>
      </c>
      <c r="AC91" s="149">
        <f t="shared" si="96"/>
        <v>19704</v>
      </c>
      <c r="AD91" s="149">
        <f t="shared" si="96"/>
        <v>5740</v>
      </c>
      <c r="AE91" s="149">
        <f t="shared" si="96"/>
        <v>6266</v>
      </c>
      <c r="AF91" s="149">
        <f t="shared" si="96"/>
        <v>5966.0875380000007</v>
      </c>
      <c r="AG91" s="149">
        <f t="shared" si="96"/>
        <v>6131.1977156000012</v>
      </c>
      <c r="AH91" s="149">
        <f t="shared" si="96"/>
        <v>24103.285253599995</v>
      </c>
      <c r="AI91" s="149">
        <f t="shared" si="96"/>
        <v>27643.057958880006</v>
      </c>
      <c r="AJ91" s="149">
        <f t="shared" si="96"/>
        <v>31321.827576345608</v>
      </c>
    </row>
    <row r="92" spans="2:36" x14ac:dyDescent="0.25">
      <c r="B92" s="1"/>
      <c r="C92" s="88"/>
      <c r="E92" s="89"/>
      <c r="F92" s="89"/>
      <c r="G92" s="89"/>
      <c r="H92" s="8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71">
        <f>S91/S$10</f>
        <v>0.5103096539162113</v>
      </c>
      <c r="T92" s="171">
        <f t="shared" ref="T92:AI92" si="97">T91/T$10</f>
        <v>0.51972488969634056</v>
      </c>
      <c r="U92" s="171">
        <f t="shared" si="97"/>
        <v>0.50598543749228686</v>
      </c>
      <c r="V92" s="171">
        <f t="shared" si="97"/>
        <v>0.5339083175803403</v>
      </c>
      <c r="W92" s="171">
        <f t="shared" si="97"/>
        <v>0.54031354983202684</v>
      </c>
      <c r="X92" s="171">
        <f t="shared" si="97"/>
        <v>0.52552480197572504</v>
      </c>
      <c r="Y92" s="171">
        <f t="shared" si="97"/>
        <v>0.56758272574312951</v>
      </c>
      <c r="Z92" s="171">
        <f t="shared" si="97"/>
        <v>0.54872323371121035</v>
      </c>
      <c r="AA92" s="171">
        <f t="shared" si="97"/>
        <v>0.55588102748986035</v>
      </c>
      <c r="AB92" s="171">
        <f t="shared" si="97"/>
        <v>0.52910166756320598</v>
      </c>
      <c r="AC92" s="171">
        <f t="shared" si="97"/>
        <v>0.55009910941120632</v>
      </c>
      <c r="AD92" s="171">
        <f t="shared" si="97"/>
        <v>0.47989298553632642</v>
      </c>
      <c r="AE92" s="171">
        <f t="shared" si="97"/>
        <v>0.50180187394890685</v>
      </c>
      <c r="AF92" s="171">
        <f t="shared" si="97"/>
        <v>0.44265804151546206</v>
      </c>
      <c r="AG92" s="171">
        <f t="shared" si="97"/>
        <v>0.42678233588795855</v>
      </c>
      <c r="AH92" s="171">
        <f t="shared" si="97"/>
        <v>0.46093664579093108</v>
      </c>
      <c r="AI92" s="171">
        <f t="shared" si="97"/>
        <v>0.45360000000000006</v>
      </c>
      <c r="AJ92" s="171">
        <f>AJ91/AJ$10</f>
        <v>0.45360000000000006</v>
      </c>
    </row>
    <row r="93" spans="2:36" x14ac:dyDescent="0.25">
      <c r="B93" s="122" t="s">
        <v>100</v>
      </c>
      <c r="C93" s="88"/>
      <c r="E93" s="89"/>
      <c r="F93" s="89"/>
      <c r="G93" s="89"/>
      <c r="H93" s="8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272">
        <v>12547.5</v>
      </c>
      <c r="T93" s="272"/>
      <c r="U93" s="272"/>
      <c r="V93" s="272"/>
      <c r="W93" s="272"/>
      <c r="X93" s="272">
        <v>16448.3</v>
      </c>
      <c r="Y93" s="272"/>
      <c r="Z93" s="272"/>
      <c r="AA93" s="272"/>
      <c r="AB93" s="272"/>
      <c r="AC93" s="272">
        <v>18337.3</v>
      </c>
      <c r="AD93" s="272"/>
      <c r="AE93" s="272"/>
      <c r="AF93" s="272"/>
      <c r="AG93" s="272"/>
      <c r="AH93" s="272">
        <v>23407.3</v>
      </c>
      <c r="AI93" s="272">
        <v>29832.7</v>
      </c>
      <c r="AJ93" s="272">
        <v>34440.1</v>
      </c>
    </row>
    <row r="94" spans="2:36" x14ac:dyDescent="0.25">
      <c r="B94" s="122"/>
      <c r="C94" s="88"/>
      <c r="E94" s="89"/>
      <c r="F94" s="89"/>
      <c r="G94" s="89"/>
      <c r="H94" s="8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272"/>
      <c r="T94" s="272"/>
      <c r="U94" s="272"/>
      <c r="V94" s="272"/>
      <c r="W94" s="272"/>
      <c r="X94" s="272"/>
      <c r="Y94" s="272"/>
      <c r="Z94" s="272"/>
      <c r="AA94" s="272"/>
      <c r="AB94" s="272"/>
      <c r="AC94" s="272"/>
      <c r="AD94" s="272"/>
      <c r="AE94" s="272"/>
      <c r="AF94" s="272"/>
      <c r="AG94" s="272"/>
      <c r="AH94" s="272"/>
      <c r="AI94" s="272"/>
      <c r="AJ94" s="272"/>
    </row>
    <row r="95" spans="2:36" s="1" customFormat="1" x14ac:dyDescent="0.25">
      <c r="B95" s="112" t="s">
        <v>9</v>
      </c>
      <c r="C95" s="113"/>
      <c r="D95" s="112"/>
      <c r="E95" s="114"/>
      <c r="F95" s="114"/>
      <c r="G95" s="114"/>
      <c r="H95" s="114"/>
      <c r="I95" s="158">
        <f t="shared" ref="I95:AH95" si="98">I63+I122+I123</f>
        <v>9252</v>
      </c>
      <c r="J95" s="158">
        <f t="shared" si="98"/>
        <v>0</v>
      </c>
      <c r="K95" s="158">
        <f t="shared" si="98"/>
        <v>0</v>
      </c>
      <c r="L95" s="158">
        <f t="shared" si="98"/>
        <v>0</v>
      </c>
      <c r="M95" s="158">
        <f t="shared" si="98"/>
        <v>0</v>
      </c>
      <c r="N95" s="158">
        <f t="shared" si="98"/>
        <v>10919</v>
      </c>
      <c r="O95" s="158">
        <f t="shared" si="98"/>
        <v>3370</v>
      </c>
      <c r="P95" s="158">
        <f t="shared" si="98"/>
        <v>3479</v>
      </c>
      <c r="Q95" s="158">
        <f t="shared" si="98"/>
        <v>3629</v>
      </c>
      <c r="R95" s="158">
        <f t="shared" si="98"/>
        <v>4082</v>
      </c>
      <c r="S95" s="158">
        <f t="shared" si="98"/>
        <v>14560</v>
      </c>
      <c r="T95" s="158">
        <f t="shared" si="98"/>
        <v>4395</v>
      </c>
      <c r="U95" s="158">
        <f t="shared" si="98"/>
        <v>4658</v>
      </c>
      <c r="V95" s="158">
        <f t="shared" si="98"/>
        <v>4954</v>
      </c>
      <c r="W95" s="158">
        <f t="shared" si="98"/>
        <v>5202</v>
      </c>
      <c r="X95" s="158">
        <f t="shared" si="98"/>
        <v>19209</v>
      </c>
      <c r="Y95" s="158">
        <f t="shared" si="98"/>
        <v>5135</v>
      </c>
      <c r="Z95" s="158">
        <f t="shared" si="98"/>
        <v>4947</v>
      </c>
      <c r="AA95" s="158">
        <f t="shared" si="98"/>
        <v>4788</v>
      </c>
      <c r="AB95" s="158">
        <f t="shared" si="98"/>
        <v>5172</v>
      </c>
      <c r="AC95" s="158">
        <f t="shared" si="98"/>
        <v>20042</v>
      </c>
      <c r="AD95" s="158">
        <f t="shared" si="98"/>
        <v>4428</v>
      </c>
      <c r="AE95" s="158">
        <f t="shared" si="98"/>
        <v>5495</v>
      </c>
      <c r="AF95" s="158">
        <f t="shared" si="98"/>
        <v>5811.1659799999998</v>
      </c>
      <c r="AG95" s="158">
        <f t="shared" si="98"/>
        <v>6067.5722999999998</v>
      </c>
      <c r="AH95" s="158">
        <f t="shared" si="98"/>
        <v>21801.738279999998</v>
      </c>
      <c r="AI95" s="158"/>
      <c r="AJ95" s="158"/>
    </row>
    <row r="96" spans="2:36" x14ac:dyDescent="0.25">
      <c r="B96" s="111" t="s">
        <v>91</v>
      </c>
      <c r="I96" s="150" t="s">
        <v>90</v>
      </c>
      <c r="J96" s="150"/>
      <c r="K96" s="150"/>
      <c r="L96" s="150"/>
      <c r="M96" s="150"/>
      <c r="N96" s="147">
        <f>N95/I95-1</f>
        <v>0.18017725897103332</v>
      </c>
      <c r="O96" s="166"/>
      <c r="P96" s="166"/>
      <c r="Q96" s="166"/>
      <c r="R96" s="166"/>
      <c r="S96" s="147">
        <f>S95/N95-1</f>
        <v>0.33345544463778731</v>
      </c>
      <c r="T96" s="147">
        <f>T95/O95-1</f>
        <v>0.30415430267062304</v>
      </c>
      <c r="U96" s="147">
        <f t="shared" ref="U96" si="99">U95/P95-1</f>
        <v>0.33889048577177361</v>
      </c>
      <c r="V96" s="147">
        <f>V95/Q95-1</f>
        <v>0.36511435657205848</v>
      </c>
      <c r="W96" s="147">
        <f>W95/R95-1</f>
        <v>0.27437530622243989</v>
      </c>
      <c r="X96" s="147">
        <f>X95/S95-1</f>
        <v>0.31929945054945064</v>
      </c>
      <c r="Y96" s="147">
        <f>Y95/T95-1</f>
        <v>0.16837315130830488</v>
      </c>
      <c r="Z96" s="147">
        <f t="shared" ref="Z96" si="100">Z95/U95-1</f>
        <v>6.2043795620438047E-2</v>
      </c>
      <c r="AA96" s="147">
        <f t="shared" ref="AA96:AH96" si="101">AA95/V95-1</f>
        <v>-3.3508276140492566E-2</v>
      </c>
      <c r="AB96" s="147">
        <f t="shared" si="101"/>
        <v>-5.7670126874279637E-3</v>
      </c>
      <c r="AC96" s="147">
        <f t="shared" si="101"/>
        <v>4.3365089281066194E-2</v>
      </c>
      <c r="AD96" s="147">
        <f t="shared" si="101"/>
        <v>-0.13768257059396305</v>
      </c>
      <c r="AE96" s="147">
        <f t="shared" si="101"/>
        <v>0.11077420658985249</v>
      </c>
      <c r="AF96" s="147">
        <f t="shared" si="101"/>
        <v>0.213693813700919</v>
      </c>
      <c r="AG96" s="147">
        <f t="shared" si="101"/>
        <v>0.17315783062645007</v>
      </c>
      <c r="AH96" s="147">
        <f t="shared" si="101"/>
        <v>8.7802528689751469E-2</v>
      </c>
      <c r="AI96" s="149"/>
      <c r="AJ96" s="149"/>
    </row>
    <row r="97" spans="2:36" x14ac:dyDescent="0.25">
      <c r="B97" s="117" t="s">
        <v>99</v>
      </c>
      <c r="I97" s="171">
        <f>I95/I$10</f>
        <v>0.40943488073638096</v>
      </c>
      <c r="J97" s="171"/>
      <c r="K97" s="171"/>
      <c r="L97" s="171"/>
      <c r="M97" s="171"/>
      <c r="N97" s="171">
        <f>N95/N$10</f>
        <v>0.45709142665773611</v>
      </c>
      <c r="O97" s="171">
        <f t="shared" ref="O97:X97" si="102">O95/O$10</f>
        <v>0.50638617580766343</v>
      </c>
      <c r="P97" s="171">
        <f t="shared" si="102"/>
        <v>0.52632375189107417</v>
      </c>
      <c r="Q97" s="171">
        <f t="shared" si="102"/>
        <v>0.53540867512540569</v>
      </c>
      <c r="R97" s="171">
        <f t="shared" si="102"/>
        <v>0.55110031051707842</v>
      </c>
      <c r="S97" s="171">
        <f t="shared" si="102"/>
        <v>0.53041894353369767</v>
      </c>
      <c r="T97" s="171">
        <f t="shared" si="102"/>
        <v>0.57033480404879311</v>
      </c>
      <c r="U97" s="171">
        <f t="shared" si="102"/>
        <v>0.57484882142416394</v>
      </c>
      <c r="V97" s="171">
        <f t="shared" si="102"/>
        <v>0.58530245746691867</v>
      </c>
      <c r="W97" s="171">
        <f>W95/W$10</f>
        <v>0.58253079507278838</v>
      </c>
      <c r="X97" s="171">
        <f t="shared" si="102"/>
        <v>0.57853206035599192</v>
      </c>
      <c r="Y97" s="171">
        <f>Y95/Y$10</f>
        <v>0.57599551318003361</v>
      </c>
      <c r="Z97" s="171">
        <f t="shared" ref="Z97:AB97" si="103">Z95/Z$10</f>
        <v>0.56647200274819653</v>
      </c>
      <c r="AA97" s="171">
        <f t="shared" si="103"/>
        <v>0.5394321766561514</v>
      </c>
      <c r="AB97" s="171">
        <f t="shared" si="103"/>
        <v>0.55642818719741793</v>
      </c>
      <c r="AC97" s="171">
        <f t="shared" ref="AC97:AH97" si="104">AC95/AC$10</f>
        <v>0.55953544208381023</v>
      </c>
      <c r="AD97" s="171">
        <f t="shared" si="104"/>
        <v>0.37020316027088035</v>
      </c>
      <c r="AE97" s="171">
        <f t="shared" si="104"/>
        <v>0.44005765996636503</v>
      </c>
      <c r="AF97" s="171">
        <f t="shared" si="104"/>
        <v>0.4311635280648945</v>
      </c>
      <c r="AG97" s="171">
        <f t="shared" si="104"/>
        <v>0.42235347797940986</v>
      </c>
      <c r="AH97" s="171">
        <f t="shared" si="104"/>
        <v>0.41692325379977074</v>
      </c>
      <c r="AI97" s="149"/>
      <c r="AJ97" s="149"/>
    </row>
    <row r="98" spans="2:36" x14ac:dyDescent="0.25">
      <c r="B98" s="117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171"/>
      <c r="AH98" s="171"/>
      <c r="AI98" s="149"/>
      <c r="AJ98" s="149"/>
    </row>
    <row r="99" spans="2:36" x14ac:dyDescent="0.25">
      <c r="B99" s="268" t="s">
        <v>237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269">
        <f t="shared" ref="S99:AJ99" si="105">S70+S124</f>
        <v>21832</v>
      </c>
      <c r="T99" s="269">
        <f t="shared" si="105"/>
        <v>5928</v>
      </c>
      <c r="U99" s="269">
        <f t="shared" si="105"/>
        <v>6168</v>
      </c>
      <c r="V99" s="269">
        <f t="shared" si="105"/>
        <v>6399</v>
      </c>
      <c r="W99" s="269">
        <f t="shared" si="105"/>
        <v>6668</v>
      </c>
      <c r="X99" s="269">
        <f t="shared" si="105"/>
        <v>25163</v>
      </c>
      <c r="Y99" s="269">
        <f t="shared" si="105"/>
        <v>6421</v>
      </c>
      <c r="Z99" s="269">
        <f t="shared" si="105"/>
        <v>6258</v>
      </c>
      <c r="AA99" s="269">
        <f t="shared" si="105"/>
        <v>6419</v>
      </c>
      <c r="AB99" s="269">
        <f t="shared" si="105"/>
        <v>6566</v>
      </c>
      <c r="AC99" s="269">
        <f t="shared" si="105"/>
        <v>25664</v>
      </c>
      <c r="AD99" s="269">
        <f t="shared" si="105"/>
        <v>8894</v>
      </c>
      <c r="AE99" s="269">
        <f t="shared" si="105"/>
        <v>9640</v>
      </c>
      <c r="AF99" s="269">
        <f t="shared" si="105"/>
        <v>9870.2628000000004</v>
      </c>
      <c r="AG99" s="269">
        <f t="shared" si="105"/>
        <v>10117.423000000001</v>
      </c>
      <c r="AH99" s="269">
        <f t="shared" si="105"/>
        <v>38521.685799999992</v>
      </c>
      <c r="AI99" s="269">
        <f t="shared" si="105"/>
        <v>41908.402332000012</v>
      </c>
      <c r="AJ99" s="269">
        <f t="shared" si="105"/>
        <v>45787.889971840006</v>
      </c>
    </row>
    <row r="100" spans="2:36" x14ac:dyDescent="0.25">
      <c r="B100" s="117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270">
        <f>S99/S$10</f>
        <v>0.79533697632058287</v>
      </c>
      <c r="T100" s="270">
        <f t="shared" ref="T100:AJ100" si="106">T99/T$10</f>
        <v>0.76927069815728</v>
      </c>
      <c r="U100" s="270">
        <f t="shared" si="106"/>
        <v>0.76119955572010367</v>
      </c>
      <c r="V100" s="270">
        <f t="shared" si="106"/>
        <v>0.75602551984877131</v>
      </c>
      <c r="W100" s="270">
        <f t="shared" si="106"/>
        <v>0.74669652855543112</v>
      </c>
      <c r="X100" s="270">
        <f t="shared" si="106"/>
        <v>0.75785320603559925</v>
      </c>
      <c r="Y100" s="270">
        <f t="shared" si="106"/>
        <v>0.72024677509814916</v>
      </c>
      <c r="Z100" s="270">
        <f t="shared" si="106"/>
        <v>0.71659223634489866</v>
      </c>
      <c r="AA100" s="270">
        <f t="shared" si="106"/>
        <v>0.72318611987381698</v>
      </c>
      <c r="AB100" s="270">
        <f t="shared" si="106"/>
        <v>0.70640129101667559</v>
      </c>
      <c r="AC100" s="270">
        <f t="shared" si="106"/>
        <v>0.71649124766185546</v>
      </c>
      <c r="AD100" s="270">
        <f t="shared" si="106"/>
        <v>0.74358331243207088</v>
      </c>
      <c r="AE100" s="270">
        <f t="shared" si="106"/>
        <v>0.77200288299831821</v>
      </c>
      <c r="AF100" s="270">
        <f t="shared" si="106"/>
        <v>0.73233105824585043</v>
      </c>
      <c r="AG100" s="270">
        <f t="shared" si="106"/>
        <v>0.70425675722708325</v>
      </c>
      <c r="AH100" s="270">
        <f t="shared" si="106"/>
        <v>0.73666541535918406</v>
      </c>
      <c r="AI100" s="270">
        <f t="shared" si="106"/>
        <v>0.68768264806566315</v>
      </c>
      <c r="AJ100" s="270">
        <f t="shared" si="106"/>
        <v>0.66309626539518307</v>
      </c>
    </row>
    <row r="101" spans="2:36" x14ac:dyDescent="0.25">
      <c r="B101" s="1" t="s">
        <v>83</v>
      </c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57"/>
      <c r="AF101" s="149"/>
      <c r="AG101" s="149"/>
      <c r="AH101" s="149"/>
      <c r="AI101" s="149"/>
      <c r="AJ101" s="149"/>
    </row>
    <row r="102" spans="2:36" x14ac:dyDescent="0.25">
      <c r="B102" t="s">
        <v>84</v>
      </c>
      <c r="I102" s="157">
        <f>'Raw Input'!I37</f>
        <v>0.67700000000000005</v>
      </c>
      <c r="J102" s="157"/>
      <c r="K102" s="157"/>
      <c r="L102" s="157"/>
      <c r="M102" s="157"/>
      <c r="N102" s="157">
        <f>'Raw Input'!N37</f>
        <v>0.66200000000000003</v>
      </c>
      <c r="O102" s="157">
        <f>'Raw Input'!O37</f>
        <v>0.32</v>
      </c>
      <c r="P102" s="157">
        <f>'Raw Input'!P37</f>
        <v>0.34599999999999997</v>
      </c>
      <c r="Q102" s="157">
        <f>'Raw Input'!Q37</f>
        <v>0.438</v>
      </c>
      <c r="R102" s="157">
        <f>'Raw Input'!R37</f>
        <v>0.46600000000000014</v>
      </c>
      <c r="S102" s="157">
        <f>'Raw Input'!S37</f>
        <v>1.57</v>
      </c>
      <c r="T102" s="157">
        <f>'Raw Input'!T37</f>
        <v>0.58199999999999996</v>
      </c>
      <c r="U102" s="157">
        <f>'Raw Input'!U37</f>
        <v>0.61599999999999999</v>
      </c>
      <c r="V102" s="157">
        <f>'Raw Input'!V37</f>
        <v>0.74</v>
      </c>
      <c r="W102" s="157">
        <f>'Raw Input'!W37</f>
        <v>0.80199999999999994</v>
      </c>
      <c r="X102" s="157">
        <f>'Raw Input'!X37</f>
        <v>2.74</v>
      </c>
      <c r="Y102" s="157">
        <f>'Raw Input'!Y37</f>
        <v>0.90300000000000002</v>
      </c>
      <c r="Z102" s="157">
        <f>'Raw Input'!Z37</f>
        <v>0.83899999999999997</v>
      </c>
      <c r="AA102" s="157">
        <f>'Raw Input'!AA37</f>
        <v>0.8</v>
      </c>
      <c r="AB102" s="157">
        <f>'Raw Input'!AB37</f>
        <v>0.84799999999999986</v>
      </c>
      <c r="AC102" s="157">
        <f>'Raw Input'!AC37</f>
        <v>3.39</v>
      </c>
      <c r="AD102" s="157">
        <f>'Raw Input'!AD37</f>
        <v>0.29299999999999998</v>
      </c>
      <c r="AE102" s="157">
        <f>'Raw Input'!AE37</f>
        <v>0.45600000000000002</v>
      </c>
      <c r="AF102" s="157">
        <f>AF$87/$AE$109</f>
        <v>0.41010553075268807</v>
      </c>
      <c r="AG102" s="157">
        <f>AG$87/$AE$109</f>
        <v>0.44760150873118276</v>
      </c>
      <c r="AH102" s="157">
        <f>AH$87/$AE$109</f>
        <v>1.5878145663655914</v>
      </c>
      <c r="AI102" s="157"/>
      <c r="AJ102" s="157"/>
    </row>
    <row r="103" spans="2:36" s="1" customFormat="1" x14ac:dyDescent="0.25">
      <c r="B103" s="121" t="s">
        <v>85</v>
      </c>
      <c r="C103" s="121"/>
      <c r="D103" s="121"/>
      <c r="E103" s="121"/>
      <c r="F103" s="121"/>
      <c r="G103" s="121"/>
      <c r="H103" s="121"/>
      <c r="I103" s="165">
        <f>'Raw Input'!I38</f>
        <v>0.64300000000000002</v>
      </c>
      <c r="J103" s="165"/>
      <c r="K103" s="165"/>
      <c r="L103" s="165"/>
      <c r="M103" s="165"/>
      <c r="N103" s="165">
        <f>'Raw Input'!N38</f>
        <v>0.63300000000000001</v>
      </c>
      <c r="O103" s="165">
        <f>'Raw Input'!O38</f>
        <v>0.30499999999999999</v>
      </c>
      <c r="P103" s="165">
        <f>'Raw Input'!P38</f>
        <v>0.33</v>
      </c>
      <c r="Q103" s="165">
        <f>'Raw Input'!Q38</f>
        <v>0.42</v>
      </c>
      <c r="R103" s="165">
        <f>'Raw Input'!R38</f>
        <v>0.44500000000000001</v>
      </c>
      <c r="S103" s="165">
        <f>'Raw Input'!S38</f>
        <v>1.5</v>
      </c>
      <c r="T103" s="165">
        <f>'Raw Input'!T38</f>
        <v>0.55900000000000005</v>
      </c>
      <c r="U103" s="165">
        <f>'Raw Input'!U38</f>
        <v>0.59299999999999997</v>
      </c>
      <c r="V103" s="165">
        <f>'Raw Input'!V38</f>
        <v>0.71499999999999997</v>
      </c>
      <c r="W103" s="165">
        <f>'Raw Input'!W38</f>
        <v>0.78300000000000003</v>
      </c>
      <c r="X103" s="165">
        <f>'Raw Input'!X38</f>
        <v>2.65</v>
      </c>
      <c r="Y103" s="165">
        <f>'Raw Input'!Y38</f>
        <v>0.88</v>
      </c>
      <c r="Z103" s="165">
        <f>'Raw Input'!Z38</f>
        <v>0.81499999999999995</v>
      </c>
      <c r="AA103" s="165">
        <f>'Raw Input'!AA38</f>
        <v>0.77400000000000002</v>
      </c>
      <c r="AB103" s="165">
        <f>'Raw Input'!AB38</f>
        <v>0.83099999999999985</v>
      </c>
      <c r="AC103" s="165">
        <f>'Raw Input'!AC38</f>
        <v>3.3</v>
      </c>
      <c r="AD103" s="165">
        <f>'Raw Input'!AD38</f>
        <v>0.28399999999999997</v>
      </c>
      <c r="AE103" s="165">
        <f>'Raw Input'!AE38</f>
        <v>0.442</v>
      </c>
      <c r="AF103" s="165">
        <f>AF$87/$AE$110</f>
        <v>0.39728973291666658</v>
      </c>
      <c r="AG103" s="165">
        <f>AG$87/$AE$110</f>
        <v>0.43361396158333332</v>
      </c>
      <c r="AH103" s="165">
        <f>AH$87/$AE$110</f>
        <v>1.5381953611666666</v>
      </c>
      <c r="AI103" s="165"/>
      <c r="AJ103" s="165"/>
    </row>
    <row r="105" spans="2:36" x14ac:dyDescent="0.25">
      <c r="B105" s="121" t="s">
        <v>119</v>
      </c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57">
        <f>S91/S110</f>
        <v>3.2652680652680655</v>
      </c>
      <c r="T105" s="157">
        <f t="shared" ref="T105:AG105" si="107">T91/T110</f>
        <v>0.93356643356643354</v>
      </c>
      <c r="U105" s="157">
        <f t="shared" si="107"/>
        <v>0.96698113207547165</v>
      </c>
      <c r="V105" s="157">
        <f t="shared" si="107"/>
        <v>1.0509302325581396</v>
      </c>
      <c r="W105" s="157">
        <f t="shared" si="107"/>
        <v>1.1406619385342789</v>
      </c>
      <c r="X105" s="157">
        <f>X91/X110</f>
        <v>4.1250591016548466</v>
      </c>
      <c r="Y105" s="157">
        <f t="shared" si="107"/>
        <v>1.1794871794871795</v>
      </c>
      <c r="Z105" s="157">
        <f t="shared" si="107"/>
        <v>1.122248243559719</v>
      </c>
      <c r="AA105" s="157">
        <f t="shared" si="107"/>
        <v>1.155503512880562</v>
      </c>
      <c r="AB105" s="157">
        <f t="shared" si="107"/>
        <v>1.1517564402810305</v>
      </c>
      <c r="AC105" s="157">
        <f t="shared" si="107"/>
        <v>4.614519906323185</v>
      </c>
      <c r="AD105" s="157">
        <f t="shared" si="107"/>
        <v>1.2291220556745182</v>
      </c>
      <c r="AE105" s="157">
        <f t="shared" si="107"/>
        <v>1.3054166666666667</v>
      </c>
      <c r="AF105" s="157">
        <f>AF91/AF110</f>
        <v>1.2429349037500002</v>
      </c>
      <c r="AG105" s="157">
        <f t="shared" si="107"/>
        <v>1.2773328574166669</v>
      </c>
      <c r="AH105" s="157">
        <f>AH91/AH110</f>
        <v>5.0215177611666659</v>
      </c>
      <c r="AI105" s="157">
        <f>AI91/AH110</f>
        <v>5.7589704081000015</v>
      </c>
      <c r="AJ105" s="157">
        <f>AJ91/AH110</f>
        <v>6.5253807450720016</v>
      </c>
    </row>
    <row r="106" spans="2:36" x14ac:dyDescent="0.25">
      <c r="B106" s="122" t="s">
        <v>100</v>
      </c>
      <c r="C106" s="271"/>
      <c r="D106" s="271"/>
      <c r="E106" s="271"/>
      <c r="F106" s="271"/>
      <c r="G106" s="271"/>
      <c r="H106" s="271"/>
      <c r="I106" s="272"/>
      <c r="J106" s="272"/>
      <c r="K106" s="272"/>
      <c r="L106" s="272"/>
      <c r="M106" s="272"/>
      <c r="N106" s="272"/>
      <c r="O106" s="272"/>
      <c r="P106" s="272"/>
      <c r="Q106" s="272"/>
      <c r="R106" s="272"/>
      <c r="S106" s="273">
        <v>2.8</v>
      </c>
      <c r="T106" s="273"/>
      <c r="U106" s="273"/>
      <c r="V106" s="273"/>
      <c r="W106" s="273"/>
      <c r="X106" s="273">
        <v>3.76</v>
      </c>
      <c r="Y106" s="273"/>
      <c r="Z106" s="273"/>
      <c r="AA106" s="273"/>
      <c r="AB106" s="273"/>
      <c r="AC106" s="273">
        <v>4.22</v>
      </c>
      <c r="AD106" s="273"/>
      <c r="AE106" s="273"/>
      <c r="AF106" s="273"/>
      <c r="AG106" s="273"/>
      <c r="AH106" s="273">
        <v>4.8</v>
      </c>
      <c r="AI106" s="273">
        <v>6.11</v>
      </c>
      <c r="AJ106" s="273">
        <v>7.08</v>
      </c>
    </row>
    <row r="107" spans="2:36" x14ac:dyDescent="0.25">
      <c r="B107" s="122"/>
      <c r="C107" s="271"/>
      <c r="D107" s="271"/>
      <c r="E107" s="271"/>
      <c r="F107" s="271"/>
      <c r="G107" s="271"/>
      <c r="H107" s="271"/>
      <c r="I107" s="272"/>
      <c r="J107" s="272"/>
      <c r="K107" s="272"/>
      <c r="L107" s="272"/>
      <c r="M107" s="272"/>
      <c r="N107" s="272"/>
      <c r="O107" s="272"/>
      <c r="P107" s="272"/>
      <c r="Q107" s="272"/>
      <c r="R107" s="272"/>
      <c r="S107" s="273"/>
      <c r="T107" s="273"/>
      <c r="U107" s="273"/>
      <c r="V107" s="273"/>
      <c r="W107" s="273"/>
      <c r="X107" s="273"/>
      <c r="Y107" s="273"/>
      <c r="Z107" s="273"/>
      <c r="AA107" s="273"/>
      <c r="AB107" s="273"/>
      <c r="AC107" s="273"/>
      <c r="AD107" s="273"/>
      <c r="AE107" s="273"/>
      <c r="AF107" s="273"/>
      <c r="AG107" s="273"/>
      <c r="AH107" s="273"/>
      <c r="AI107" s="273"/>
      <c r="AJ107" s="273"/>
    </row>
    <row r="108" spans="2:36" x14ac:dyDescent="0.25">
      <c r="B108" s="1" t="s">
        <v>86</v>
      </c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  <c r="AI108" s="149"/>
      <c r="AJ108" s="149"/>
    </row>
    <row r="109" spans="2:36" x14ac:dyDescent="0.25">
      <c r="B109" t="s">
        <v>84</v>
      </c>
      <c r="I109" s="149">
        <f>'Raw Input'!I41</f>
        <v>3980</v>
      </c>
      <c r="J109" s="149"/>
      <c r="K109" s="149"/>
      <c r="L109" s="149"/>
      <c r="M109" s="149"/>
      <c r="N109" s="149">
        <f>'Raw Input'!N41</f>
        <v>4020</v>
      </c>
      <c r="O109" s="149">
        <f>'Raw Input'!O41</f>
        <v>4070</v>
      </c>
      <c r="P109" s="149">
        <f>'Raw Input'!P41</f>
        <v>4090</v>
      </c>
      <c r="Q109" s="149">
        <f>'Raw Input'!Q41</f>
        <v>4110</v>
      </c>
      <c r="R109" s="149">
        <f>'Raw Input'!R41</f>
        <v>4100</v>
      </c>
      <c r="S109" s="149">
        <f>'Raw Input'!S41</f>
        <v>4100</v>
      </c>
      <c r="T109" s="149">
        <f>'Raw Input'!T41</f>
        <v>4120</v>
      </c>
      <c r="U109" s="149">
        <f>'Raw Input'!U41</f>
        <v>4080</v>
      </c>
      <c r="V109" s="149">
        <f>'Raw Input'!V41</f>
        <v>4050</v>
      </c>
      <c r="W109" s="149">
        <f>'Raw Input'!W41</f>
        <v>4090</v>
      </c>
      <c r="X109" s="149">
        <f>'Raw Input'!X41</f>
        <v>4090</v>
      </c>
      <c r="Y109" s="149">
        <f>'Raw Input'!Y41</f>
        <v>4180</v>
      </c>
      <c r="Z109" s="149">
        <f>'Raw Input'!Z41</f>
        <v>4150</v>
      </c>
      <c r="AA109" s="149">
        <f>'Raw Input'!AA41</f>
        <v>4130</v>
      </c>
      <c r="AB109" s="149">
        <f>'Raw Input'!AB41</f>
        <v>4150</v>
      </c>
      <c r="AC109" s="149">
        <f>'Raw Input'!AC41</f>
        <v>4150</v>
      </c>
      <c r="AD109" s="149">
        <f>'Raw Input'!AD41</f>
        <v>4520</v>
      </c>
      <c r="AE109" s="149">
        <f>'Raw Input'!AE41</f>
        <v>4650</v>
      </c>
      <c r="AF109" s="149">
        <f t="shared" ref="AF109:AH110" si="108">AE109</f>
        <v>4650</v>
      </c>
      <c r="AG109" s="149">
        <f t="shared" si="108"/>
        <v>4650</v>
      </c>
      <c r="AH109" s="149">
        <f t="shared" si="108"/>
        <v>4650</v>
      </c>
      <c r="AI109" s="149">
        <f>AH109</f>
        <v>4650</v>
      </c>
      <c r="AJ109" s="149">
        <f>AI109</f>
        <v>4650</v>
      </c>
    </row>
    <row r="110" spans="2:36" x14ac:dyDescent="0.25">
      <c r="B110" t="s">
        <v>85</v>
      </c>
      <c r="I110" s="149">
        <f>'Raw Input'!I42</f>
        <v>4190</v>
      </c>
      <c r="J110" s="149"/>
      <c r="K110" s="149"/>
      <c r="L110" s="149"/>
      <c r="M110" s="149"/>
      <c r="N110" s="149">
        <f>'Raw Input'!N42</f>
        <v>4210</v>
      </c>
      <c r="O110" s="149">
        <f>'Raw Input'!O42</f>
        <v>4280</v>
      </c>
      <c r="P110" s="149">
        <f>'Raw Input'!P42</f>
        <v>4290</v>
      </c>
      <c r="Q110" s="149">
        <f>'Raw Input'!Q42</f>
        <v>4290</v>
      </c>
      <c r="R110" s="149">
        <f>'Raw Input'!R42</f>
        <v>4290</v>
      </c>
      <c r="S110" s="149">
        <f>'Raw Input'!S42</f>
        <v>4290</v>
      </c>
      <c r="T110" s="149">
        <f>'Raw Input'!T42</f>
        <v>4290</v>
      </c>
      <c r="U110" s="149">
        <f>'Raw Input'!U42</f>
        <v>4240</v>
      </c>
      <c r="V110" s="149">
        <f>'Raw Input'!V42</f>
        <v>4300</v>
      </c>
      <c r="W110" s="149">
        <f>'Raw Input'!W42</f>
        <v>4230</v>
      </c>
      <c r="X110" s="149">
        <f>'Raw Input'!X42</f>
        <v>4230</v>
      </c>
      <c r="Y110" s="149">
        <f>'Raw Input'!Y42</f>
        <v>4290</v>
      </c>
      <c r="Z110" s="149">
        <f>'Raw Input'!Z42</f>
        <v>4270</v>
      </c>
      <c r="AA110" s="149">
        <f>'Raw Input'!AA42</f>
        <v>4270</v>
      </c>
      <c r="AB110" s="149">
        <f>'Raw Input'!AB42</f>
        <v>4270</v>
      </c>
      <c r="AC110" s="149">
        <f>'Raw Input'!AC42</f>
        <v>4270</v>
      </c>
      <c r="AD110" s="149">
        <f>'Raw Input'!AD42</f>
        <v>4670</v>
      </c>
      <c r="AE110" s="149">
        <f>'Raw Input'!AE42</f>
        <v>4800</v>
      </c>
      <c r="AF110" s="149">
        <f t="shared" si="108"/>
        <v>4800</v>
      </c>
      <c r="AG110" s="149">
        <f t="shared" si="108"/>
        <v>4800</v>
      </c>
      <c r="AH110" s="149">
        <f t="shared" si="108"/>
        <v>4800</v>
      </c>
      <c r="AI110" s="149">
        <f>AH110</f>
        <v>4800</v>
      </c>
      <c r="AJ110" s="149">
        <f>AI110</f>
        <v>4800</v>
      </c>
    </row>
    <row r="111" spans="2:36" x14ac:dyDescent="0.25"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  <c r="AE111" s="149"/>
      <c r="AF111" s="149"/>
      <c r="AG111" s="149"/>
      <c r="AH111" s="149"/>
      <c r="AI111" s="149"/>
      <c r="AJ111" s="149"/>
    </row>
    <row r="112" spans="2:36" x14ac:dyDescent="0.25"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  <c r="AI112" s="149"/>
      <c r="AJ112" s="149"/>
    </row>
    <row r="113" spans="2:36" x14ac:dyDescent="0.25"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 t="s">
        <v>213</v>
      </c>
      <c r="Y113" s="149"/>
      <c r="Z113" s="149"/>
      <c r="AA113" s="149"/>
      <c r="AB113" s="149"/>
      <c r="AC113" s="149"/>
      <c r="AD113" s="149"/>
      <c r="AE113" s="149"/>
      <c r="AF113" s="149"/>
      <c r="AG113" s="149"/>
      <c r="AH113" s="149"/>
      <c r="AI113" s="149"/>
      <c r="AJ113" s="149"/>
    </row>
    <row r="114" spans="2:36" x14ac:dyDescent="0.25"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 t="s">
        <v>214</v>
      </c>
      <c r="AD114" s="149"/>
      <c r="AE114" s="149"/>
      <c r="AF114" s="149"/>
      <c r="AG114" s="149"/>
      <c r="AH114" s="149"/>
      <c r="AI114" s="149"/>
      <c r="AJ114" s="149"/>
    </row>
    <row r="115" spans="2:36" x14ac:dyDescent="0.25">
      <c r="B115" s="88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  <c r="AE115" s="149"/>
      <c r="AF115" s="149"/>
      <c r="AG115" s="149"/>
      <c r="AH115" s="149"/>
      <c r="AI115" s="149"/>
      <c r="AJ115" s="149"/>
    </row>
    <row r="116" spans="2:36" x14ac:dyDescent="0.25">
      <c r="B116" s="88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</row>
    <row r="117" spans="2:36" x14ac:dyDescent="0.25">
      <c r="B117" s="88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</row>
    <row r="118" spans="2:36" x14ac:dyDescent="0.25">
      <c r="B118" s="96" t="s">
        <v>87</v>
      </c>
      <c r="C118" s="97"/>
      <c r="D118" s="97"/>
      <c r="E118" s="97"/>
      <c r="F118" s="97"/>
      <c r="G118" s="97"/>
      <c r="H118" s="97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  <c r="AD118" s="156"/>
      <c r="AE118" s="156"/>
      <c r="AF118" s="156"/>
      <c r="AG118" s="156"/>
      <c r="AH118" s="156"/>
      <c r="AI118" s="156"/>
      <c r="AJ118" s="156"/>
    </row>
    <row r="119" spans="2:36" x14ac:dyDescent="0.25">
      <c r="B119" s="115" t="s">
        <v>161</v>
      </c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  <c r="AF119" s="149"/>
      <c r="AG119" s="149"/>
      <c r="AH119" s="149"/>
      <c r="AI119" s="149"/>
      <c r="AJ119" s="149"/>
    </row>
    <row r="120" spans="2:36" x14ac:dyDescent="0.25">
      <c r="B120" t="s">
        <v>82</v>
      </c>
      <c r="I120" s="149">
        <f>'Raw Input'!I47</f>
        <v>2724</v>
      </c>
      <c r="J120" s="149"/>
      <c r="K120" s="149"/>
      <c r="L120" s="149"/>
      <c r="M120" s="149"/>
      <c r="N120" s="149">
        <f>'Raw Input'!N47</f>
        <v>2960</v>
      </c>
      <c r="O120" s="149">
        <f>'Raw Input'!O47</f>
        <v>1378</v>
      </c>
      <c r="P120" s="149">
        <f>'Raw Input'!P47</f>
        <v>1493</v>
      </c>
      <c r="Q120" s="149">
        <f>'Raw Input'!Q47</f>
        <v>1876</v>
      </c>
      <c r="R120" s="149">
        <f>'Raw Input'!R47</f>
        <v>1989</v>
      </c>
      <c r="S120" s="149">
        <f>'Raw Input'!S47</f>
        <v>6736</v>
      </c>
      <c r="T120" s="149">
        <f>'Raw Input'!T47</f>
        <v>2472</v>
      </c>
      <c r="U120" s="149">
        <f>'Raw Input'!U47</f>
        <v>2590</v>
      </c>
      <c r="V120" s="149">
        <f>'Raw Input'!V47</f>
        <v>3074</v>
      </c>
      <c r="W120" s="149">
        <f>'Raw Input'!W47</f>
        <v>3359</v>
      </c>
      <c r="X120" s="149">
        <f>'Raw Input'!X47</f>
        <v>11495</v>
      </c>
      <c r="Y120" s="149">
        <f>'Raw Input'!Y47</f>
        <v>3774</v>
      </c>
      <c r="Z120" s="149">
        <f>'Raw Input'!Z47</f>
        <v>3481</v>
      </c>
      <c r="AA120" s="149">
        <f>'Raw Input'!AA47</f>
        <v>3303</v>
      </c>
      <c r="AB120" s="149">
        <f>'Raw Input'!AB47</f>
        <v>3524</v>
      </c>
      <c r="AC120" s="149">
        <f>'Raw Input'!AC47</f>
        <v>14082</v>
      </c>
      <c r="AD120" s="149">
        <f>'Raw Input'!AD47</f>
        <v>1325</v>
      </c>
      <c r="AE120" s="149">
        <f>'Raw Input'!AE47</f>
        <v>2121</v>
      </c>
      <c r="AF120" s="149"/>
      <c r="AG120" s="149"/>
      <c r="AH120" s="149"/>
      <c r="AI120" s="149"/>
      <c r="AJ120" s="149"/>
    </row>
    <row r="121" spans="2:36" x14ac:dyDescent="0.25">
      <c r="B121" s="1" t="s">
        <v>88</v>
      </c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  <c r="AE121" s="149"/>
      <c r="AF121" s="149"/>
      <c r="AG121" s="149"/>
      <c r="AH121" s="149"/>
      <c r="AI121" s="149"/>
      <c r="AJ121" s="149"/>
    </row>
    <row r="122" spans="2:36" x14ac:dyDescent="0.25">
      <c r="B122" s="134" t="s">
        <v>162</v>
      </c>
      <c r="I122" s="149">
        <f>'Raw Input'!I49</f>
        <v>5239</v>
      </c>
      <c r="J122" s="149"/>
      <c r="K122" s="149"/>
      <c r="L122" s="149"/>
      <c r="M122" s="149"/>
      <c r="N122" s="149">
        <f>'Raw Input'!N49</f>
        <v>6335</v>
      </c>
      <c r="O122" s="149">
        <f>'Raw Input'!O49</f>
        <v>1395</v>
      </c>
      <c r="P122" s="149">
        <f>'Raw Input'!P49</f>
        <v>1371</v>
      </c>
      <c r="Q122" s="149">
        <f>'Raw Input'!Q49</f>
        <v>1369</v>
      </c>
      <c r="R122" s="149">
        <f>'Raw Input'!R49</f>
        <v>1367</v>
      </c>
      <c r="S122" s="149">
        <f>'Raw Input'!S49</f>
        <v>5502</v>
      </c>
      <c r="T122" s="149">
        <f>'Raw Input'!T49</f>
        <v>1151</v>
      </c>
      <c r="U122" s="149">
        <f>'Raw Input'!U49</f>
        <v>1129</v>
      </c>
      <c r="V122" s="149">
        <f>'Raw Input'!V49</f>
        <v>1088</v>
      </c>
      <c r="W122" s="149">
        <f>'Raw Input'!W49</f>
        <v>1087</v>
      </c>
      <c r="X122" s="149">
        <f>'Raw Input'!X49</f>
        <v>4455</v>
      </c>
      <c r="Y122" s="149">
        <f>'Raw Input'!Y49</f>
        <v>905</v>
      </c>
      <c r="Z122" s="149">
        <f>'Raw Input'!Z49</f>
        <v>810</v>
      </c>
      <c r="AA122" s="149">
        <f>'Raw Input'!AA49</f>
        <v>810</v>
      </c>
      <c r="AB122" s="149">
        <f>'Raw Input'!AB49</f>
        <v>808</v>
      </c>
      <c r="AC122" s="149">
        <f>'Raw Input'!AC49</f>
        <v>3333</v>
      </c>
      <c r="AD122" s="149">
        <f>'Raw Input'!AD49</f>
        <v>2206</v>
      </c>
      <c r="AE122" s="149">
        <f>'Raw Input'!AE49</f>
        <v>2381</v>
      </c>
      <c r="AF122" s="149">
        <v>2300</v>
      </c>
      <c r="AG122" s="149">
        <v>2300</v>
      </c>
      <c r="AH122" s="149">
        <f>SUM(AD122:AG122)</f>
        <v>9187</v>
      </c>
      <c r="AI122" s="149"/>
      <c r="AJ122" s="149"/>
    </row>
    <row r="123" spans="2:36" x14ac:dyDescent="0.25">
      <c r="B123" t="s">
        <v>163</v>
      </c>
      <c r="I123" s="149">
        <f>'Raw Input'!I50</f>
        <v>569</v>
      </c>
      <c r="J123" s="149"/>
      <c r="K123" s="149"/>
      <c r="L123" s="149"/>
      <c r="M123" s="149"/>
      <c r="N123" s="149">
        <f>'Raw Input'!N50</f>
        <v>570</v>
      </c>
      <c r="O123" s="149">
        <f>'Raw Input'!O50</f>
        <v>138</v>
      </c>
      <c r="P123" s="149">
        <f>'Raw Input'!P50</f>
        <v>133</v>
      </c>
      <c r="Q123" s="149">
        <f>'Raw Input'!Q50</f>
        <v>134</v>
      </c>
      <c r="R123" s="149">
        <f>'Raw Input'!R50</f>
        <v>134</v>
      </c>
      <c r="S123" s="149">
        <f>'Raw Input'!S50</f>
        <v>539</v>
      </c>
      <c r="T123" s="149">
        <f>'Raw Input'!T50</f>
        <v>136</v>
      </c>
      <c r="U123" s="149">
        <f>'Raw Input'!U50</f>
        <v>135</v>
      </c>
      <c r="V123" s="149">
        <f>'Raw Input'!V50</f>
        <v>129</v>
      </c>
      <c r="W123" s="149">
        <f>'Raw Input'!W50</f>
        <v>129</v>
      </c>
      <c r="X123" s="149">
        <f>'Raw Input'!X50</f>
        <v>529</v>
      </c>
      <c r="Y123" s="149">
        <f>'Raw Input'!Y50</f>
        <v>127</v>
      </c>
      <c r="Z123" s="149">
        <f>'Raw Input'!Z50</f>
        <v>129</v>
      </c>
      <c r="AA123" s="149">
        <f>'Raw Input'!AA50</f>
        <v>122</v>
      </c>
      <c r="AB123" s="149">
        <f>'Raw Input'!AB50</f>
        <v>124</v>
      </c>
      <c r="AC123" s="149">
        <f>'Raw Input'!AC50</f>
        <v>502</v>
      </c>
      <c r="AD123" s="149">
        <f>'Raw Input'!AD50</f>
        <v>139</v>
      </c>
      <c r="AE123" s="149">
        <f>'Raw Input'!AE50</f>
        <v>149</v>
      </c>
      <c r="AF123" s="149">
        <v>140</v>
      </c>
      <c r="AG123" s="149">
        <v>140</v>
      </c>
      <c r="AH123" s="149">
        <f>SUM(AD123:AG123)</f>
        <v>568</v>
      </c>
      <c r="AI123" s="149"/>
      <c r="AJ123" s="149"/>
    </row>
    <row r="124" spans="2:36" x14ac:dyDescent="0.25">
      <c r="I124" s="149">
        <f>I122+I123</f>
        <v>5808</v>
      </c>
      <c r="J124" s="149">
        <f t="shared" ref="J124:AH124" si="109">J122+J123</f>
        <v>0</v>
      </c>
      <c r="K124" s="149">
        <f t="shared" si="109"/>
        <v>0</v>
      </c>
      <c r="L124" s="149">
        <f t="shared" si="109"/>
        <v>0</v>
      </c>
      <c r="M124" s="149">
        <f t="shared" si="109"/>
        <v>0</v>
      </c>
      <c r="N124" s="149">
        <f t="shared" si="109"/>
        <v>6905</v>
      </c>
      <c r="O124" s="149">
        <f t="shared" si="109"/>
        <v>1533</v>
      </c>
      <c r="P124" s="149">
        <f t="shared" si="109"/>
        <v>1504</v>
      </c>
      <c r="Q124" s="149">
        <f t="shared" si="109"/>
        <v>1503</v>
      </c>
      <c r="R124" s="149">
        <f t="shared" si="109"/>
        <v>1501</v>
      </c>
      <c r="S124" s="149">
        <f t="shared" si="109"/>
        <v>6041</v>
      </c>
      <c r="T124" s="149">
        <f t="shared" si="109"/>
        <v>1287</v>
      </c>
      <c r="U124" s="149">
        <f t="shared" si="109"/>
        <v>1264</v>
      </c>
      <c r="V124" s="149">
        <f t="shared" si="109"/>
        <v>1217</v>
      </c>
      <c r="W124" s="149">
        <f t="shared" si="109"/>
        <v>1216</v>
      </c>
      <c r="X124" s="149">
        <f t="shared" si="109"/>
        <v>4984</v>
      </c>
      <c r="Y124" s="149">
        <f t="shared" si="109"/>
        <v>1032</v>
      </c>
      <c r="Z124" s="149">
        <f t="shared" si="109"/>
        <v>939</v>
      </c>
      <c r="AA124" s="149">
        <f t="shared" si="109"/>
        <v>932</v>
      </c>
      <c r="AB124" s="149">
        <f t="shared" si="109"/>
        <v>932</v>
      </c>
      <c r="AC124" s="149">
        <f t="shared" si="109"/>
        <v>3835</v>
      </c>
      <c r="AD124" s="149">
        <f t="shared" si="109"/>
        <v>2345</v>
      </c>
      <c r="AE124" s="149">
        <f t="shared" si="109"/>
        <v>2530</v>
      </c>
      <c r="AF124" s="149">
        <f t="shared" si="109"/>
        <v>2440</v>
      </c>
      <c r="AG124" s="149">
        <f t="shared" si="109"/>
        <v>2440</v>
      </c>
      <c r="AH124" s="149">
        <f t="shared" si="109"/>
        <v>9755</v>
      </c>
      <c r="AI124" s="149">
        <v>9000</v>
      </c>
      <c r="AJ124" s="149">
        <v>8500</v>
      </c>
    </row>
    <row r="125" spans="2:36" x14ac:dyDescent="0.25">
      <c r="B125" t="s">
        <v>164</v>
      </c>
      <c r="I125" s="149">
        <f>'Raw Input'!I51</f>
        <v>2185</v>
      </c>
      <c r="J125" s="149"/>
      <c r="K125" s="149"/>
      <c r="L125" s="149"/>
      <c r="M125" s="149"/>
      <c r="N125" s="149">
        <f>'Raw Input'!N51</f>
        <v>1976</v>
      </c>
      <c r="O125" s="149"/>
      <c r="P125" s="149"/>
      <c r="Q125" s="149"/>
      <c r="R125" s="149"/>
      <c r="S125" s="149">
        <f>'Raw Input'!S51</f>
        <v>1704</v>
      </c>
      <c r="T125" s="149"/>
      <c r="U125" s="149"/>
      <c r="V125" s="149"/>
      <c r="W125" s="149"/>
      <c r="X125" s="149">
        <f>'Raw Input'!X51</f>
        <v>1533</v>
      </c>
      <c r="Y125" s="149"/>
      <c r="Z125" s="149"/>
      <c r="AA125" s="149"/>
      <c r="AB125" s="149"/>
      <c r="AC125" s="149">
        <f>'Raw Input'!AC51</f>
        <v>2171</v>
      </c>
      <c r="AD125" s="149"/>
      <c r="AE125" s="149"/>
      <c r="AF125" s="149"/>
      <c r="AG125" s="149"/>
      <c r="AH125" s="149"/>
      <c r="AI125" s="149"/>
      <c r="AJ125" s="149"/>
    </row>
    <row r="126" spans="2:36" x14ac:dyDescent="0.25">
      <c r="B126" s="134" t="s">
        <v>165</v>
      </c>
      <c r="I126" s="149">
        <f>'Raw Input'!I52</f>
        <v>-934</v>
      </c>
      <c r="J126" s="149"/>
      <c r="K126" s="149"/>
      <c r="L126" s="149"/>
      <c r="M126" s="149"/>
      <c r="N126" s="149">
        <f>'Raw Input'!N52</f>
        <v>-1142</v>
      </c>
      <c r="O126" s="149"/>
      <c r="P126" s="149"/>
      <c r="Q126" s="149"/>
      <c r="R126" s="149"/>
      <c r="S126" s="149">
        <f>'Raw Input'!S52</f>
        <v>-809</v>
      </c>
      <c r="T126" s="149"/>
      <c r="U126" s="149"/>
      <c r="V126" s="149"/>
      <c r="W126" s="149"/>
      <c r="X126" s="149">
        <f>'Raw Input'!X52</f>
        <v>-34</v>
      </c>
      <c r="Y126" s="149"/>
      <c r="Z126" s="149"/>
      <c r="AA126" s="149"/>
      <c r="AB126" s="149"/>
      <c r="AC126" s="149">
        <f>'Raw Input'!AC52</f>
        <v>-501</v>
      </c>
      <c r="AD126" s="149"/>
      <c r="AE126" s="149"/>
      <c r="AF126" s="149"/>
      <c r="AG126" s="149"/>
      <c r="AH126" s="149"/>
      <c r="AI126" s="149"/>
      <c r="AJ126" s="149"/>
    </row>
    <row r="127" spans="2:36" x14ac:dyDescent="0.25">
      <c r="B127" t="s">
        <v>166</v>
      </c>
      <c r="I127" s="149">
        <f>'Raw Input'!I53</f>
        <v>28</v>
      </c>
      <c r="J127" s="149"/>
      <c r="K127" s="149"/>
      <c r="L127" s="149"/>
      <c r="M127" s="149"/>
      <c r="N127" s="149">
        <f>'Raw Input'!N53</f>
        <v>169</v>
      </c>
      <c r="O127" s="149"/>
      <c r="P127" s="149"/>
      <c r="Q127" s="149"/>
      <c r="R127" s="149"/>
      <c r="S127" s="149">
        <f>'Raw Input'!S53</f>
        <v>198</v>
      </c>
      <c r="T127" s="149"/>
      <c r="U127" s="149"/>
      <c r="V127" s="149"/>
      <c r="W127" s="149"/>
      <c r="X127" s="149">
        <f>'Raw Input'!X53</f>
        <v>100</v>
      </c>
      <c r="Y127" s="149"/>
      <c r="Z127" s="149"/>
      <c r="AA127" s="149"/>
      <c r="AB127" s="149"/>
      <c r="AC127" s="149" t="str">
        <f>'Raw Input'!AC53</f>
        <v>-</v>
      </c>
      <c r="AD127" s="149"/>
      <c r="AE127" s="149"/>
      <c r="AF127" s="149"/>
      <c r="AG127" s="149"/>
      <c r="AH127" s="149"/>
      <c r="AI127" s="149"/>
      <c r="AJ127" s="149"/>
    </row>
    <row r="128" spans="2:36" x14ac:dyDescent="0.25">
      <c r="B128" t="s">
        <v>167</v>
      </c>
      <c r="I128" s="149">
        <f>'Raw Input'!I54</f>
        <v>69</v>
      </c>
      <c r="J128" s="149"/>
      <c r="K128" s="149"/>
      <c r="L128" s="149"/>
      <c r="M128" s="149"/>
      <c r="N128" s="149">
        <f>'Raw Input'!N54</f>
        <v>108</v>
      </c>
      <c r="O128" s="149"/>
      <c r="P128" s="149"/>
      <c r="Q128" s="149"/>
      <c r="R128" s="149"/>
      <c r="S128" s="149">
        <f>'Raw Input'!S54</f>
        <v>96</v>
      </c>
      <c r="T128" s="149"/>
      <c r="U128" s="149"/>
      <c r="V128" s="149"/>
      <c r="W128" s="149"/>
      <c r="X128" s="149">
        <f>'Raw Input'!X54</f>
        <v>129</v>
      </c>
      <c r="Y128" s="149"/>
      <c r="Z128" s="149"/>
      <c r="AA128" s="149"/>
      <c r="AB128" s="149"/>
      <c r="AC128" s="149">
        <f>'Raw Input'!AC54</f>
        <v>132</v>
      </c>
      <c r="AD128" s="149"/>
      <c r="AE128" s="149"/>
      <c r="AF128" s="149"/>
      <c r="AG128" s="149"/>
      <c r="AH128" s="149"/>
      <c r="AI128" s="149"/>
      <c r="AJ128" s="149"/>
    </row>
    <row r="129" spans="2:36" x14ac:dyDescent="0.25">
      <c r="B129" t="s">
        <v>168</v>
      </c>
      <c r="I129" s="149">
        <f>'Raw Input'!I55</f>
        <v>1</v>
      </c>
      <c r="J129" s="149"/>
      <c r="K129" s="149"/>
      <c r="L129" s="149"/>
      <c r="M129" s="149"/>
      <c r="N129" s="149">
        <f>'Raw Input'!N55</f>
        <v>-8</v>
      </c>
      <c r="O129" s="149"/>
      <c r="P129" s="149"/>
      <c r="Q129" s="149"/>
      <c r="R129" s="149"/>
      <c r="S129" s="149">
        <f>'Raw Input'!S55</f>
        <v>-75</v>
      </c>
      <c r="T129" s="149"/>
      <c r="U129" s="149"/>
      <c r="V129" s="149"/>
      <c r="W129" s="149"/>
      <c r="X129" s="149">
        <f>'Raw Input'!X55</f>
        <v>183</v>
      </c>
      <c r="Y129" s="149"/>
      <c r="Z129" s="149"/>
      <c r="AA129" s="149"/>
      <c r="AB129" s="149"/>
      <c r="AC129" s="149">
        <f>'Raw Input'!AC55</f>
        <v>9</v>
      </c>
      <c r="AD129" s="149"/>
      <c r="AE129" s="149"/>
      <c r="AF129" s="149"/>
      <c r="AG129" s="149"/>
      <c r="AH129" s="149"/>
      <c r="AI129" s="149"/>
      <c r="AJ129" s="149"/>
    </row>
    <row r="130" spans="2:36" x14ac:dyDescent="0.25">
      <c r="B130" s="115" t="s">
        <v>169</v>
      </c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9"/>
      <c r="AE130" s="149"/>
      <c r="AF130" s="149"/>
      <c r="AG130" s="149"/>
      <c r="AH130" s="149"/>
      <c r="AI130" s="149"/>
      <c r="AJ130" s="149"/>
    </row>
    <row r="131" spans="2:36" x14ac:dyDescent="0.25">
      <c r="B131" t="s">
        <v>170</v>
      </c>
      <c r="I131" s="149">
        <f>'Raw Input'!I57</f>
        <v>486</v>
      </c>
      <c r="J131" s="149"/>
      <c r="K131" s="149"/>
      <c r="L131" s="149"/>
      <c r="M131" s="149"/>
      <c r="N131" s="149">
        <f>'Raw Input'!N57</f>
        <v>981</v>
      </c>
      <c r="O131" s="149">
        <f>'Raw Input'!O57</f>
        <v>-247</v>
      </c>
      <c r="P131" s="149">
        <f>'Raw Input'!P57</f>
        <v>106</v>
      </c>
      <c r="Q131" s="149">
        <f>'Raw Input'!Q57</f>
        <v>191</v>
      </c>
      <c r="R131" s="149">
        <f>'Raw Input'!R57</f>
        <v>160</v>
      </c>
      <c r="S131" s="149">
        <f>'Raw Input'!S57</f>
        <v>210</v>
      </c>
      <c r="T131" s="149">
        <f>'Raw Input'!T57</f>
        <v>-468</v>
      </c>
      <c r="U131" s="149">
        <f>'Raw Input'!U57</f>
        <v>-536</v>
      </c>
      <c r="V131" s="149">
        <f>'Raw Input'!V57</f>
        <v>375</v>
      </c>
      <c r="W131" s="149">
        <f>'Raw Input'!W57</f>
        <v>-241</v>
      </c>
      <c r="X131" s="149">
        <f>'Raw Input'!X57</f>
        <v>-870</v>
      </c>
      <c r="Y131" s="149">
        <f>'Raw Input'!Y57</f>
        <v>-276</v>
      </c>
      <c r="Z131" s="149">
        <f>'Raw Input'!Z57</f>
        <v>185</v>
      </c>
      <c r="AA131" s="149">
        <f>'Raw Input'!AA57</f>
        <v>135</v>
      </c>
      <c r="AB131" s="149">
        <f>'Raw Input'!AB57</f>
        <v>-231</v>
      </c>
      <c r="AC131" s="149">
        <f>'Raw Input'!AC57</f>
        <v>-187</v>
      </c>
      <c r="AD131" s="149">
        <f>'Raw Input'!AD57</f>
        <v>1756</v>
      </c>
      <c r="AE131" s="149">
        <f>'Raw Input'!AE57</f>
        <v>-513</v>
      </c>
      <c r="AF131" s="149"/>
      <c r="AG131" s="149"/>
      <c r="AH131" s="149"/>
      <c r="AI131" s="149"/>
      <c r="AJ131" s="149"/>
    </row>
    <row r="132" spans="2:36" x14ac:dyDescent="0.25">
      <c r="B132" t="s">
        <v>171</v>
      </c>
      <c r="I132" s="149">
        <f>'Raw Input'!I58</f>
        <v>250</v>
      </c>
      <c r="J132" s="149"/>
      <c r="K132" s="149"/>
      <c r="L132" s="149"/>
      <c r="M132" s="149"/>
      <c r="N132" s="149">
        <f>'Raw Input'!N58</f>
        <v>-31</v>
      </c>
      <c r="O132" s="149">
        <f>'Raw Input'!O58</f>
        <v>51</v>
      </c>
      <c r="P132" s="149">
        <f>'Raw Input'!P58</f>
        <v>-52</v>
      </c>
      <c r="Q132" s="149">
        <f>'Raw Input'!Q58</f>
        <v>-156</v>
      </c>
      <c r="R132" s="149">
        <f>'Raw Input'!R58</f>
        <v>-137</v>
      </c>
      <c r="S132" s="149">
        <f>'Raw Input'!S58</f>
        <v>-294</v>
      </c>
      <c r="T132" s="149">
        <f>'Raw Input'!T58</f>
        <v>-223</v>
      </c>
      <c r="U132" s="149">
        <f>'Raw Input'!U58</f>
        <v>-147</v>
      </c>
      <c r="V132" s="149">
        <f>'Raw Input'!V58</f>
        <v>-170</v>
      </c>
      <c r="W132" s="149">
        <f>'Raw Input'!W58</f>
        <v>-87</v>
      </c>
      <c r="X132" s="149">
        <f>'Raw Input'!X58</f>
        <v>-627</v>
      </c>
      <c r="Y132" s="149">
        <f>'Raw Input'!Y58</f>
        <v>26</v>
      </c>
      <c r="Z132" s="149">
        <f>'Raw Input'!Z58</f>
        <v>13</v>
      </c>
      <c r="AA132" s="149">
        <f>'Raw Input'!AA58</f>
        <v>44</v>
      </c>
      <c r="AB132" s="149">
        <f>'Raw Input'!AB58</f>
        <v>-56</v>
      </c>
      <c r="AC132" s="149">
        <f>'Raw Input'!AC58</f>
        <v>27</v>
      </c>
      <c r="AD132" s="149">
        <f>'Raw Input'!AD58</f>
        <v>-14</v>
      </c>
      <c r="AE132" s="149">
        <f>'Raw Input'!AE58</f>
        <v>82</v>
      </c>
      <c r="AF132" s="149"/>
      <c r="AG132" s="149"/>
      <c r="AH132" s="149"/>
      <c r="AI132" s="149"/>
      <c r="AJ132" s="149"/>
    </row>
    <row r="133" spans="2:36" x14ac:dyDescent="0.25">
      <c r="B133" t="s">
        <v>172</v>
      </c>
      <c r="I133" s="149">
        <f>'Raw Input'!I59</f>
        <v>-42</v>
      </c>
      <c r="J133" s="149"/>
      <c r="K133" s="149"/>
      <c r="L133" s="149"/>
      <c r="M133" s="149"/>
      <c r="N133" s="149">
        <f>'Raw Input'!N59</f>
        <v>-3</v>
      </c>
      <c r="O133" s="149">
        <f>'Raw Input'!O59</f>
        <v>44</v>
      </c>
      <c r="P133" s="149">
        <f>'Raw Input'!P59</f>
        <v>-58</v>
      </c>
      <c r="Q133" s="149">
        <f>'Raw Input'!Q59</f>
        <v>156</v>
      </c>
      <c r="R133" s="149">
        <f>'Raw Input'!R59</f>
        <v>101</v>
      </c>
      <c r="S133" s="149">
        <f>'Raw Input'!S59</f>
        <v>243</v>
      </c>
      <c r="T133" s="149" t="str">
        <f>'Raw Input'!T59</f>
        <v>-</v>
      </c>
      <c r="U133" s="149">
        <f>'Raw Input'!U59</f>
        <v>-31</v>
      </c>
      <c r="V133" s="149">
        <f>'Raw Input'!V59</f>
        <v>-352</v>
      </c>
      <c r="W133" s="149">
        <f>'Raw Input'!W59</f>
        <v>304</v>
      </c>
      <c r="X133" s="149">
        <f>'Raw Input'!X59</f>
        <v>-79</v>
      </c>
      <c r="Y133" s="149">
        <f>'Raw Input'!Y59</f>
        <v>-80</v>
      </c>
      <c r="Z133" s="149">
        <f>'Raw Input'!Z59</f>
        <v>-114</v>
      </c>
      <c r="AA133" s="149">
        <f>'Raw Input'!AA59</f>
        <v>188</v>
      </c>
      <c r="AB133" s="149">
        <f>'Raw Input'!AB59</f>
        <v>215</v>
      </c>
      <c r="AC133" s="149">
        <f>'Raw Input'!AC59</f>
        <v>209</v>
      </c>
      <c r="AD133" s="149">
        <f>'Raw Input'!AD59</f>
        <v>-74</v>
      </c>
      <c r="AE133" s="149">
        <f>'Raw Input'!AE59</f>
        <v>-93</v>
      </c>
      <c r="AF133" s="149"/>
      <c r="AG133" s="149"/>
      <c r="AH133" s="149"/>
      <c r="AI133" s="149"/>
      <c r="AJ133" s="149"/>
    </row>
    <row r="134" spans="2:36" x14ac:dyDescent="0.25">
      <c r="B134" s="134" t="s">
        <v>173</v>
      </c>
      <c r="I134" s="149">
        <f>'Raw Input'!I60</f>
        <v>-294</v>
      </c>
      <c r="J134" s="149"/>
      <c r="K134" s="149"/>
      <c r="L134" s="149"/>
      <c r="M134" s="149"/>
      <c r="N134" s="149">
        <f>'Raw Input'!N60</f>
        <v>217</v>
      </c>
      <c r="O134" s="149">
        <f>'Raw Input'!O60</f>
        <v>-375</v>
      </c>
      <c r="P134" s="149">
        <f>'Raw Input'!P60</f>
        <v>135</v>
      </c>
      <c r="Q134" s="149">
        <f>'Raw Input'!Q60</f>
        <v>254</v>
      </c>
      <c r="R134" s="149">
        <f>'Raw Input'!R60</f>
        <v>172</v>
      </c>
      <c r="S134" s="149">
        <f>'Raw Input'!S60</f>
        <v>186</v>
      </c>
      <c r="T134" s="149">
        <f>'Raw Input'!T60</f>
        <v>-528</v>
      </c>
      <c r="U134" s="149">
        <f>'Raw Input'!U60</f>
        <v>215</v>
      </c>
      <c r="V134" s="149">
        <f>'Raw Input'!V60</f>
        <v>321</v>
      </c>
      <c r="W134" s="149">
        <f>'Raw Input'!W60</f>
        <v>128</v>
      </c>
      <c r="X134" s="149">
        <f>'Raw Input'!X60</f>
        <v>136</v>
      </c>
      <c r="Y134" s="149">
        <f>'Raw Input'!Y60</f>
        <v>-657</v>
      </c>
      <c r="Z134" s="149">
        <f>'Raw Input'!Z60</f>
        <v>91</v>
      </c>
      <c r="AA134" s="149">
        <f>'Raw Input'!AA60</f>
        <v>184</v>
      </c>
      <c r="AB134" s="149">
        <f>'Raw Input'!AB60</f>
        <v>103</v>
      </c>
      <c r="AC134" s="149">
        <f>'Raw Input'!AC60</f>
        <v>-279</v>
      </c>
      <c r="AD134" s="149">
        <f>'Raw Input'!AD60</f>
        <v>-660</v>
      </c>
      <c r="AE134" s="149">
        <f>'Raw Input'!AE60</f>
        <v>251</v>
      </c>
      <c r="AF134" s="149"/>
      <c r="AG134" s="149"/>
      <c r="AH134" s="149"/>
      <c r="AI134" s="149"/>
      <c r="AJ134" s="149"/>
    </row>
    <row r="135" spans="2:36" x14ac:dyDescent="0.25">
      <c r="B135" s="134" t="s">
        <v>174</v>
      </c>
      <c r="I135" s="149">
        <f>'Raw Input'!I61</f>
        <v>-283</v>
      </c>
      <c r="J135" s="149"/>
      <c r="K135" s="149"/>
      <c r="L135" s="149"/>
      <c r="M135" s="149"/>
      <c r="N135" s="149">
        <f>'Raw Input'!N61</f>
        <v>331</v>
      </c>
      <c r="O135" s="149">
        <f>'Raw Input'!O61</f>
        <v>408</v>
      </c>
      <c r="P135" s="149">
        <f>'Raw Input'!P61</f>
        <v>182</v>
      </c>
      <c r="Q135" s="149">
        <f>'Raw Input'!Q61</f>
        <v>-227</v>
      </c>
      <c r="R135" s="149">
        <f>'Raw Input'!R61</f>
        <v>-540</v>
      </c>
      <c r="S135" s="149">
        <f>'Raw Input'!S61</f>
        <v>-177</v>
      </c>
      <c r="T135" s="149">
        <f>'Raw Input'!T61</f>
        <v>521</v>
      </c>
      <c r="U135" s="149">
        <f>'Raw Input'!U61</f>
        <v>287</v>
      </c>
      <c r="V135" s="149">
        <f>'Raw Input'!V61</f>
        <v>-198</v>
      </c>
      <c r="W135" s="149">
        <f>'Raw Input'!W61</f>
        <v>-388</v>
      </c>
      <c r="X135" s="149">
        <f>'Raw Input'!X61</f>
        <v>222</v>
      </c>
      <c r="Y135" s="149">
        <f>'Raw Input'!Y61</f>
        <v>570</v>
      </c>
      <c r="Z135" s="149">
        <f>'Raw Input'!Z61</f>
        <v>-165</v>
      </c>
      <c r="AA135" s="149">
        <f>'Raw Input'!AA61</f>
        <v>-339</v>
      </c>
      <c r="AB135" s="149">
        <f>'Raw Input'!AB61</f>
        <v>-694</v>
      </c>
      <c r="AC135" s="149">
        <f>'Raw Input'!AC61</f>
        <v>-628</v>
      </c>
      <c r="AD135" s="149">
        <f>'Raw Input'!AD61</f>
        <v>-2182</v>
      </c>
      <c r="AE135" s="149">
        <f>'Raw Input'!AE61</f>
        <v>-386</v>
      </c>
      <c r="AF135" s="149"/>
      <c r="AG135" s="149"/>
      <c r="AH135" s="149"/>
      <c r="AI135" s="149"/>
      <c r="AJ135" s="149"/>
    </row>
    <row r="136" spans="2:36" x14ac:dyDescent="0.25">
      <c r="B136" s="134" t="s">
        <v>175</v>
      </c>
      <c r="I136" s="149">
        <f>'Raw Input'!I62</f>
        <v>-301</v>
      </c>
      <c r="J136" s="149"/>
      <c r="K136" s="149"/>
      <c r="L136" s="149"/>
      <c r="M136" s="149"/>
      <c r="N136" s="149">
        <f>'Raw Input'!N62</f>
        <v>-402</v>
      </c>
      <c r="O136" s="149">
        <f>'Raw Input'!O62</f>
        <v>-59</v>
      </c>
      <c r="P136" s="149">
        <f>'Raw Input'!P62</f>
        <v>-70</v>
      </c>
      <c r="Q136" s="149">
        <f>'Raw Input'!Q62</f>
        <v>-77</v>
      </c>
      <c r="R136" s="149">
        <f>'Raw Input'!R62</f>
        <v>-89</v>
      </c>
      <c r="S136" s="149">
        <f>'Raw Input'!S62</f>
        <v>-295</v>
      </c>
      <c r="T136" s="149">
        <f>'Raw Input'!T62</f>
        <v>-79</v>
      </c>
      <c r="U136" s="149">
        <f>'Raw Input'!U62</f>
        <v>-28</v>
      </c>
      <c r="V136" s="149">
        <f>'Raw Input'!V62</f>
        <v>-260</v>
      </c>
      <c r="W136" s="149">
        <f>'Raw Input'!W62</f>
        <v>-69</v>
      </c>
      <c r="X136" s="149">
        <f>'Raw Input'!X62</f>
        <v>-436</v>
      </c>
      <c r="Y136" s="149">
        <f>'Raw Input'!Y62</f>
        <v>-164</v>
      </c>
      <c r="Z136" s="149">
        <f>'Raw Input'!Z62</f>
        <v>-179</v>
      </c>
      <c r="AA136" s="149">
        <f>'Raw Input'!AA62</f>
        <v>-139</v>
      </c>
      <c r="AB136" s="149">
        <f>'Raw Input'!AB62</f>
        <v>-303</v>
      </c>
      <c r="AC136" s="149">
        <f>'Raw Input'!AC62</f>
        <v>-785</v>
      </c>
      <c r="AD136" s="149">
        <f>'Raw Input'!AD62</f>
        <v>891</v>
      </c>
      <c r="AE136" s="149">
        <f>'Raw Input'!AE62</f>
        <v>-569</v>
      </c>
      <c r="AF136" s="149"/>
      <c r="AG136" s="149"/>
      <c r="AH136" s="149"/>
      <c r="AI136" s="149"/>
      <c r="AJ136" s="149"/>
    </row>
    <row r="137" spans="2:36" x14ac:dyDescent="0.25">
      <c r="B137" s="115" t="s">
        <v>89</v>
      </c>
      <c r="I137" s="149">
        <f>'Raw Input'!I63</f>
        <v>9697</v>
      </c>
      <c r="J137" s="149"/>
      <c r="K137" s="149"/>
      <c r="L137" s="149"/>
      <c r="M137" s="149"/>
      <c r="N137" s="149">
        <f>'Raw Input'!N63</f>
        <v>12061</v>
      </c>
      <c r="O137" s="149">
        <f>'Raw Input'!O63</f>
        <v>3113</v>
      </c>
      <c r="P137" s="149">
        <f>'Raw Input'!P63</f>
        <v>3569</v>
      </c>
      <c r="Q137" s="149">
        <f>'Raw Input'!Q63</f>
        <v>3541</v>
      </c>
      <c r="R137" s="149">
        <f>'Raw Input'!R63</f>
        <v>3541</v>
      </c>
      <c r="S137" s="149">
        <f>'Raw Input'!S63</f>
        <v>13764</v>
      </c>
      <c r="T137" s="149">
        <f>'Raw Input'!T63</f>
        <v>3486</v>
      </c>
      <c r="U137" s="149">
        <f>'Raw Input'!U63</f>
        <v>4243</v>
      </c>
      <c r="V137" s="149">
        <f>'Raw Input'!V63</f>
        <v>4424</v>
      </c>
      <c r="W137" s="149">
        <f>'Raw Input'!W63</f>
        <v>4583</v>
      </c>
      <c r="X137" s="149">
        <f>'Raw Input'!X63</f>
        <v>16736</v>
      </c>
      <c r="Y137" s="149">
        <f>'Raw Input'!Y63</f>
        <v>4036</v>
      </c>
      <c r="Z137" s="149">
        <f>'Raw Input'!Z63</f>
        <v>4502</v>
      </c>
      <c r="AA137" s="149">
        <f>'Raw Input'!AA63</f>
        <v>4719</v>
      </c>
      <c r="AB137" s="149">
        <f>'Raw Input'!AB63</f>
        <v>4828</v>
      </c>
      <c r="AC137" s="149">
        <f>'Raw Input'!AC63</f>
        <v>18085</v>
      </c>
      <c r="AD137" s="149">
        <f>'Raw Input'!AD63</f>
        <v>4815</v>
      </c>
      <c r="AE137" s="149">
        <f>'Raw Input'!AE63</f>
        <v>4580</v>
      </c>
      <c r="AF137" s="149"/>
      <c r="AG137" s="149"/>
      <c r="AH137" s="149"/>
      <c r="AI137" s="149"/>
      <c r="AJ137" s="149"/>
    </row>
    <row r="138" spans="2:36" x14ac:dyDescent="0.25"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9"/>
      <c r="AE138" s="149"/>
      <c r="AF138" s="149"/>
      <c r="AG138" s="149"/>
      <c r="AH138" s="149"/>
      <c r="AI138" s="149"/>
      <c r="AJ138" s="149"/>
    </row>
    <row r="139" spans="2:36" x14ac:dyDescent="0.25">
      <c r="B139" s="115" t="s">
        <v>176</v>
      </c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9"/>
      <c r="AE139" s="149"/>
      <c r="AF139" s="149"/>
      <c r="AG139" s="149"/>
      <c r="AH139" s="149"/>
      <c r="AI139" s="149"/>
      <c r="AJ139" s="149"/>
    </row>
    <row r="140" spans="2:36" x14ac:dyDescent="0.25">
      <c r="B140" s="134" t="s">
        <v>177</v>
      </c>
      <c r="I140" s="149">
        <f>'Raw Input'!I66</f>
        <v>-16033</v>
      </c>
      <c r="J140" s="149"/>
      <c r="K140" s="149"/>
      <c r="L140" s="149"/>
      <c r="M140" s="149"/>
      <c r="N140" s="149">
        <f>'Raw Input'!N66</f>
        <v>-10872</v>
      </c>
      <c r="O140" s="149"/>
      <c r="P140" s="149"/>
      <c r="Q140" s="149"/>
      <c r="R140" s="149"/>
      <c r="S140" s="149">
        <f>'Raw Input'!S66</f>
        <v>-8</v>
      </c>
      <c r="T140" s="149"/>
      <c r="U140" s="149"/>
      <c r="V140" s="149"/>
      <c r="W140" s="149"/>
      <c r="X140" s="149">
        <f>'Raw Input'!X66</f>
        <v>-246</v>
      </c>
      <c r="Y140" s="149"/>
      <c r="Z140" s="149"/>
      <c r="AA140" s="149"/>
      <c r="AB140" s="149"/>
      <c r="AC140" s="149">
        <f>'Raw Input'!AC66</f>
        <v>-53</v>
      </c>
      <c r="AD140" s="149"/>
      <c r="AE140" s="149"/>
      <c r="AF140" s="149"/>
      <c r="AG140" s="149"/>
      <c r="AH140" s="149"/>
      <c r="AI140" s="149"/>
      <c r="AJ140" s="149"/>
    </row>
    <row r="141" spans="2:36" x14ac:dyDescent="0.25">
      <c r="B141" s="134" t="s">
        <v>178</v>
      </c>
      <c r="I141" s="149">
        <f>'Raw Input'!I67</f>
        <v>957</v>
      </c>
      <c r="J141" s="149"/>
      <c r="K141" s="149"/>
      <c r="L141" s="149"/>
      <c r="M141" s="149"/>
      <c r="N141" s="149">
        <f>'Raw Input'!N67</f>
        <v>218</v>
      </c>
      <c r="O141" s="149"/>
      <c r="P141" s="149"/>
      <c r="Q141" s="149"/>
      <c r="R141" s="149"/>
      <c r="S141" s="149">
        <f>'Raw Input'!S67</f>
        <v>45</v>
      </c>
      <c r="T141" s="149"/>
      <c r="U141" s="149"/>
      <c r="V141" s="149"/>
      <c r="W141" s="149"/>
      <c r="X141" s="149" t="str">
        <f>'Raw Input'!X67</f>
        <v>-</v>
      </c>
      <c r="Y141" s="149"/>
      <c r="Z141" s="149"/>
      <c r="AA141" s="149"/>
      <c r="AB141" s="149"/>
      <c r="AC141" s="149" t="str">
        <f>'Raw Input'!AC67</f>
        <v>-</v>
      </c>
      <c r="AD141" s="149"/>
      <c r="AE141" s="149"/>
      <c r="AF141" s="149"/>
      <c r="AG141" s="149"/>
      <c r="AH141" s="149"/>
      <c r="AI141" s="149"/>
      <c r="AJ141" s="149"/>
    </row>
    <row r="142" spans="2:36" x14ac:dyDescent="0.25">
      <c r="B142" s="143" t="s">
        <v>179</v>
      </c>
      <c r="I142" s="149">
        <f>'Raw Input'!I68</f>
        <v>-432</v>
      </c>
      <c r="J142" s="149"/>
      <c r="K142" s="149"/>
      <c r="L142" s="149"/>
      <c r="M142" s="149"/>
      <c r="N142" s="149">
        <f>'Raw Input'!N68</f>
        <v>-463</v>
      </c>
      <c r="O142" s="149">
        <f>'Raw Input'!O68</f>
        <v>-114</v>
      </c>
      <c r="P142" s="149">
        <f>'Raw Input'!P68</f>
        <v>-126</v>
      </c>
      <c r="Q142" s="149">
        <f>'Raw Input'!Q68</f>
        <v>-115</v>
      </c>
      <c r="R142" s="149">
        <f>'Raw Input'!R68</f>
        <v>-88</v>
      </c>
      <c r="S142" s="149">
        <f>'Raw Input'!S68</f>
        <v>-443</v>
      </c>
      <c r="T142" s="149">
        <f>'Raw Input'!T68</f>
        <v>-101</v>
      </c>
      <c r="U142" s="149">
        <f>'Raw Input'!U68</f>
        <v>-85</v>
      </c>
      <c r="V142" s="149">
        <f>'Raw Input'!V68</f>
        <v>-116</v>
      </c>
      <c r="W142" s="149">
        <f>'Raw Input'!W68</f>
        <v>-122</v>
      </c>
      <c r="X142" s="149">
        <f>'Raw Input'!X68</f>
        <v>-424</v>
      </c>
      <c r="Y142" s="149">
        <f>'Raw Input'!Y68</f>
        <v>-103</v>
      </c>
      <c r="Z142" s="149">
        <f>'Raw Input'!Z68</f>
        <v>-152</v>
      </c>
      <c r="AA142" s="149">
        <f>'Raw Input'!AA68</f>
        <v>-92</v>
      </c>
      <c r="AB142" s="149">
        <f>'Raw Input'!AB68</f>
        <v>-105</v>
      </c>
      <c r="AC142" s="149">
        <f>'Raw Input'!AC68</f>
        <v>-452</v>
      </c>
      <c r="AD142" s="149">
        <f>'Raw Input'!AD68</f>
        <v>-122</v>
      </c>
      <c r="AE142" s="149">
        <f>'Raw Input'!AE68</f>
        <v>-132</v>
      </c>
      <c r="AF142" s="149">
        <v>-137</v>
      </c>
      <c r="AG142" s="149">
        <v>-144</v>
      </c>
      <c r="AH142" s="149">
        <f>SUM(AD142:AG142)</f>
        <v>-535</v>
      </c>
      <c r="AI142" s="151"/>
      <c r="AJ142" s="151"/>
    </row>
    <row r="143" spans="2:36" x14ac:dyDescent="0.25">
      <c r="B143" t="s">
        <v>180</v>
      </c>
      <c r="I143" s="149" t="str">
        <f>'Raw Input'!I69</f>
        <v>-</v>
      </c>
      <c r="J143" s="149"/>
      <c r="K143" s="149"/>
      <c r="L143" s="149"/>
      <c r="M143" s="149"/>
      <c r="N143" s="149" t="str">
        <f>'Raw Input'!N69</f>
        <v>-</v>
      </c>
      <c r="O143" s="149"/>
      <c r="P143" s="149"/>
      <c r="Q143" s="149"/>
      <c r="R143" s="149"/>
      <c r="S143" s="149" t="str">
        <f>'Raw Input'!S69</f>
        <v>-</v>
      </c>
      <c r="T143" s="149"/>
      <c r="U143" s="149"/>
      <c r="V143" s="149"/>
      <c r="W143" s="149"/>
      <c r="X143" s="149">
        <f>'Raw Input'!X69</f>
        <v>-200</v>
      </c>
      <c r="Y143" s="149"/>
      <c r="Z143" s="149"/>
      <c r="AA143" s="149"/>
      <c r="AB143" s="149"/>
      <c r="AC143" s="149">
        <f>'Raw Input'!AC69</f>
        <v>-346</v>
      </c>
      <c r="AD143" s="149"/>
      <c r="AE143" s="149"/>
      <c r="AF143" s="149"/>
      <c r="AG143" s="149"/>
      <c r="AH143" s="149"/>
      <c r="AI143" s="149"/>
      <c r="AJ143" s="149"/>
    </row>
    <row r="144" spans="2:36" x14ac:dyDescent="0.25">
      <c r="B144" t="s">
        <v>181</v>
      </c>
      <c r="I144" s="149" t="str">
        <f>'Raw Input'!I70</f>
        <v>-</v>
      </c>
      <c r="J144" s="149"/>
      <c r="K144" s="149"/>
      <c r="L144" s="149"/>
      <c r="M144" s="149"/>
      <c r="N144" s="149" t="str">
        <f>'Raw Input'!N70</f>
        <v>-</v>
      </c>
      <c r="O144" s="149"/>
      <c r="P144" s="149"/>
      <c r="Q144" s="149"/>
      <c r="R144" s="149"/>
      <c r="S144" s="149">
        <f>'Raw Input'!S70</f>
        <v>169</v>
      </c>
      <c r="T144" s="149"/>
      <c r="U144" s="149"/>
      <c r="V144" s="149"/>
      <c r="W144" s="149"/>
      <c r="X144" s="149">
        <f>'Raw Input'!X70</f>
        <v>200</v>
      </c>
      <c r="Y144" s="149"/>
      <c r="Z144" s="149"/>
      <c r="AA144" s="149"/>
      <c r="AB144" s="149"/>
      <c r="AC144" s="149">
        <f>'Raw Input'!AC70</f>
        <v>228</v>
      </c>
      <c r="AD144" s="149"/>
      <c r="AE144" s="149"/>
      <c r="AF144" s="149"/>
      <c r="AG144" s="149"/>
      <c r="AH144" s="149"/>
      <c r="AI144" s="149"/>
      <c r="AJ144" s="149"/>
    </row>
    <row r="145" spans="2:36" x14ac:dyDescent="0.25">
      <c r="B145" t="s">
        <v>168</v>
      </c>
      <c r="I145" s="149">
        <f>'Raw Input'!I71</f>
        <v>86</v>
      </c>
      <c r="J145" s="149"/>
      <c r="K145" s="149"/>
      <c r="L145" s="149"/>
      <c r="M145" s="149"/>
      <c r="N145" s="149">
        <f>'Raw Input'!N71</f>
        <v>8</v>
      </c>
      <c r="O145" s="149"/>
      <c r="P145" s="149"/>
      <c r="Q145" s="149"/>
      <c r="R145" s="149"/>
      <c r="S145" s="149">
        <f>'Raw Input'!S71</f>
        <v>-8</v>
      </c>
      <c r="T145" s="149"/>
      <c r="U145" s="149"/>
      <c r="V145" s="149"/>
      <c r="W145" s="149"/>
      <c r="X145" s="149">
        <f>'Raw Input'!X71</f>
        <v>3</v>
      </c>
      <c r="Y145" s="149"/>
      <c r="Z145" s="149"/>
      <c r="AA145" s="149"/>
      <c r="AB145" s="149"/>
      <c r="AC145" s="149">
        <f>'Raw Input'!AC71</f>
        <v>-66</v>
      </c>
      <c r="AD145" s="149"/>
      <c r="AE145" s="149"/>
      <c r="AF145" s="149"/>
      <c r="AG145" s="149"/>
      <c r="AH145" s="149"/>
      <c r="AI145" s="149"/>
      <c r="AJ145" s="149"/>
    </row>
    <row r="146" spans="2:36" x14ac:dyDescent="0.25">
      <c r="B146" s="115" t="s">
        <v>182</v>
      </c>
      <c r="I146" s="149">
        <f>'Raw Input'!I72</f>
        <v>-15422</v>
      </c>
      <c r="J146" s="149"/>
      <c r="K146" s="149"/>
      <c r="L146" s="149"/>
      <c r="M146" s="149"/>
      <c r="N146" s="149">
        <f>'Raw Input'!N72</f>
        <v>-11109</v>
      </c>
      <c r="O146" s="149"/>
      <c r="P146" s="149"/>
      <c r="Q146" s="149"/>
      <c r="R146" s="149"/>
      <c r="S146" s="149">
        <f>'Raw Input'!S72</f>
        <v>-245</v>
      </c>
      <c r="T146" s="149"/>
      <c r="U146" s="149"/>
      <c r="V146" s="149"/>
      <c r="W146" s="149"/>
      <c r="X146" s="149">
        <f>'Raw Input'!X72</f>
        <v>-677</v>
      </c>
      <c r="Y146" s="149"/>
      <c r="Z146" s="149"/>
      <c r="AA146" s="149"/>
      <c r="AB146" s="149"/>
      <c r="AC146" s="149">
        <f>'Raw Input'!AC72</f>
        <v>-689</v>
      </c>
      <c r="AD146" s="149"/>
      <c r="AE146" s="149"/>
      <c r="AF146" s="149"/>
      <c r="AG146" s="149"/>
      <c r="AH146" s="149"/>
      <c r="AI146" s="149"/>
      <c r="AJ146" s="149"/>
    </row>
    <row r="147" spans="2:36" x14ac:dyDescent="0.25"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  <c r="AD147" s="149"/>
      <c r="AE147" s="149"/>
      <c r="AF147" s="149"/>
      <c r="AG147" s="149"/>
      <c r="AH147" s="151"/>
      <c r="AI147" s="151"/>
      <c r="AJ147" s="151"/>
    </row>
    <row r="148" spans="2:36" x14ac:dyDescent="0.25">
      <c r="B148" s="115" t="s">
        <v>183</v>
      </c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9"/>
      <c r="AE148" s="149"/>
      <c r="AF148" s="149"/>
      <c r="AG148" s="149"/>
      <c r="AH148" s="149"/>
      <c r="AI148" s="149"/>
      <c r="AJ148" s="149"/>
    </row>
    <row r="149" spans="2:36" x14ac:dyDescent="0.25">
      <c r="B149" s="134" t="s">
        <v>184</v>
      </c>
      <c r="I149" s="149">
        <f>'Raw Input'!I75</f>
        <v>28793</v>
      </c>
      <c r="J149" s="149"/>
      <c r="K149" s="149"/>
      <c r="L149" s="149"/>
      <c r="M149" s="149"/>
      <c r="N149" s="149">
        <f>'Raw Input'!N75</f>
        <v>27802</v>
      </c>
      <c r="O149" s="149"/>
      <c r="P149" s="149"/>
      <c r="Q149" s="149"/>
      <c r="R149" s="149"/>
      <c r="S149" s="149">
        <f>'Raw Input'!S75</f>
        <v>9904</v>
      </c>
      <c r="T149" s="149"/>
      <c r="U149" s="149"/>
      <c r="V149" s="149"/>
      <c r="W149" s="149"/>
      <c r="X149" s="149">
        <f>'Raw Input'!X75</f>
        <v>1935</v>
      </c>
      <c r="Y149" s="149"/>
      <c r="Z149" s="149"/>
      <c r="AA149" s="149"/>
      <c r="AB149" s="149"/>
      <c r="AC149" s="149" t="str">
        <f>'Raw Input'!AC75</f>
        <v>-</v>
      </c>
      <c r="AD149" s="149"/>
      <c r="AE149" s="149"/>
      <c r="AF149" s="149"/>
      <c r="AG149" s="149"/>
      <c r="AH149" s="149"/>
      <c r="AI149" s="149"/>
      <c r="AJ149" s="149"/>
    </row>
    <row r="150" spans="2:36" x14ac:dyDescent="0.25">
      <c r="B150" t="s">
        <v>185</v>
      </c>
      <c r="I150" s="149">
        <f>'Raw Input'!I76</f>
        <v>-16800</v>
      </c>
      <c r="J150" s="149"/>
      <c r="K150" s="149"/>
      <c r="L150" s="149"/>
      <c r="M150" s="149"/>
      <c r="N150" s="149">
        <f>'Raw Input'!N76</f>
        <v>-18814</v>
      </c>
      <c r="O150" s="149"/>
      <c r="P150" s="149"/>
      <c r="Q150" s="149"/>
      <c r="R150" s="149"/>
      <c r="S150" s="149">
        <f>'Raw Input'!S76</f>
        <v>-11495</v>
      </c>
      <c r="T150" s="149"/>
      <c r="U150" s="149"/>
      <c r="V150" s="149"/>
      <c r="W150" s="149"/>
      <c r="X150" s="149">
        <f>'Raw Input'!X76</f>
        <v>-2361</v>
      </c>
      <c r="Y150" s="149"/>
      <c r="Z150" s="149"/>
      <c r="AA150" s="149"/>
      <c r="AB150" s="149"/>
      <c r="AC150" s="149">
        <f>'Raw Input'!AC76</f>
        <v>-403</v>
      </c>
      <c r="AD150" s="149"/>
      <c r="AE150" s="149"/>
      <c r="AF150" s="149"/>
      <c r="AG150" s="149"/>
      <c r="AH150" s="149"/>
      <c r="AI150" s="149"/>
      <c r="AJ150" s="149"/>
    </row>
    <row r="151" spans="2:36" x14ac:dyDescent="0.25">
      <c r="B151" t="s">
        <v>186</v>
      </c>
      <c r="I151" s="149">
        <f>'Raw Input'!I77</f>
        <v>-4235</v>
      </c>
      <c r="J151" s="149"/>
      <c r="K151" s="149"/>
      <c r="L151" s="149"/>
      <c r="M151" s="149"/>
      <c r="N151" s="149">
        <f>'Raw Input'!N77</f>
        <v>-5534</v>
      </c>
      <c r="O151" s="149"/>
      <c r="P151" s="149"/>
      <c r="Q151" s="149"/>
      <c r="R151" s="149"/>
      <c r="S151" s="149">
        <f>'Raw Input'!S77</f>
        <v>-6212</v>
      </c>
      <c r="T151" s="149"/>
      <c r="U151" s="149"/>
      <c r="V151" s="149"/>
      <c r="W151" s="149"/>
      <c r="X151" s="149">
        <f>'Raw Input'!X77</f>
        <v>-7032</v>
      </c>
      <c r="Y151" s="149"/>
      <c r="Z151" s="149"/>
      <c r="AA151" s="149"/>
      <c r="AB151" s="149"/>
      <c r="AC151" s="149">
        <f>'Raw Input'!AC77</f>
        <v>-7645</v>
      </c>
      <c r="AD151" s="149"/>
      <c r="AE151" s="149"/>
      <c r="AF151" s="149"/>
      <c r="AG151" s="149"/>
      <c r="AH151" s="149"/>
      <c r="AI151" s="149"/>
      <c r="AJ151" s="149"/>
    </row>
    <row r="152" spans="2:36" x14ac:dyDescent="0.25">
      <c r="B152" s="134" t="s">
        <v>187</v>
      </c>
      <c r="I152" s="149">
        <f>'Raw Input'!I78</f>
        <v>-5435</v>
      </c>
      <c r="J152" s="149"/>
      <c r="K152" s="149"/>
      <c r="L152" s="149"/>
      <c r="M152" s="149"/>
      <c r="N152" s="149" t="str">
        <f>'Raw Input'!N78</f>
        <v>-</v>
      </c>
      <c r="O152" s="149"/>
      <c r="P152" s="149"/>
      <c r="Q152" s="149"/>
      <c r="R152" s="149"/>
      <c r="S152" s="149" t="str">
        <f>'Raw Input'!S78</f>
        <v>-</v>
      </c>
      <c r="T152" s="149"/>
      <c r="U152" s="149"/>
      <c r="V152" s="149"/>
      <c r="W152" s="149"/>
      <c r="X152" s="149">
        <f>'Raw Input'!X78</f>
        <v>-7000</v>
      </c>
      <c r="Y152" s="149"/>
      <c r="Z152" s="149"/>
      <c r="AA152" s="149"/>
      <c r="AB152" s="149"/>
      <c r="AC152" s="149">
        <f>'Raw Input'!AC78</f>
        <v>-5824</v>
      </c>
      <c r="AD152" s="149"/>
      <c r="AE152" s="149"/>
      <c r="AF152" s="149"/>
      <c r="AG152" s="149"/>
      <c r="AH152" s="149"/>
      <c r="AI152" s="149"/>
      <c r="AJ152" s="149"/>
    </row>
    <row r="153" spans="2:36" x14ac:dyDescent="0.25">
      <c r="B153" s="134" t="s">
        <v>188</v>
      </c>
      <c r="I153" s="149">
        <f>'Raw Input'!I79</f>
        <v>-972</v>
      </c>
      <c r="J153" s="149"/>
      <c r="K153" s="149"/>
      <c r="L153" s="149"/>
      <c r="M153" s="149"/>
      <c r="N153" s="149">
        <f>'Raw Input'!N79</f>
        <v>-765</v>
      </c>
      <c r="O153" s="149"/>
      <c r="P153" s="149"/>
      <c r="Q153" s="149"/>
      <c r="R153" s="149"/>
      <c r="S153" s="149">
        <f>'Raw Input'!S79</f>
        <v>-1299</v>
      </c>
      <c r="T153" s="149"/>
      <c r="U153" s="149"/>
      <c r="V153" s="149"/>
      <c r="W153" s="149"/>
      <c r="X153" s="149">
        <f>'Raw Input'!X79</f>
        <v>-1455</v>
      </c>
      <c r="Y153" s="149"/>
      <c r="Z153" s="149"/>
      <c r="AA153" s="149"/>
      <c r="AB153" s="149"/>
      <c r="AC153" s="149">
        <f>'Raw Input'!AC79</f>
        <v>-1861</v>
      </c>
      <c r="AD153" s="149"/>
      <c r="AE153" s="149"/>
      <c r="AF153" s="149"/>
      <c r="AG153" s="149"/>
      <c r="AH153" s="149"/>
      <c r="AI153" s="149"/>
      <c r="AJ153" s="149"/>
    </row>
    <row r="154" spans="2:36" x14ac:dyDescent="0.25">
      <c r="B154" t="s">
        <v>189</v>
      </c>
      <c r="I154" s="149">
        <f>'Raw Input'!I80</f>
        <v>253</v>
      </c>
      <c r="J154" s="149"/>
      <c r="K154" s="149"/>
      <c r="L154" s="149"/>
      <c r="M154" s="149"/>
      <c r="N154" s="149">
        <f>'Raw Input'!N80</f>
        <v>276</v>
      </c>
      <c r="O154" s="149"/>
      <c r="P154" s="149"/>
      <c r="Q154" s="149"/>
      <c r="R154" s="149"/>
      <c r="S154" s="149">
        <f>'Raw Input'!S80</f>
        <v>170</v>
      </c>
      <c r="T154" s="149"/>
      <c r="U154" s="149"/>
      <c r="V154" s="149"/>
      <c r="W154" s="149"/>
      <c r="X154" s="149">
        <f>'Raw Input'!X80</f>
        <v>114</v>
      </c>
      <c r="Y154" s="149"/>
      <c r="Z154" s="149"/>
      <c r="AA154" s="149"/>
      <c r="AB154" s="149"/>
      <c r="AC154" s="149">
        <f>'Raw Input'!AC80</f>
        <v>122</v>
      </c>
      <c r="AD154" s="149"/>
      <c r="AE154" s="149"/>
      <c r="AF154" s="149"/>
      <c r="AG154" s="149"/>
      <c r="AH154" s="149"/>
      <c r="AI154" s="149"/>
      <c r="AJ154" s="149"/>
    </row>
    <row r="155" spans="2:36" x14ac:dyDescent="0.25">
      <c r="B155" t="s">
        <v>168</v>
      </c>
      <c r="I155" s="149">
        <f>'Raw Input'!I81</f>
        <v>-36</v>
      </c>
      <c r="J155" s="149"/>
      <c r="K155" s="149"/>
      <c r="L155" s="149"/>
      <c r="M155" s="149"/>
      <c r="N155" s="149">
        <f>'Raw Input'!N81</f>
        <v>-69</v>
      </c>
      <c r="O155" s="149"/>
      <c r="P155" s="149"/>
      <c r="Q155" s="149"/>
      <c r="R155" s="149"/>
      <c r="S155" s="149">
        <f>'Raw Input'!S81</f>
        <v>-42</v>
      </c>
      <c r="T155" s="149"/>
      <c r="U155" s="149"/>
      <c r="V155" s="149"/>
      <c r="W155" s="149"/>
      <c r="X155" s="149">
        <f>'Raw Input'!X81</f>
        <v>-17</v>
      </c>
      <c r="Y155" s="149"/>
      <c r="Z155" s="149"/>
      <c r="AA155" s="149"/>
      <c r="AB155" s="149"/>
      <c r="AC155" s="149">
        <f>'Raw Input'!AC81</f>
        <v>-12</v>
      </c>
      <c r="AD155" s="149"/>
      <c r="AE155" s="149"/>
      <c r="AF155" s="149"/>
      <c r="AG155" s="149"/>
      <c r="AH155" s="149"/>
      <c r="AI155" s="149"/>
      <c r="AJ155" s="149"/>
    </row>
    <row r="156" spans="2:36" x14ac:dyDescent="0.25">
      <c r="B156" s="115" t="s">
        <v>190</v>
      </c>
      <c r="I156" s="149">
        <f>'Raw Input'!I82</f>
        <v>6488</v>
      </c>
      <c r="J156" s="149"/>
      <c r="K156" s="149"/>
      <c r="L156" s="149"/>
      <c r="M156" s="149"/>
      <c r="N156" s="149">
        <f>'Raw Input'!N82</f>
        <v>1611</v>
      </c>
      <c r="O156" s="149"/>
      <c r="P156" s="149"/>
      <c r="Q156" s="149"/>
      <c r="R156" s="149"/>
      <c r="S156" s="149">
        <f>'Raw Input'!S82</f>
        <v>-8974</v>
      </c>
      <c r="T156" s="149"/>
      <c r="U156" s="149"/>
      <c r="V156" s="149"/>
      <c r="W156" s="149"/>
      <c r="X156" s="149">
        <f>'Raw Input'!X82</f>
        <v>-15816</v>
      </c>
      <c r="Y156" s="149"/>
      <c r="Z156" s="149"/>
      <c r="AA156" s="149"/>
      <c r="AB156" s="149"/>
      <c r="AC156" s="149">
        <f>'Raw Input'!AC82</f>
        <v>-15623</v>
      </c>
      <c r="AD156" s="149"/>
      <c r="AE156" s="149"/>
      <c r="AF156" s="149"/>
      <c r="AG156" s="149"/>
      <c r="AH156" s="149"/>
      <c r="AI156" s="149"/>
      <c r="AJ156" s="149"/>
    </row>
    <row r="157" spans="2:36" x14ac:dyDescent="0.25">
      <c r="B157" s="115" t="s">
        <v>191</v>
      </c>
      <c r="I157" s="149">
        <f>'Raw Input'!I83</f>
        <v>763</v>
      </c>
      <c r="J157" s="149"/>
      <c r="K157" s="149"/>
      <c r="L157" s="149"/>
      <c r="M157" s="149"/>
      <c r="N157" s="149">
        <f>'Raw Input'!N83</f>
        <v>2563</v>
      </c>
      <c r="O157" s="149"/>
      <c r="P157" s="149"/>
      <c r="Q157" s="149"/>
      <c r="R157" s="149"/>
      <c r="S157" s="149">
        <f>'Raw Input'!S83</f>
        <v>4545</v>
      </c>
      <c r="T157" s="149"/>
      <c r="U157" s="149"/>
      <c r="V157" s="149"/>
      <c r="W157" s="149"/>
      <c r="X157" s="149">
        <f>'Raw Input'!X83</f>
        <v>253</v>
      </c>
      <c r="Y157" s="149"/>
      <c r="Z157" s="149"/>
      <c r="AA157" s="149"/>
      <c r="AB157" s="149"/>
      <c r="AC157" s="149">
        <f>'Raw Input'!AC83</f>
        <v>1773</v>
      </c>
      <c r="AD157" s="149"/>
      <c r="AE157" s="149"/>
      <c r="AF157" s="149"/>
      <c r="AG157" s="149"/>
      <c r="AH157" s="149"/>
      <c r="AI157" s="149"/>
      <c r="AJ157" s="149"/>
    </row>
    <row r="158" spans="2:36" x14ac:dyDescent="0.25">
      <c r="B158" s="134" t="s">
        <v>192</v>
      </c>
      <c r="I158" s="149">
        <f>'Raw Input'!I84</f>
        <v>4292</v>
      </c>
      <c r="J158" s="149"/>
      <c r="K158" s="149"/>
      <c r="L158" s="149"/>
      <c r="M158" s="149"/>
      <c r="N158" s="149">
        <f>'Raw Input'!N84</f>
        <v>5055</v>
      </c>
      <c r="O158" s="149"/>
      <c r="P158" s="149"/>
      <c r="Q158" s="149"/>
      <c r="R158" s="149"/>
      <c r="S158" s="149">
        <f>'Raw Input'!S84</f>
        <v>7618</v>
      </c>
      <c r="T158" s="149"/>
      <c r="U158" s="149"/>
      <c r="V158" s="149"/>
      <c r="W158" s="149"/>
      <c r="X158" s="149">
        <f>'Raw Input'!X84</f>
        <v>12163</v>
      </c>
      <c r="Y158" s="149"/>
      <c r="Z158" s="149"/>
      <c r="AA158" s="149"/>
      <c r="AB158" s="149"/>
      <c r="AC158" s="149">
        <f>'Raw Input'!AC84</f>
        <v>12416</v>
      </c>
      <c r="AD158" s="149"/>
      <c r="AE158" s="149"/>
      <c r="AF158" s="149"/>
      <c r="AG158" s="149"/>
      <c r="AH158" s="149"/>
      <c r="AI158" s="149"/>
      <c r="AJ158" s="149"/>
    </row>
    <row r="159" spans="2:36" s="1" customFormat="1" x14ac:dyDescent="0.25">
      <c r="B159" s="134" t="s">
        <v>193</v>
      </c>
      <c r="I159" s="149">
        <f>'Raw Input'!I85</f>
        <v>5055</v>
      </c>
      <c r="J159" s="149"/>
      <c r="K159" s="149"/>
      <c r="L159" s="149"/>
      <c r="M159" s="149"/>
      <c r="N159" s="149">
        <f>'Raw Input'!N85</f>
        <v>7618</v>
      </c>
      <c r="O159" s="149"/>
      <c r="P159" s="149"/>
      <c r="Q159" s="149"/>
      <c r="R159" s="149"/>
      <c r="S159" s="149">
        <f>'Raw Input'!S85</f>
        <v>12163</v>
      </c>
      <c r="T159" s="149"/>
      <c r="U159" s="149"/>
      <c r="V159" s="149"/>
      <c r="W159" s="149"/>
      <c r="X159" s="149">
        <f>'Raw Input'!X85</f>
        <v>12416</v>
      </c>
      <c r="Y159" s="149"/>
      <c r="Z159" s="149"/>
      <c r="AA159" s="149"/>
      <c r="AB159" s="149"/>
      <c r="AC159" s="149">
        <f>'Raw Input'!AC85</f>
        <v>14189</v>
      </c>
      <c r="AD159" s="149"/>
      <c r="AE159" s="149"/>
      <c r="AF159" s="149"/>
      <c r="AG159" s="149"/>
      <c r="AH159" s="149"/>
      <c r="AI159" s="149"/>
      <c r="AJ159" s="149"/>
    </row>
    <row r="160" spans="2:36" x14ac:dyDescent="0.25"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</row>
    <row r="161" spans="2:36" x14ac:dyDescent="0.25">
      <c r="B161" s="115" t="s">
        <v>194</v>
      </c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  <c r="AE161" s="149"/>
      <c r="AF161" s="149"/>
      <c r="AG161" s="149"/>
      <c r="AH161" s="149"/>
      <c r="AI161" s="149"/>
      <c r="AJ161" s="149"/>
    </row>
    <row r="162" spans="2:36" x14ac:dyDescent="0.25">
      <c r="B162" t="s">
        <v>195</v>
      </c>
      <c r="I162" s="149">
        <f>'Raw Input'!I88</f>
        <v>1287</v>
      </c>
      <c r="J162" s="149"/>
      <c r="K162" s="149"/>
      <c r="L162" s="149"/>
      <c r="M162" s="149"/>
      <c r="N162" s="149">
        <f>'Raw Input'!N88</f>
        <v>1408</v>
      </c>
      <c r="O162" s="149"/>
      <c r="P162" s="149"/>
      <c r="Q162" s="149"/>
      <c r="R162" s="149"/>
      <c r="S162" s="149">
        <f>'Raw Input'!S88</f>
        <v>1565</v>
      </c>
      <c r="T162" s="149"/>
      <c r="U162" s="149"/>
      <c r="V162" s="149"/>
      <c r="W162" s="149"/>
      <c r="X162" s="149">
        <f>'Raw Input'!X88</f>
        <v>1386</v>
      </c>
      <c r="Y162" s="149"/>
      <c r="Z162" s="149"/>
      <c r="AA162" s="149"/>
      <c r="AB162" s="149"/>
      <c r="AC162" s="149">
        <f>'Raw Input'!AC88</f>
        <v>1503</v>
      </c>
      <c r="AD162" s="149"/>
      <c r="AE162" s="149"/>
      <c r="AF162" s="149"/>
      <c r="AG162" s="149"/>
      <c r="AH162" s="149"/>
      <c r="AI162" s="149"/>
      <c r="AJ162" s="149"/>
    </row>
    <row r="163" spans="2:36" x14ac:dyDescent="0.25">
      <c r="B163" t="s">
        <v>196</v>
      </c>
      <c r="I163" s="149">
        <f>'Raw Input'!I89</f>
        <v>741</v>
      </c>
      <c r="J163" s="149"/>
      <c r="K163" s="149"/>
      <c r="L163" s="149"/>
      <c r="M163" s="149"/>
      <c r="N163" s="149">
        <f>'Raw Input'!N89</f>
        <v>501</v>
      </c>
      <c r="O163" s="149"/>
      <c r="P163" s="149"/>
      <c r="Q163" s="149"/>
      <c r="R163" s="149"/>
      <c r="S163" s="149">
        <f>'Raw Input'!S89</f>
        <v>775</v>
      </c>
      <c r="T163" s="149"/>
      <c r="U163" s="149"/>
      <c r="V163" s="149"/>
      <c r="W163" s="149"/>
      <c r="X163" s="149">
        <f>'Raw Input'!X89</f>
        <v>908</v>
      </c>
      <c r="Y163" s="149"/>
      <c r="Z163" s="149"/>
      <c r="AA163" s="149"/>
      <c r="AB163" s="149"/>
      <c r="AC163" s="149">
        <f>'Raw Input'!AC89</f>
        <v>1782</v>
      </c>
      <c r="AD163" s="149"/>
      <c r="AE163" s="149"/>
      <c r="AF163" s="149"/>
      <c r="AG163" s="149"/>
      <c r="AH163" s="149"/>
      <c r="AI163" s="149"/>
      <c r="AJ163" s="149"/>
    </row>
    <row r="164" spans="2:36" x14ac:dyDescent="0.25"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149"/>
      <c r="AD164" s="149"/>
      <c r="AE164" s="149"/>
      <c r="AF164" s="149"/>
      <c r="AG164" s="149"/>
      <c r="AH164" s="149"/>
      <c r="AI164" s="149"/>
      <c r="AJ164" s="149"/>
    </row>
    <row r="165" spans="2:36" x14ac:dyDescent="0.25"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9"/>
      <c r="AE165" s="149"/>
      <c r="AF165" s="149"/>
      <c r="AG165" s="149"/>
      <c r="AH165" s="149"/>
      <c r="AI165" s="149"/>
      <c r="AJ165" s="149"/>
    </row>
    <row r="166" spans="2:36" x14ac:dyDescent="0.25">
      <c r="B166" s="124" t="s">
        <v>101</v>
      </c>
      <c r="C166" s="125"/>
      <c r="D166" s="125"/>
      <c r="E166" s="125"/>
      <c r="F166" s="125"/>
      <c r="G166" s="125"/>
      <c r="H166" s="12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</row>
    <row r="167" spans="2:36" x14ac:dyDescent="0.25">
      <c r="B167" s="126" t="s">
        <v>102</v>
      </c>
      <c r="I167" s="149"/>
      <c r="J167" s="149"/>
      <c r="K167" s="149"/>
      <c r="L167" s="149"/>
      <c r="M167" s="149"/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  <c r="AD167" s="149"/>
      <c r="AE167" s="149"/>
      <c r="AF167" s="149"/>
      <c r="AG167" s="149"/>
      <c r="AH167" s="149"/>
      <c r="AI167" s="149"/>
      <c r="AJ167" s="149"/>
    </row>
    <row r="168" spans="2:36" x14ac:dyDescent="0.25"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9"/>
      <c r="AE168" s="149"/>
      <c r="AF168" s="149"/>
      <c r="AG168" s="149"/>
      <c r="AH168" s="149"/>
      <c r="AI168" s="149"/>
      <c r="AJ168" s="149"/>
    </row>
    <row r="169" spans="2:36" x14ac:dyDescent="0.25">
      <c r="B169" s="125" t="s">
        <v>103</v>
      </c>
      <c r="C169" s="125"/>
      <c r="D169" s="125"/>
      <c r="E169" s="125"/>
      <c r="F169" s="125"/>
      <c r="G169" s="125"/>
      <c r="H169" s="125"/>
      <c r="I169" s="155">
        <f t="shared" ref="I169:AG169" si="110">I142</f>
        <v>-432</v>
      </c>
      <c r="J169" s="155">
        <f t="shared" si="110"/>
        <v>0</v>
      </c>
      <c r="K169" s="155">
        <f t="shared" si="110"/>
        <v>0</v>
      </c>
      <c r="L169" s="155">
        <f t="shared" si="110"/>
        <v>0</v>
      </c>
      <c r="M169" s="155">
        <f t="shared" si="110"/>
        <v>0</v>
      </c>
      <c r="N169" s="155">
        <f t="shared" si="110"/>
        <v>-463</v>
      </c>
      <c r="O169" s="155">
        <f t="shared" si="110"/>
        <v>-114</v>
      </c>
      <c r="P169" s="155">
        <f t="shared" si="110"/>
        <v>-126</v>
      </c>
      <c r="Q169" s="155">
        <f t="shared" si="110"/>
        <v>-115</v>
      </c>
      <c r="R169" s="155">
        <f t="shared" si="110"/>
        <v>-88</v>
      </c>
      <c r="S169" s="155">
        <f t="shared" si="110"/>
        <v>-443</v>
      </c>
      <c r="T169" s="155">
        <f t="shared" si="110"/>
        <v>-101</v>
      </c>
      <c r="U169" s="155">
        <f t="shared" si="110"/>
        <v>-85</v>
      </c>
      <c r="V169" s="155">
        <f t="shared" si="110"/>
        <v>-116</v>
      </c>
      <c r="W169" s="155">
        <f t="shared" si="110"/>
        <v>-122</v>
      </c>
      <c r="X169" s="155">
        <f t="shared" si="110"/>
        <v>-424</v>
      </c>
      <c r="Y169" s="155">
        <f t="shared" si="110"/>
        <v>-103</v>
      </c>
      <c r="Z169" s="155">
        <f t="shared" si="110"/>
        <v>-152</v>
      </c>
      <c r="AA169" s="155">
        <f t="shared" si="110"/>
        <v>-92</v>
      </c>
      <c r="AB169" s="155">
        <f t="shared" si="110"/>
        <v>-105</v>
      </c>
      <c r="AC169" s="155">
        <f t="shared" si="110"/>
        <v>-452</v>
      </c>
      <c r="AD169" s="155">
        <f t="shared" si="110"/>
        <v>-122</v>
      </c>
      <c r="AE169" s="155">
        <f t="shared" si="110"/>
        <v>-132</v>
      </c>
      <c r="AF169" s="155">
        <f t="shared" si="110"/>
        <v>-137</v>
      </c>
      <c r="AG169" s="155">
        <f t="shared" si="110"/>
        <v>-144</v>
      </c>
      <c r="AH169" s="155">
        <f>AH142</f>
        <v>-535</v>
      </c>
      <c r="AI169" s="155"/>
      <c r="AJ169" s="155"/>
    </row>
    <row r="170" spans="2:36" x14ac:dyDescent="0.25">
      <c r="B170" s="126" t="s">
        <v>93</v>
      </c>
      <c r="I170" s="180">
        <f t="shared" ref="I170:AH170" si="111">I169/I10</f>
        <v>-1.9117581979908836E-2</v>
      </c>
      <c r="J170" s="180" t="e">
        <f t="shared" si="111"/>
        <v>#DIV/0!</v>
      </c>
      <c r="K170" s="180" t="e">
        <f t="shared" si="111"/>
        <v>#DIV/0!</v>
      </c>
      <c r="L170" s="180" t="e">
        <f t="shared" si="111"/>
        <v>#DIV/0!</v>
      </c>
      <c r="M170" s="180" t="e">
        <f t="shared" si="111"/>
        <v>#DIV/0!</v>
      </c>
      <c r="N170" s="180">
        <f t="shared" si="111"/>
        <v>-1.9382116543871401E-2</v>
      </c>
      <c r="O170" s="180">
        <f t="shared" si="111"/>
        <v>-1.7129977460555973E-2</v>
      </c>
      <c r="P170" s="180">
        <f t="shared" si="111"/>
        <v>-1.9062027231467472E-2</v>
      </c>
      <c r="Q170" s="180">
        <f t="shared" si="111"/>
        <v>-1.6966656830923577E-2</v>
      </c>
      <c r="R170" s="180">
        <f t="shared" si="111"/>
        <v>-1.1880653435938977E-2</v>
      </c>
      <c r="S170" s="180">
        <f t="shared" si="111"/>
        <v>-1.6138433515482695E-2</v>
      </c>
      <c r="T170" s="180">
        <f t="shared" si="111"/>
        <v>-1.310667012717363E-2</v>
      </c>
      <c r="U170" s="180">
        <f t="shared" si="111"/>
        <v>-1.0489941996791312E-2</v>
      </c>
      <c r="V170" s="180">
        <f t="shared" si="111"/>
        <v>-1.3705103969754254E-2</v>
      </c>
      <c r="W170" s="180">
        <f t="shared" si="111"/>
        <v>-1.366181410974244E-2</v>
      </c>
      <c r="X170" s="180">
        <f t="shared" si="111"/>
        <v>-1.2769930427973376E-2</v>
      </c>
      <c r="Y170" s="180">
        <f t="shared" si="111"/>
        <v>-1.155356141334829E-2</v>
      </c>
      <c r="Z170" s="180">
        <f t="shared" si="111"/>
        <v>-1.7405244474979962E-2</v>
      </c>
      <c r="AA170" s="180">
        <f t="shared" si="111"/>
        <v>-1.0365029292474088E-2</v>
      </c>
      <c r="AB170" s="180">
        <f t="shared" si="111"/>
        <v>-1.1296395911780527E-2</v>
      </c>
      <c r="AC170" s="180">
        <f t="shared" si="111"/>
        <v>-1.2619001088807615E-2</v>
      </c>
      <c r="AD170" s="180">
        <f t="shared" si="111"/>
        <v>-1.019981606889056E-2</v>
      </c>
      <c r="AE170" s="180">
        <f t="shared" si="111"/>
        <v>-1.0570993833586931E-2</v>
      </c>
      <c r="AF170" s="180">
        <f t="shared" si="111"/>
        <v>-1.0164810908548606E-2</v>
      </c>
      <c r="AG170" s="180">
        <f t="shared" si="111"/>
        <v>-1.0023597218451771E-2</v>
      </c>
      <c r="AH170" s="180">
        <f t="shared" si="111"/>
        <v>-1.0231016349164125E-2</v>
      </c>
      <c r="AI170" s="149"/>
      <c r="AJ170" s="149"/>
    </row>
    <row r="171" spans="2:36" x14ac:dyDescent="0.25"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9"/>
      <c r="AE171" s="149"/>
      <c r="AF171" s="149"/>
      <c r="AG171" s="149"/>
      <c r="AH171" s="149"/>
      <c r="AI171" s="149"/>
      <c r="AJ171" s="149"/>
    </row>
    <row r="172" spans="2:36" x14ac:dyDescent="0.25"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49"/>
      <c r="AE172" s="149"/>
      <c r="AF172" s="149"/>
      <c r="AG172" s="149"/>
      <c r="AH172" s="149"/>
      <c r="AI172" s="149"/>
      <c r="AJ172" s="149"/>
    </row>
    <row r="173" spans="2:36" x14ac:dyDescent="0.25">
      <c r="I173" s="149"/>
      <c r="J173" s="149"/>
      <c r="K173" s="149"/>
      <c r="L173" s="149"/>
      <c r="M173" s="149"/>
      <c r="N173" s="149"/>
      <c r="O173" s="149"/>
      <c r="P173" s="149"/>
      <c r="Q173" s="149"/>
      <c r="R173" s="149"/>
      <c r="S173" s="149"/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  <c r="AD173" s="149"/>
      <c r="AE173" s="149"/>
      <c r="AF173" s="149"/>
      <c r="AG173" s="149"/>
      <c r="AH173" s="149"/>
      <c r="AI173" s="149"/>
      <c r="AJ173" s="149"/>
    </row>
    <row r="174" spans="2:36" x14ac:dyDescent="0.25"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48"/>
      <c r="AB174" s="148"/>
      <c r="AC174" s="148"/>
      <c r="AD174" s="148"/>
      <c r="AE174" s="148"/>
      <c r="AF174" s="148"/>
      <c r="AG174" s="148"/>
      <c r="AH174" s="148"/>
      <c r="AI174" s="148"/>
      <c r="AJ174" s="148"/>
    </row>
    <row r="175" spans="2:36" x14ac:dyDescent="0.25"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48"/>
      <c r="AB175" s="148"/>
      <c r="AC175" s="148"/>
      <c r="AD175" s="148"/>
      <c r="AE175" s="148"/>
      <c r="AF175" s="148"/>
      <c r="AG175" s="148"/>
      <c r="AH175" s="148"/>
      <c r="AI175" s="148"/>
      <c r="AJ175" s="148"/>
    </row>
    <row r="176" spans="2:36" x14ac:dyDescent="0.25"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  <c r="AB176" s="148"/>
      <c r="AC176" s="148"/>
      <c r="AD176" s="148"/>
      <c r="AE176" s="148"/>
      <c r="AF176" s="148"/>
      <c r="AG176" s="148"/>
      <c r="AH176" s="148"/>
      <c r="AI176" s="148"/>
      <c r="AJ176" s="148"/>
    </row>
    <row r="177" spans="9:36" x14ac:dyDescent="0.25"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  <c r="AB177" s="148"/>
      <c r="AC177" s="148"/>
      <c r="AD177" s="148"/>
      <c r="AE177" s="148"/>
      <c r="AF177" s="148"/>
      <c r="AG177" s="148"/>
      <c r="AH177" s="148"/>
      <c r="AI177" s="148"/>
      <c r="AJ177" s="148"/>
    </row>
    <row r="178" spans="9:36" x14ac:dyDescent="0.25"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48"/>
      <c r="AB178" s="148"/>
      <c r="AC178" s="148"/>
      <c r="AD178" s="148"/>
      <c r="AF178" s="148"/>
      <c r="AG178" s="148"/>
      <c r="AH178" s="148"/>
      <c r="AI178" s="148"/>
      <c r="AJ178" s="148"/>
    </row>
    <row r="179" spans="9:36" x14ac:dyDescent="0.25"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  <c r="AB179" s="148"/>
      <c r="AC179" s="148"/>
      <c r="AD179" s="148"/>
      <c r="AF179" s="148"/>
      <c r="AG179" s="148"/>
      <c r="AH179" s="148"/>
      <c r="AI179" s="148"/>
      <c r="AJ179" s="148"/>
    </row>
    <row r="180" spans="9:36" x14ac:dyDescent="0.25"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48"/>
      <c r="AB180" s="148"/>
      <c r="AC180" s="148"/>
      <c r="AD180" s="148"/>
      <c r="AF180" s="148"/>
      <c r="AG180" s="148"/>
      <c r="AH180" s="148"/>
      <c r="AI180" s="148"/>
      <c r="AJ180" s="148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944A-D55F-4925-8EFC-E0164B11AE3A}">
  <sheetPr>
    <tabColor rgb="FFFF0000"/>
  </sheetPr>
  <dimension ref="B2:O36"/>
  <sheetViews>
    <sheetView zoomScale="90" zoomScaleNormal="90" zoomScaleSheetLayoutView="40" workbookViewId="0">
      <selection activeCell="P27" sqref="P27"/>
    </sheetView>
  </sheetViews>
  <sheetFormatPr defaultColWidth="11.42578125" defaultRowHeight="15" x14ac:dyDescent="0.25"/>
  <cols>
    <col min="1" max="1" width="11.42578125" style="187"/>
    <col min="2" max="2" width="20" style="187" bestFit="1" customWidth="1"/>
    <col min="3" max="3" width="11.5703125" style="187" bestFit="1" customWidth="1"/>
    <col min="4" max="4" width="24.140625" style="187" bestFit="1" customWidth="1"/>
    <col min="5" max="5" width="0" style="187" hidden="1" customWidth="1"/>
    <col min="6" max="6" width="16.42578125" style="187" bestFit="1" customWidth="1"/>
    <col min="7" max="7" width="10.28515625" style="187" bestFit="1" customWidth="1"/>
    <col min="8" max="12" width="11.5703125" style="187" bestFit="1" customWidth="1"/>
    <col min="13" max="13" width="9.28515625" style="187" bestFit="1" customWidth="1"/>
    <col min="14" max="15" width="11.42578125" style="187"/>
    <col min="16" max="16" width="11.42578125" style="187" customWidth="1"/>
    <col min="17" max="17" width="11" style="187" bestFit="1" customWidth="1"/>
    <col min="18" max="18" width="12.7109375" style="187" bestFit="1" customWidth="1"/>
    <col min="19" max="19" width="11" style="187" bestFit="1" customWidth="1"/>
    <col min="20" max="16384" width="11.42578125" style="187"/>
  </cols>
  <sheetData>
    <row r="2" spans="2:13" x14ac:dyDescent="0.25">
      <c r="B2" s="185" t="s">
        <v>17</v>
      </c>
      <c r="C2" s="186" t="s">
        <v>236</v>
      </c>
      <c r="F2" s="188"/>
      <c r="G2" s="286"/>
      <c r="H2" s="286"/>
      <c r="I2" s="286"/>
      <c r="J2" s="286"/>
      <c r="K2" s="286"/>
      <c r="L2" s="286"/>
      <c r="M2" s="189"/>
    </row>
    <row r="3" spans="2:13" x14ac:dyDescent="0.25">
      <c r="B3" s="185" t="s">
        <v>107</v>
      </c>
      <c r="C3" s="186" t="s">
        <v>131</v>
      </c>
      <c r="G3" s="190">
        <v>2021</v>
      </c>
      <c r="H3" s="190">
        <f>G3+1</f>
        <v>2022</v>
      </c>
      <c r="I3" s="190">
        <f>H3+1</f>
        <v>2023</v>
      </c>
      <c r="J3" s="191" t="s">
        <v>74</v>
      </c>
      <c r="K3" s="191" t="s">
        <v>75</v>
      </c>
      <c r="L3" s="191" t="s">
        <v>76</v>
      </c>
      <c r="M3" s="192"/>
    </row>
    <row r="4" spans="2:13" x14ac:dyDescent="0.25">
      <c r="B4" s="185" t="s">
        <v>110</v>
      </c>
      <c r="C4" s="193">
        <v>45513</v>
      </c>
      <c r="F4" s="194" t="s">
        <v>1</v>
      </c>
      <c r="G4" s="195">
        <f>MOD!S10</f>
        <v>27450</v>
      </c>
      <c r="H4" s="195">
        <f>MOD!X10</f>
        <v>33203</v>
      </c>
      <c r="I4" s="195">
        <f>MOD!AC10</f>
        <v>35819</v>
      </c>
      <c r="J4" s="196">
        <f>MOD!AH10</f>
        <v>52291.97</v>
      </c>
      <c r="K4" s="196">
        <f>MOD!AI10</f>
        <v>60941.485800000009</v>
      </c>
      <c r="L4" s="196">
        <f>MOD!AJ10</f>
        <v>69051.648096000004</v>
      </c>
      <c r="M4" s="196"/>
    </row>
    <row r="5" spans="2:13" x14ac:dyDescent="0.25">
      <c r="F5" s="197" t="s">
        <v>112</v>
      </c>
      <c r="G5" s="198"/>
      <c r="H5" s="198">
        <f>H4/G4-1</f>
        <v>0.20958105646630232</v>
      </c>
      <c r="I5" s="198">
        <f>I4/H4-1</f>
        <v>7.8788061319760239E-2</v>
      </c>
      <c r="J5" s="199">
        <f>J4/I4-1</f>
        <v>0.45989474859711321</v>
      </c>
      <c r="K5" s="199">
        <f>K4/J4-1</f>
        <v>0.16540810759281022</v>
      </c>
      <c r="L5" s="199">
        <f>L4/K4-1</f>
        <v>0.13308113823506407</v>
      </c>
      <c r="M5" s="199"/>
    </row>
    <row r="6" spans="2:13" x14ac:dyDescent="0.25">
      <c r="F6" s="197"/>
      <c r="G6" s="198"/>
      <c r="H6" s="198"/>
      <c r="I6" s="198"/>
      <c r="J6" s="199"/>
      <c r="K6" s="199"/>
      <c r="L6" s="199"/>
      <c r="M6" s="199"/>
    </row>
    <row r="7" spans="2:13" x14ac:dyDescent="0.25">
      <c r="B7" s="286" t="s">
        <v>115</v>
      </c>
      <c r="C7" s="286"/>
      <c r="F7" s="194" t="s">
        <v>9</v>
      </c>
      <c r="G7" s="200">
        <f>MOD!S99</f>
        <v>21832</v>
      </c>
      <c r="H7" s="200">
        <f>MOD!X99</f>
        <v>25163</v>
      </c>
      <c r="I7" s="200">
        <f>MOD!AC99</f>
        <v>25664</v>
      </c>
      <c r="J7" s="196">
        <f>MOD!AH99</f>
        <v>38521.685799999992</v>
      </c>
      <c r="K7" s="196">
        <f>MOD!AI99</f>
        <v>41908.402332000012</v>
      </c>
      <c r="L7" s="196">
        <f>MOD!AJ99</f>
        <v>45787.889971840006</v>
      </c>
      <c r="M7" s="196"/>
    </row>
    <row r="8" spans="2:13" x14ac:dyDescent="0.25">
      <c r="B8" s="201" t="s">
        <v>116</v>
      </c>
      <c r="C8" s="202">
        <v>148.91</v>
      </c>
      <c r="F8" s="197" t="s">
        <v>117</v>
      </c>
      <c r="G8" s="198">
        <f>G7/G4</f>
        <v>0.79533697632058287</v>
      </c>
      <c r="H8" s="198">
        <f t="shared" ref="H8:L8" si="0">H7/H4</f>
        <v>0.75785320603559925</v>
      </c>
      <c r="I8" s="198">
        <f t="shared" si="0"/>
        <v>0.71649124766185546</v>
      </c>
      <c r="J8" s="199">
        <f t="shared" si="0"/>
        <v>0.73666541535918406</v>
      </c>
      <c r="K8" s="199">
        <f t="shared" si="0"/>
        <v>0.68768264806566315</v>
      </c>
      <c r="L8" s="199">
        <f t="shared" si="0"/>
        <v>0.66309626539518307</v>
      </c>
      <c r="M8" s="199"/>
    </row>
    <row r="9" spans="2:13" x14ac:dyDescent="0.25">
      <c r="B9" s="203" t="s">
        <v>104</v>
      </c>
      <c r="C9" s="204">
        <v>4924.88</v>
      </c>
      <c r="F9" s="197" t="s">
        <v>112</v>
      </c>
      <c r="G9" s="198"/>
      <c r="H9" s="198">
        <f>H7/G7-1</f>
        <v>0.15257420300476365</v>
      </c>
      <c r="I9" s="198">
        <f t="shared" ref="I9:K9" si="1">I7/H7-1</f>
        <v>1.99101855899535E-2</v>
      </c>
      <c r="J9" s="199">
        <f t="shared" si="1"/>
        <v>0.50100084943890244</v>
      </c>
      <c r="K9" s="199">
        <f t="shared" si="1"/>
        <v>8.7917142297028406E-2</v>
      </c>
      <c r="L9" s="199">
        <f>L7/K7-1</f>
        <v>9.2570640348122568E-2</v>
      </c>
      <c r="M9" s="199"/>
    </row>
    <row r="10" spans="2:13" x14ac:dyDescent="0.25">
      <c r="B10" s="201" t="s">
        <v>105</v>
      </c>
      <c r="C10" s="205">
        <f>C8*C9</f>
        <v>733363.88080000004</v>
      </c>
      <c r="F10" s="197"/>
      <c r="G10" s="206"/>
      <c r="H10" s="198"/>
      <c r="I10" s="198"/>
      <c r="J10" s="199"/>
      <c r="K10" s="199"/>
      <c r="L10" s="199"/>
      <c r="M10" s="199"/>
    </row>
    <row r="11" spans="2:13" x14ac:dyDescent="0.25">
      <c r="B11" s="203" t="s">
        <v>118</v>
      </c>
      <c r="C11" s="218">
        <f>2430+71590</f>
        <v>74020</v>
      </c>
      <c r="F11" s="207" t="s">
        <v>119</v>
      </c>
      <c r="G11" s="208">
        <f>MOD!S105</f>
        <v>3.2652680652680655</v>
      </c>
      <c r="H11" s="208">
        <f>MOD!X105</f>
        <v>4.1250591016548466</v>
      </c>
      <c r="I11" s="208">
        <f>MOD!AC105</f>
        <v>4.614519906323185</v>
      </c>
      <c r="J11" s="209">
        <f>MOD!AH105</f>
        <v>5.0215177611666659</v>
      </c>
      <c r="K11" s="209">
        <f>MOD!AI105</f>
        <v>5.7589704081000015</v>
      </c>
      <c r="L11" s="210">
        <f>MOD!AJ105</f>
        <v>6.5253807450720016</v>
      </c>
      <c r="M11" s="211"/>
    </row>
    <row r="12" spans="2:13" x14ac:dyDescent="0.25">
      <c r="B12" s="203" t="s">
        <v>40</v>
      </c>
      <c r="C12" s="218">
        <v>9810</v>
      </c>
      <c r="F12" s="212" t="s">
        <v>112</v>
      </c>
      <c r="G12" s="213"/>
      <c r="H12" s="214">
        <f>H11/G11-1</f>
        <v>0.26331407382205096</v>
      </c>
      <c r="I12" s="215">
        <f t="shared" ref="I12:J12" si="2">I11/H11-1</f>
        <v>0.11865546471127697</v>
      </c>
      <c r="J12" s="215">
        <f t="shared" si="2"/>
        <v>8.8199393025865991E-2</v>
      </c>
      <c r="K12" s="215">
        <f>K11/J11-1</f>
        <v>0.14685851609175637</v>
      </c>
      <c r="L12" s="216">
        <f>L11/K11-1</f>
        <v>0.13308113823506407</v>
      </c>
      <c r="M12" s="199"/>
    </row>
    <row r="13" spans="2:13" x14ac:dyDescent="0.25">
      <c r="B13" s="201" t="s">
        <v>120</v>
      </c>
      <c r="C13" s="205">
        <f>+C11-C12</f>
        <v>64210</v>
      </c>
      <c r="F13" s="194" t="s">
        <v>121</v>
      </c>
      <c r="G13" s="217">
        <f>MOD!S106</f>
        <v>2.8</v>
      </c>
      <c r="H13" s="217">
        <f>MOD!X106</f>
        <v>3.76</v>
      </c>
      <c r="I13" s="217">
        <f>MOD!AC106</f>
        <v>4.22</v>
      </c>
      <c r="J13" s="217">
        <f>MOD!AH106</f>
        <v>4.8</v>
      </c>
      <c r="K13" s="217">
        <f>MOD!AI106</f>
        <v>6.11</v>
      </c>
      <c r="L13" s="217">
        <f>MOD!AJ106</f>
        <v>7.08</v>
      </c>
      <c r="M13" s="217"/>
    </row>
    <row r="14" spans="2:13" x14ac:dyDescent="0.25">
      <c r="B14" s="203" t="s">
        <v>122</v>
      </c>
      <c r="C14" s="218">
        <v>0</v>
      </c>
      <c r="F14" s="197" t="s">
        <v>112</v>
      </c>
      <c r="I14" s="188"/>
      <c r="J14" s="219">
        <f>+J13/I11-1</f>
        <v>4.0194884287454213E-2</v>
      </c>
      <c r="K14" s="219">
        <f>+K13/J13-1</f>
        <v>0.2729166666666667</v>
      </c>
      <c r="L14" s="219">
        <f>+L13/K13-1</f>
        <v>0.15875613747954165</v>
      </c>
      <c r="M14" s="219"/>
    </row>
    <row r="15" spans="2:13" ht="15.75" thickBot="1" x14ac:dyDescent="0.3">
      <c r="B15" s="220" t="s">
        <v>34</v>
      </c>
      <c r="C15" s="221">
        <f>+C10-C12+C11+C14</f>
        <v>797573.88080000004</v>
      </c>
      <c r="F15" s="222" t="s">
        <v>123</v>
      </c>
      <c r="G15" s="223"/>
      <c r="H15" s="223"/>
      <c r="I15" s="224"/>
      <c r="J15" s="225">
        <f>+IFERROR(J11/J13-1,"n.a.")</f>
        <v>4.6149533576388846E-2</v>
      </c>
      <c r="K15" s="225">
        <f t="shared" ref="K15" si="3">+IFERROR(K11/K13-1,"n.a.")</f>
        <v>-5.7451651702127515E-2</v>
      </c>
      <c r="L15" s="226">
        <f>+IFERROR(L11/L13-1,"n.a.")</f>
        <v>-7.8336052955931934E-2</v>
      </c>
      <c r="M15" s="227"/>
    </row>
    <row r="16" spans="2:13" x14ac:dyDescent="0.25">
      <c r="C16" s="228"/>
      <c r="F16" s="194"/>
      <c r="G16" s="229"/>
      <c r="H16" s="229"/>
      <c r="I16" s="229"/>
      <c r="J16" s="229"/>
      <c r="K16" s="229"/>
      <c r="L16" s="229"/>
      <c r="M16" s="229"/>
    </row>
    <row r="17" spans="2:15" x14ac:dyDescent="0.25">
      <c r="G17" s="230">
        <f>G3</f>
        <v>2021</v>
      </c>
      <c r="H17" s="230">
        <f t="shared" ref="H17:L17" si="4">H3</f>
        <v>2022</v>
      </c>
      <c r="I17" s="230">
        <f t="shared" si="4"/>
        <v>2023</v>
      </c>
      <c r="J17" s="230" t="str">
        <f t="shared" si="4"/>
        <v>2024E</v>
      </c>
      <c r="K17" s="230" t="str">
        <f t="shared" si="4"/>
        <v>2025E</v>
      </c>
      <c r="L17" s="230" t="str">
        <f t="shared" si="4"/>
        <v>2026E</v>
      </c>
      <c r="M17" s="231"/>
    </row>
    <row r="18" spans="2:15" x14ac:dyDescent="0.25">
      <c r="B18" s="232" t="s">
        <v>127</v>
      </c>
      <c r="C18" s="232"/>
      <c r="F18" s="233" t="s">
        <v>124</v>
      </c>
      <c r="G18" s="234">
        <f>+$C$15/G4</f>
        <v>29.055514783242259</v>
      </c>
      <c r="H18" s="234">
        <f>+$C$15/H4</f>
        <v>24.021139077794178</v>
      </c>
      <c r="I18" s="234">
        <f t="shared" ref="I18:L18" si="5">+$C$15/I4</f>
        <v>22.26678245623831</v>
      </c>
      <c r="J18" s="235">
        <f>+$C$15/J4</f>
        <v>15.25232040024501</v>
      </c>
      <c r="K18" s="235">
        <f t="shared" si="5"/>
        <v>13.087535860505717</v>
      </c>
      <c r="L18" s="236">
        <f t="shared" si="5"/>
        <v>11.550396012143866</v>
      </c>
      <c r="M18" s="237"/>
    </row>
    <row r="19" spans="2:15" x14ac:dyDescent="0.25">
      <c r="B19" s="187" t="s">
        <v>128</v>
      </c>
      <c r="C19" s="238">
        <f>L11</f>
        <v>6.5253807450720016</v>
      </c>
      <c r="F19" s="239" t="s">
        <v>125</v>
      </c>
      <c r="G19" s="237">
        <f>+$C$15/G7</f>
        <v>36.532332392817885</v>
      </c>
      <c r="H19" s="237">
        <f t="shared" ref="H19:L19" si="6">+$C$15/H7</f>
        <v>31.696295386082742</v>
      </c>
      <c r="I19" s="237">
        <f t="shared" si="6"/>
        <v>31.07753587905237</v>
      </c>
      <c r="J19" s="240">
        <f>+$C$15/J7</f>
        <v>20.704542499539318</v>
      </c>
      <c r="K19" s="240">
        <f t="shared" si="6"/>
        <v>19.031359737400351</v>
      </c>
      <c r="L19" s="241">
        <f t="shared" si="6"/>
        <v>17.418882619192885</v>
      </c>
      <c r="M19" s="237"/>
    </row>
    <row r="20" spans="2:15" x14ac:dyDescent="0.25">
      <c r="B20" s="187" t="s">
        <v>129</v>
      </c>
      <c r="C20" s="242">
        <f>L21</f>
        <v>21.032485875706215</v>
      </c>
      <c r="F20" s="239" t="s">
        <v>38</v>
      </c>
      <c r="G20" s="237">
        <f>+$C$8/G11</f>
        <v>45.604219017704168</v>
      </c>
      <c r="H20" s="237">
        <f>+$C$8/H11</f>
        <v>36.098876726459963</v>
      </c>
      <c r="I20" s="237">
        <f t="shared" ref="I20:L20" si="7">+$C$8/I11</f>
        <v>32.269879212342673</v>
      </c>
      <c r="J20" s="240">
        <f>+$C$8/J11</f>
        <v>29.65438082318029</v>
      </c>
      <c r="K20" s="240">
        <f>+$C$8/K11</f>
        <v>25.857052467322603</v>
      </c>
      <c r="L20" s="241">
        <f t="shared" si="7"/>
        <v>22.820124344844938</v>
      </c>
      <c r="M20" s="237"/>
    </row>
    <row r="21" spans="2:15" x14ac:dyDescent="0.25">
      <c r="B21" s="194" t="s">
        <v>127</v>
      </c>
      <c r="C21" s="243">
        <f>+C19*C20</f>
        <v>137.24497835433218</v>
      </c>
      <c r="F21" s="244" t="s">
        <v>126</v>
      </c>
      <c r="G21" s="245">
        <f>+$C$8/G13</f>
        <v>53.182142857142857</v>
      </c>
      <c r="H21" s="245">
        <f>+$C$8/H13</f>
        <v>39.603723404255319</v>
      </c>
      <c r="I21" s="245">
        <f>+$C$8/I13</f>
        <v>35.286729857819907</v>
      </c>
      <c r="J21" s="246">
        <f>+$C$8/J13</f>
        <v>31.022916666666667</v>
      </c>
      <c r="K21" s="246">
        <f t="shared" ref="K21:L21" si="8">+$C$8/K13</f>
        <v>24.371522094926348</v>
      </c>
      <c r="L21" s="247">
        <f t="shared" si="8"/>
        <v>21.032485875706215</v>
      </c>
      <c r="M21" s="237"/>
    </row>
    <row r="22" spans="2:15" x14ac:dyDescent="0.25">
      <c r="B22" s="248" t="s">
        <v>109</v>
      </c>
      <c r="C22" s="249">
        <f>+C21/$C$8-1</f>
        <v>-7.8336052955931934E-2</v>
      </c>
    </row>
    <row r="23" spans="2:15" x14ac:dyDescent="0.25">
      <c r="B23" s="250" t="s">
        <v>130</v>
      </c>
      <c r="C23" s="251">
        <f>+C21/$C$8</f>
        <v>0.92166394704406807</v>
      </c>
      <c r="F23" s="252"/>
      <c r="G23" s="252"/>
      <c r="H23" s="252"/>
      <c r="I23" s="252"/>
      <c r="J23" s="252"/>
      <c r="K23" s="252"/>
    </row>
    <row r="24" spans="2:15" x14ac:dyDescent="0.25">
      <c r="B24" s="253" t="s">
        <v>132</v>
      </c>
      <c r="C24" s="254">
        <f>+RATE(3,0,-C8,C21,0,0)</f>
        <v>-2.6825173193822122E-2</v>
      </c>
      <c r="F24" s="252"/>
      <c r="G24" s="252"/>
      <c r="H24" s="252"/>
      <c r="I24" s="252"/>
      <c r="J24" s="252"/>
      <c r="K24" s="252"/>
    </row>
    <row r="25" spans="2:15" ht="15" customHeight="1" x14ac:dyDescent="0.25">
      <c r="F25" s="252"/>
      <c r="G25" s="252"/>
      <c r="H25" s="252"/>
      <c r="I25" s="252"/>
      <c r="J25" s="252"/>
      <c r="K25" s="252"/>
    </row>
    <row r="26" spans="2:15" x14ac:dyDescent="0.25">
      <c r="B26" s="232" t="s">
        <v>133</v>
      </c>
      <c r="C26" s="232"/>
      <c r="G26" s="286" t="s">
        <v>106</v>
      </c>
      <c r="H26" s="286"/>
      <c r="I26" s="286"/>
      <c r="J26" s="286"/>
      <c r="K26" s="252"/>
    </row>
    <row r="27" spans="2:15" x14ac:dyDescent="0.25">
      <c r="B27" s="187" t="s">
        <v>134</v>
      </c>
      <c r="C27" s="238">
        <f>G29</f>
        <v>5.76</v>
      </c>
      <c r="F27" s="255"/>
      <c r="G27" s="191" t="s">
        <v>75</v>
      </c>
      <c r="H27" s="256" t="s">
        <v>38</v>
      </c>
      <c r="I27" s="256" t="s">
        <v>108</v>
      </c>
      <c r="J27" s="256" t="s">
        <v>109</v>
      </c>
      <c r="K27" s="252"/>
    </row>
    <row r="28" spans="2:15" x14ac:dyDescent="0.25">
      <c r="B28" s="187" t="s">
        <v>129</v>
      </c>
      <c r="C28" s="242">
        <f>H29</f>
        <v>30</v>
      </c>
      <c r="F28" s="255" t="s">
        <v>111</v>
      </c>
      <c r="G28" s="257">
        <v>6.11</v>
      </c>
      <c r="H28" s="258">
        <v>32.9</v>
      </c>
      <c r="I28" s="259">
        <f>+IFERROR(G28*H28,"n.a.")</f>
        <v>201.01900000000001</v>
      </c>
      <c r="J28" s="260">
        <f>+IFERROR(I28/$C$8-1,"n.a.")</f>
        <v>0.34993620307568341</v>
      </c>
      <c r="K28" s="252"/>
    </row>
    <row r="29" spans="2:15" x14ac:dyDescent="0.25">
      <c r="B29" s="207" t="s">
        <v>135</v>
      </c>
      <c r="C29" s="261">
        <f>+C27*C28</f>
        <v>172.79999999999998</v>
      </c>
      <c r="F29" s="262" t="s">
        <v>113</v>
      </c>
      <c r="G29" s="257">
        <v>5.76</v>
      </c>
      <c r="H29" s="258">
        <v>30</v>
      </c>
      <c r="I29" s="259">
        <f>+IFERROR(G29*H29,"n.a.")</f>
        <v>172.79999999999998</v>
      </c>
      <c r="J29" s="260">
        <f>+IFERROR(I29/$C$8-1,"n.a.")</f>
        <v>0.16043247599221</v>
      </c>
    </row>
    <row r="30" spans="2:15" x14ac:dyDescent="0.25">
      <c r="B30" s="253" t="s">
        <v>109</v>
      </c>
      <c r="C30" s="254">
        <f>+C29/$C$8-1</f>
        <v>0.16043247599221</v>
      </c>
      <c r="F30" s="255" t="s">
        <v>114</v>
      </c>
      <c r="G30" s="257">
        <v>5.76</v>
      </c>
      <c r="H30" s="258">
        <v>23.5</v>
      </c>
      <c r="I30" s="259">
        <f>+IFERROR(G30*H30,"n.a.")</f>
        <v>135.35999999999999</v>
      </c>
      <c r="J30" s="260">
        <f>+IFERROR(I30/$C$8-1,"n.a.")</f>
        <v>-9.0994560472768882E-2</v>
      </c>
    </row>
    <row r="31" spans="2:15" ht="15" customHeight="1" x14ac:dyDescent="0.25">
      <c r="F31" s="263"/>
      <c r="G31" s="264"/>
      <c r="H31" s="264"/>
      <c r="I31" s="264"/>
      <c r="J31" s="264"/>
      <c r="O31" s="279"/>
    </row>
    <row r="32" spans="2:15" x14ac:dyDescent="0.25">
      <c r="B32" s="265" t="s">
        <v>136</v>
      </c>
      <c r="C32" s="266"/>
    </row>
    <row r="33" spans="2:3" x14ac:dyDescent="0.25">
      <c r="B33" s="187" t="s">
        <v>137</v>
      </c>
      <c r="C33" s="238">
        <f>G30</f>
        <v>5.76</v>
      </c>
    </row>
    <row r="34" spans="2:3" x14ac:dyDescent="0.25">
      <c r="B34" s="187" t="s">
        <v>129</v>
      </c>
      <c r="C34" s="242">
        <f>H30</f>
        <v>23.5</v>
      </c>
    </row>
    <row r="35" spans="2:3" x14ac:dyDescent="0.25">
      <c r="B35" s="207" t="s">
        <v>138</v>
      </c>
      <c r="C35" s="261">
        <f>+C33*C34</f>
        <v>135.35999999999999</v>
      </c>
    </row>
    <row r="36" spans="2:3" x14ac:dyDescent="0.25">
      <c r="B36" s="253" t="s">
        <v>109</v>
      </c>
      <c r="C36" s="254">
        <f>+C35/$C$8-1</f>
        <v>-9.0994560472768882E-2</v>
      </c>
    </row>
  </sheetData>
  <mergeCells count="3">
    <mergeCell ref="G2:L2"/>
    <mergeCell ref="B7:C7"/>
    <mergeCell ref="G26:J26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62B4-C6BF-4CEC-A191-B12373C09270}">
  <dimension ref="A2:AC116"/>
  <sheetViews>
    <sheetView showGridLines="0" zoomScale="70" zoomScaleNormal="7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R43" sqref="R43"/>
    </sheetView>
  </sheetViews>
  <sheetFormatPr defaultColWidth="12" defaultRowHeight="15.75" outlineLevelRow="1" x14ac:dyDescent="0.25"/>
  <cols>
    <col min="1" max="1" width="4" style="6" customWidth="1"/>
    <col min="2" max="2" width="12" style="9" customWidth="1"/>
    <col min="3" max="3" width="23.42578125" style="9" customWidth="1"/>
    <col min="4" max="5" width="10.28515625" style="9" customWidth="1"/>
    <col min="6" max="6" width="11.28515625" style="9" customWidth="1"/>
    <col min="7" max="7" width="10.85546875" style="9" customWidth="1"/>
    <col min="8" max="9" width="10.28515625" style="9" customWidth="1"/>
    <col min="10" max="10" width="11.85546875" style="9" customWidth="1"/>
    <col min="11" max="12" width="10.28515625" style="9" customWidth="1"/>
    <col min="13" max="13" width="11.140625" style="9" customWidth="1"/>
    <col min="14" max="14" width="12.7109375" style="9" customWidth="1"/>
    <col min="15" max="19" width="10.28515625" style="9" customWidth="1"/>
    <col min="20" max="20" width="11" style="9" customWidth="1"/>
    <col min="21" max="22" width="11.85546875" style="9" customWidth="1"/>
    <col min="23" max="24" width="10.28515625" style="9" customWidth="1"/>
    <col min="25" max="25" width="11.85546875" style="9" bestFit="1" customWidth="1"/>
    <col min="26" max="26" width="13.140625" style="9" bestFit="1" customWidth="1"/>
    <col min="27" max="29" width="10.28515625" style="9" customWidth="1"/>
    <col min="30" max="16384" width="12" style="9"/>
  </cols>
  <sheetData>
    <row r="2" spans="1:29" s="4" customFormat="1" ht="21" x14ac:dyDescent="0.35">
      <c r="A2" s="2"/>
      <c r="B2" s="3"/>
      <c r="F2" s="5"/>
      <c r="R2" s="5"/>
      <c r="U2" s="5"/>
    </row>
    <row r="4" spans="1:29" x14ac:dyDescent="0.25">
      <c r="B4" s="7" t="s">
        <v>2</v>
      </c>
      <c r="C4" s="8">
        <v>45513</v>
      </c>
      <c r="F4" s="10"/>
    </row>
    <row r="5" spans="1:29" x14ac:dyDescent="0.25">
      <c r="B5" s="7" t="s">
        <v>3</v>
      </c>
      <c r="C5" s="11" t="s">
        <v>4</v>
      </c>
    </row>
    <row r="7" spans="1:29" ht="18" x14ac:dyDescent="0.25">
      <c r="B7" s="12">
        <f ca="1">B7:O23</f>
        <v>0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 t="s">
        <v>144</v>
      </c>
      <c r="Y7" s="15"/>
      <c r="Z7" s="15"/>
      <c r="AA7" s="15"/>
      <c r="AB7" s="15"/>
      <c r="AC7" s="15"/>
    </row>
    <row r="8" spans="1:29" ht="18" x14ac:dyDescent="0.25">
      <c r="B8" s="12"/>
      <c r="C8" s="12"/>
      <c r="D8" s="14" t="s">
        <v>5</v>
      </c>
      <c r="E8" s="14" t="s">
        <v>6</v>
      </c>
      <c r="F8" s="14" t="s">
        <v>7</v>
      </c>
      <c r="G8" s="14" t="s">
        <v>8</v>
      </c>
      <c r="H8" s="14"/>
      <c r="I8" s="15" t="s">
        <v>1</v>
      </c>
      <c r="J8" s="15"/>
      <c r="K8" s="15"/>
      <c r="L8" s="15" t="s">
        <v>9</v>
      </c>
      <c r="M8" s="15"/>
      <c r="N8" s="15" t="s">
        <v>10</v>
      </c>
      <c r="O8" s="15"/>
      <c r="P8" s="14"/>
      <c r="Q8" s="15" t="s">
        <v>11</v>
      </c>
      <c r="R8" s="15"/>
      <c r="S8" s="15" t="s">
        <v>12</v>
      </c>
      <c r="T8" s="15"/>
      <c r="U8" s="15" t="s">
        <v>13</v>
      </c>
      <c r="V8" s="15"/>
      <c r="W8" s="14"/>
      <c r="X8" s="15" t="s">
        <v>14</v>
      </c>
      <c r="Y8" s="15"/>
      <c r="Z8" s="15" t="s">
        <v>15</v>
      </c>
      <c r="AA8" s="15"/>
      <c r="AB8" s="15" t="s">
        <v>16</v>
      </c>
      <c r="AC8" s="15"/>
    </row>
    <row r="9" spans="1:29" ht="15.75" customHeight="1" x14ac:dyDescent="0.25">
      <c r="B9" s="16" t="s">
        <v>17</v>
      </c>
      <c r="C9" s="16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4"/>
      <c r="I9" s="18" t="s">
        <v>23</v>
      </c>
      <c r="J9" s="18" t="s">
        <v>24</v>
      </c>
      <c r="K9" s="18" t="s">
        <v>25</v>
      </c>
      <c r="L9" s="18" t="s">
        <v>26</v>
      </c>
      <c r="M9" s="18" t="s">
        <v>27</v>
      </c>
      <c r="N9" s="18" t="str">
        <f>L9</f>
        <v>'22</v>
      </c>
      <c r="O9" s="18" t="str">
        <f>M9</f>
        <v>'23</v>
      </c>
      <c r="P9" s="17"/>
      <c r="Q9" s="18" t="s">
        <v>28</v>
      </c>
      <c r="R9" s="18" t="s">
        <v>29</v>
      </c>
      <c r="S9" s="18" t="s">
        <v>26</v>
      </c>
      <c r="T9" s="18" t="s">
        <v>27</v>
      </c>
      <c r="U9" s="18" t="str">
        <f>S9</f>
        <v>'22</v>
      </c>
      <c r="V9" s="18" t="str">
        <f>T9</f>
        <v>'23</v>
      </c>
      <c r="W9" s="18"/>
      <c r="X9" s="18" t="s">
        <v>142</v>
      </c>
      <c r="Y9" s="18" t="s">
        <v>143</v>
      </c>
      <c r="Z9" s="18" t="str">
        <f>X9</f>
        <v>‘24</v>
      </c>
      <c r="AA9" s="18" t="str">
        <f>Y9</f>
        <v>’25</v>
      </c>
      <c r="AB9" s="18" t="str">
        <f>Z9</f>
        <v>‘24</v>
      </c>
      <c r="AC9" s="18" t="str">
        <f>AA9</f>
        <v>’25</v>
      </c>
    </row>
    <row r="10" spans="1:29" ht="5.25" customHeight="1" x14ac:dyDescent="0.25">
      <c r="B10" s="19"/>
      <c r="C10" s="19"/>
      <c r="D10" s="20"/>
      <c r="E10" s="20"/>
      <c r="F10" s="20"/>
      <c r="G10" s="20"/>
      <c r="I10" s="20"/>
      <c r="J10" s="20"/>
      <c r="K10" s="20"/>
      <c r="L10" s="20"/>
      <c r="M10" s="20"/>
      <c r="N10" s="20"/>
      <c r="O10" s="20"/>
      <c r="P10" s="20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5.75" customHeight="1" x14ac:dyDescent="0.25">
      <c r="B11" s="22" t="str">
        <f>B39</f>
        <v>AVGO-US</v>
      </c>
      <c r="C11" s="23" t="str">
        <f>VLOOKUP($B11,$B$39:$Q$59,C$35,0)</f>
        <v>Broadcom Inc.</v>
      </c>
      <c r="D11" s="24">
        <f>VLOOKUP($B11,$B$39:$Q$49,D$35,0)</f>
        <v>165.78</v>
      </c>
      <c r="E11" s="24">
        <f>VLOOKUP($B11,$B$39:$Q$49,E$35,0)</f>
        <v>4359.9999350309399</v>
      </c>
      <c r="F11" s="24">
        <f>VLOOKUP($B11,$B$39:$Q$49,F$35,0)</f>
        <v>722800.78922942921</v>
      </c>
      <c r="G11" s="24">
        <f>VLOOKUP($B11,$B$39:$Q$49,G$35,0)</f>
        <v>787007.78922942921</v>
      </c>
      <c r="H11" s="24"/>
      <c r="I11" s="24">
        <f>VLOOKUP($B11,$B$39:$Q$49,K$35,0)</f>
        <v>27450</v>
      </c>
      <c r="J11" s="24">
        <f>VLOOKUP($B11,$B$39:$Q$49,L$35,0)</f>
        <v>33203</v>
      </c>
      <c r="K11" s="24">
        <f>VLOOKUP($B11,$B$39:$Q$49,M$35,0)</f>
        <v>35819</v>
      </c>
      <c r="L11" s="24">
        <f>VLOOKUP($B11,$B$39:$Q$49,N$35,0)</f>
        <v>19271</v>
      </c>
      <c r="M11" s="24">
        <f>VLOOKUP($B11,$B$39:$Q$49,O$35,0)</f>
        <v>20290</v>
      </c>
      <c r="N11" s="24">
        <f>INDEX($P$39:$P$49,MATCH($B11,$B$39:$B$49,0))</f>
        <v>11495</v>
      </c>
      <c r="O11" s="24">
        <f>INDEX($Q$39:$Q$49,MATCH($B11,$B$39:$B$49,0))</f>
        <v>14082</v>
      </c>
      <c r="P11" s="25"/>
      <c r="Q11" s="25">
        <f>J11/I11-1</f>
        <v>0.20958105646630232</v>
      </c>
      <c r="R11" s="25">
        <f>K11/J11-1</f>
        <v>7.8788061319760239E-2</v>
      </c>
      <c r="S11" s="25">
        <f>L11/J11</f>
        <v>0.58039936150347859</v>
      </c>
      <c r="T11" s="25">
        <f>M11/K11</f>
        <v>0.56645914179625334</v>
      </c>
      <c r="U11" s="26">
        <f>N11/J11</f>
        <v>0.34620365629611782</v>
      </c>
      <c r="V11" s="26">
        <f>O11/K11</f>
        <v>0.39314330383316115</v>
      </c>
      <c r="W11" s="25"/>
      <c r="X11" s="27" cm="1">
        <f t="array" ref="X11">_xll.FDS(B39,"FE_VALUATION(FFEV_SALES,MEAN,ANN,+1,NOW,,,'')")</f>
        <v>15.562963</v>
      </c>
      <c r="Y11" s="27" cm="1">
        <f t="array" ref="Y11">_xll.FDS(B39,"FE_VALUATION(FFEV_SALES,MEAN,ANN,+2,NOW,,,'')")</f>
        <v>13.34524</v>
      </c>
      <c r="Z11" s="27" cm="1">
        <f t="array" ref="Z11">_xll.FDS(B39,"FE_VALUATION(FFEV_EBITDA,MEAN,ANN,+1,NOW,,,'')")</f>
        <v>25.761395</v>
      </c>
      <c r="AA11" s="27" cm="1">
        <f t="array" ref="AA11">_xll.FDS(B39,"FE_VALUATION(FFEV_EBITDA,MEAN,ANN,+2,NOW,,,'')")</f>
        <v>21.107710000000001</v>
      </c>
      <c r="AB11" s="27" cm="1">
        <f t="array" ref="AB11">_xll.FDS(B39,"FE_VALUATION(PE,MEAN,ANN,+1,NOW,,,'')")</f>
        <v>34.219448</v>
      </c>
      <c r="AC11" s="27" cm="1">
        <f t="array" ref="AC11">_xll.FDS(B39,"FE_VALUATION(PE,MEAN,ANN,+2,NOW,,,'')")</f>
        <v>26.884516000000001</v>
      </c>
    </row>
    <row r="12" spans="1:29" ht="4.5" customHeight="1" x14ac:dyDescent="0.25">
      <c r="B12" s="28"/>
      <c r="C12" s="29"/>
      <c r="D12" s="30"/>
      <c r="E12" s="31"/>
      <c r="F12" s="31"/>
      <c r="G12" s="31"/>
      <c r="I12" s="31"/>
      <c r="J12" s="31"/>
      <c r="K12" s="31"/>
      <c r="L12" s="31"/>
      <c r="M12" s="31"/>
      <c r="N12" s="31"/>
      <c r="O12" s="31"/>
      <c r="P12" s="32"/>
      <c r="Q12" s="25"/>
      <c r="R12" s="25"/>
      <c r="S12" s="25"/>
      <c r="T12" s="25"/>
      <c r="U12" s="26"/>
      <c r="V12" s="26"/>
      <c r="W12" s="32"/>
      <c r="X12" s="27"/>
      <c r="Y12" s="27"/>
      <c r="Z12" s="33"/>
      <c r="AA12" s="33"/>
      <c r="AB12" s="33"/>
      <c r="AC12" s="33"/>
    </row>
    <row r="13" spans="1:29" ht="15.75" customHeight="1" x14ac:dyDescent="0.25">
      <c r="A13" s="6">
        <v>1</v>
      </c>
      <c r="B13" s="28" t="str">
        <f t="shared" ref="B13:B22" si="0">B40</f>
        <v>AMD-US</v>
      </c>
      <c r="C13" s="9" t="str">
        <f t="shared" ref="C13:C22" si="1">VLOOKUP($B13,$B$39:$Q$59,C$35,0)</f>
        <v>Advanced Micro Devices, Inc.</v>
      </c>
      <c r="D13" s="24">
        <f t="shared" ref="D13:G22" si="2">VLOOKUP($B13,$B$39:$Q$49,D$35,0)</f>
        <v>157.81</v>
      </c>
      <c r="E13" s="24">
        <f t="shared" si="2"/>
        <v>1651.609389</v>
      </c>
      <c r="F13" s="24">
        <f t="shared" si="2"/>
        <v>260640.47767808998</v>
      </c>
      <c r="G13" s="24">
        <f t="shared" si="2"/>
        <v>257545.47767808998</v>
      </c>
      <c r="I13" s="24">
        <f t="shared" ref="I13:M22" si="3">VLOOKUP($B13,$B$39:$Q$49,K$35,0)</f>
        <v>16434</v>
      </c>
      <c r="J13" s="24">
        <f t="shared" si="3"/>
        <v>23601</v>
      </c>
      <c r="K13" s="24">
        <f t="shared" si="3"/>
        <v>22680</v>
      </c>
      <c r="L13" s="24">
        <f t="shared" si="3"/>
        <v>5876</v>
      </c>
      <c r="M13" s="24">
        <f t="shared" si="3"/>
        <v>4176</v>
      </c>
      <c r="N13" s="24">
        <f>INDEX($P$39:$P$49,MATCH($B13,$B$39:$B$49,0))</f>
        <v>1320</v>
      </c>
      <c r="O13" s="24">
        <f>INDEX($Q$39:$Q$49,MATCH($B13,$B$39:$B$49,0))</f>
        <v>854</v>
      </c>
      <c r="P13" s="34"/>
      <c r="Q13" s="25">
        <f t="shared" ref="Q13:R18" si="4">J13/I13-1</f>
        <v>0.43610806863818907</v>
      </c>
      <c r="R13" s="25">
        <f t="shared" si="4"/>
        <v>-3.9023770179229644E-2</v>
      </c>
      <c r="S13" s="25">
        <f t="shared" ref="S13:T18" si="5">L13/J13</f>
        <v>0.24897250116520486</v>
      </c>
      <c r="T13" s="25">
        <f t="shared" si="5"/>
        <v>0.18412698412698414</v>
      </c>
      <c r="U13" s="26">
        <f t="shared" ref="U13:V18" si="6">N13/J13</f>
        <v>5.5929833481632135E-2</v>
      </c>
      <c r="V13" s="26">
        <f t="shared" si="6"/>
        <v>3.7654320987654324E-2</v>
      </c>
      <c r="W13" s="34"/>
      <c r="X13" s="27" cm="1">
        <f t="array" ref="X13">_xll.FDS(B40,"FE_VALUATION(FFEV_SALES,MEAN,ANN,+1,NOW,,,'')")</f>
        <v>9.586525</v>
      </c>
      <c r="Y13" s="27" cm="1">
        <f t="array" ref="Y13">_xll.FDS(B40,"FE_VALUATION(FFEV_SALES,MEAN,ANN,+2,NOW,,,'')")</f>
        <v>7.4767603999999999</v>
      </c>
      <c r="Z13" s="27" cm="1">
        <f t="array" ref="Z13">_xll.FDS(B40,"FE_VALUATION(FFEV_EBITDA,MEAN,ANN,+1,NOW,,,'')")</f>
        <v>37.021362000000003</v>
      </c>
      <c r="AA13" s="27" cm="1">
        <f t="array" ref="AA13">_xll.FDS(B40,"FE_VALUATION(FFEV_EBITDA,MEAN,ANN,+2,NOW,,,'')")</f>
        <v>24.270755999999999</v>
      </c>
      <c r="AB13" s="27" cm="1">
        <f t="array" ref="AB13">_xll.FDS(B40,"FE_VALUATION(PE,MEAN,ANN,+1,NOW,,,'')")</f>
        <v>44.391179999999999</v>
      </c>
      <c r="AC13" s="27" cm="1">
        <f t="array" ref="AC13">_xll.FDS(B40,"FE_VALUATION(PE,MEAN,ANN,+2,NOW,,,'')")</f>
        <v>27.918659999999999</v>
      </c>
    </row>
    <row r="14" spans="1:29" ht="15.75" customHeight="1" x14ac:dyDescent="0.25">
      <c r="A14" s="6">
        <f t="shared" ref="A14:A18" si="7">A13+1</f>
        <v>2</v>
      </c>
      <c r="B14" s="28" t="str">
        <f t="shared" si="0"/>
        <v>INTC-US</v>
      </c>
      <c r="C14" s="9" t="str">
        <f t="shared" si="1"/>
        <v>Intel Corporation</v>
      </c>
      <c r="D14" s="24">
        <f t="shared" si="2"/>
        <v>21.41</v>
      </c>
      <c r="E14" s="24">
        <f t="shared" si="2"/>
        <v>4400.8999999999996</v>
      </c>
      <c r="F14" s="24">
        <f t="shared" si="2"/>
        <v>94223.268999999986</v>
      </c>
      <c r="G14" s="24">
        <f t="shared" si="2"/>
        <v>117979.26899999997</v>
      </c>
      <c r="I14" s="24">
        <f t="shared" si="3"/>
        <v>79024</v>
      </c>
      <c r="J14" s="24">
        <f t="shared" si="3"/>
        <v>63054</v>
      </c>
      <c r="K14" s="24">
        <f t="shared" si="3"/>
        <v>54228</v>
      </c>
      <c r="L14" s="24">
        <f t="shared" si="3"/>
        <v>15371</v>
      </c>
      <c r="M14" s="24">
        <f>VLOOKUP($B14,$B$39:$Q$49,O$35,0)</f>
        <v>9633</v>
      </c>
      <c r="N14" s="24">
        <f t="shared" ref="N14:N22" si="8">INDEX($P$39:$P$49,MATCH($B14,$B$39:$B$49,0))</f>
        <v>8014</v>
      </c>
      <c r="O14" s="24">
        <f t="shared" ref="O14:O22" si="9">INDEX($Q$39:$Q$49,MATCH($B14,$B$39:$B$49,0))</f>
        <v>1689</v>
      </c>
      <c r="P14" s="34"/>
      <c r="Q14" s="25">
        <f t="shared" si="4"/>
        <v>-0.20209050415063778</v>
      </c>
      <c r="R14" s="25">
        <f t="shared" si="4"/>
        <v>-0.13997525930155108</v>
      </c>
      <c r="S14" s="25">
        <f t="shared" si="5"/>
        <v>0.24377517683255623</v>
      </c>
      <c r="T14" s="25">
        <f t="shared" si="5"/>
        <v>0.17763885815445896</v>
      </c>
      <c r="U14" s="26">
        <f t="shared" si="6"/>
        <v>0.1270974085704317</v>
      </c>
      <c r="V14" s="26">
        <f t="shared" si="6"/>
        <v>3.1146271298959947E-2</v>
      </c>
      <c r="W14" s="34"/>
      <c r="X14" s="27" cm="1">
        <f t="array" ref="X14">_xll.FDS(B41,"FE_VALUATION(FFEV_SALES,MEAN,ANN,+1,NOW,,,'')")</f>
        <v>2.188402</v>
      </c>
      <c r="Y14" s="27" cm="1">
        <f t="array" ref="Y14">_xll.FDS(B41,"FE_VALUATION(FFEV_SALES,MEAN,ANN,+2,NOW,,,'')")</f>
        <v>2.0215542000000002</v>
      </c>
      <c r="Z14" s="27" cm="1">
        <f t="array" ref="Z14">_xll.FDS(B41,"FE_VALUATION(FFEV_EBITDA,MEAN,ANN,+1,NOW,,,'')")</f>
        <v>9.8793310000000005</v>
      </c>
      <c r="AA14" s="27" cm="1">
        <f t="array" ref="AA14">_xll.FDS(B41,"FE_VALUATION(FFEV_EBITDA,MEAN,ANN,+2,NOW,,,'')")</f>
        <v>6.6846379999999996</v>
      </c>
      <c r="AB14" s="27" cm="1">
        <f t="array" ref="AB14">_xll.FDS(B41,"FE_VALUATION(PE,MEAN,ANN,+1,NOW,,,'')")</f>
        <v>61.729194999999997</v>
      </c>
      <c r="AC14" s="27" cm="1">
        <f t="array" ref="AC14">_xll.FDS(B41,"FE_VALUATION(PE,MEAN,ANN,+2,NOW,,,'')")</f>
        <v>17.199095</v>
      </c>
    </row>
    <row r="15" spans="1:29" ht="15.75" customHeight="1" x14ac:dyDescent="0.25">
      <c r="A15" s="6">
        <f t="shared" si="7"/>
        <v>3</v>
      </c>
      <c r="B15" s="28" t="str">
        <f t="shared" si="0"/>
        <v>NVDA-US</v>
      </c>
      <c r="C15" s="9" t="str">
        <f t="shared" si="1"/>
        <v>NVIDIA Corporation</v>
      </c>
      <c r="D15" s="24">
        <f t="shared" si="2"/>
        <v>128.5</v>
      </c>
      <c r="E15" s="24">
        <f t="shared" si="2"/>
        <v>25009.999627321999</v>
      </c>
      <c r="F15" s="24">
        <f t="shared" si="2"/>
        <v>3213784.9521108768</v>
      </c>
      <c r="G15" s="24">
        <f t="shared" si="2"/>
        <v>3193583.9521108768</v>
      </c>
      <c r="I15" s="24">
        <f t="shared" si="3"/>
        <v>26914</v>
      </c>
      <c r="J15" s="24">
        <f t="shared" si="3"/>
        <v>26974</v>
      </c>
      <c r="K15" s="24">
        <f t="shared" si="3"/>
        <v>60922</v>
      </c>
      <c r="L15" s="24">
        <f t="shared" si="3"/>
        <v>7121</v>
      </c>
      <c r="M15" s="24">
        <f t="shared" si="3"/>
        <v>34480</v>
      </c>
      <c r="N15" s="24">
        <f>INDEX($P$39:$P$49,MATCH($B15,$B$39:$B$49,0))</f>
        <v>4368</v>
      </c>
      <c r="O15" s="24">
        <f t="shared" si="9"/>
        <v>29760</v>
      </c>
      <c r="P15" s="34"/>
      <c r="Q15" s="25">
        <f t="shared" si="4"/>
        <v>2.2293230289069932E-3</v>
      </c>
      <c r="R15" s="25">
        <f t="shared" si="4"/>
        <v>1.2585452658115224</v>
      </c>
      <c r="S15" s="25">
        <f t="shared" si="5"/>
        <v>0.26399495810780754</v>
      </c>
      <c r="T15" s="25">
        <f t="shared" si="5"/>
        <v>0.56596960047273559</v>
      </c>
      <c r="U15" s="26">
        <f t="shared" si="6"/>
        <v>0.16193371394676356</v>
      </c>
      <c r="V15" s="26">
        <f t="shared" si="6"/>
        <v>0.4884934834706674</v>
      </c>
      <c r="W15" s="34"/>
      <c r="X15" s="27" cm="1">
        <f t="array" ref="X15">_xll.FDS(B42,"FE_VALUATION(FFEV_SALES,MEAN,ANN,+1,NOW,,,'')")</f>
        <v>25.568135999999999</v>
      </c>
      <c r="Y15" s="27" cm="1">
        <f t="array" ref="Y15">_xll.FDS(B42,"FE_VALUATION(FFEV_SALES,MEAN,ANN,+2,NOW,,,'')")</f>
        <v>18.429348000000001</v>
      </c>
      <c r="Z15" s="27" cm="1">
        <f t="array" ref="Z15">_xll.FDS(B42,"FE_VALUATION(FFEV_EBITDA,MEAN,ANN,+1,NOW,,,'')")</f>
        <v>39.218780000000002</v>
      </c>
      <c r="AA15" s="27" cm="1">
        <f t="array" ref="AA15">_xll.FDS(B42,"FE_VALUATION(FFEV_EBITDA,MEAN,ANN,+2,NOW,,,'')")</f>
        <v>27.894548</v>
      </c>
      <c r="AB15" s="27" cm="1">
        <f t="array" ref="AB15">_xll.FDS(B42,"FE_VALUATION(PE,MEAN,ANN,+1,NOW,,,'')")</f>
        <v>45.866238000000003</v>
      </c>
      <c r="AC15" s="27" cm="1">
        <f t="array" ref="AC15">_xll.FDS(B42,"FE_VALUATION(PE,MEAN,ANN,+2,NOW,,,'')")</f>
        <v>32.860855000000001</v>
      </c>
    </row>
    <row r="16" spans="1:29" ht="15.75" customHeight="1" x14ac:dyDescent="0.25">
      <c r="A16" s="6">
        <f t="shared" si="7"/>
        <v>4</v>
      </c>
      <c r="B16" s="28" t="str">
        <f t="shared" si="0"/>
        <v>MRVL-US</v>
      </c>
      <c r="C16" s="9" t="str">
        <f t="shared" si="1"/>
        <v>Marvell Technology, Inc.</v>
      </c>
      <c r="D16" s="24">
        <f t="shared" si="2"/>
        <v>71.34</v>
      </c>
      <c r="E16" s="24">
        <f t="shared" si="2"/>
        <v>886.85487899999998</v>
      </c>
      <c r="F16" s="24">
        <f>VLOOKUP($B16,$B$39:$Q$49,F$35,0)</f>
        <v>63268.227067860003</v>
      </c>
      <c r="G16" s="24">
        <f t="shared" si="2"/>
        <v>67077.127067860012</v>
      </c>
      <c r="I16" s="24">
        <f t="shared" si="3"/>
        <v>4462.3829999999998</v>
      </c>
      <c r="J16" s="24">
        <f t="shared" si="3"/>
        <v>5919.6</v>
      </c>
      <c r="K16" s="24">
        <f t="shared" si="3"/>
        <v>5507.7</v>
      </c>
      <c r="L16" s="24">
        <f t="shared" si="3"/>
        <v>1751.9</v>
      </c>
      <c r="M16" s="24">
        <f t="shared" si="3"/>
        <v>961.1</v>
      </c>
      <c r="N16" s="24">
        <f t="shared" si="8"/>
        <v>-163.5</v>
      </c>
      <c r="O16" s="24">
        <f t="shared" si="9"/>
        <v>-933.4</v>
      </c>
      <c r="P16" s="34"/>
      <c r="Q16" s="25">
        <f t="shared" si="4"/>
        <v>0.32655578868958601</v>
      </c>
      <c r="R16" s="25">
        <f t="shared" si="4"/>
        <v>-6.9582404216501192E-2</v>
      </c>
      <c r="S16" s="25">
        <f t="shared" si="5"/>
        <v>0.29594905061152782</v>
      </c>
      <c r="T16" s="25">
        <f t="shared" si="5"/>
        <v>0.17450115293135066</v>
      </c>
      <c r="U16" s="26">
        <f t="shared" si="6"/>
        <v>-2.7620109466855867E-2</v>
      </c>
      <c r="V16" s="26">
        <f t="shared" si="6"/>
        <v>-0.16947183034660565</v>
      </c>
      <c r="W16" s="34"/>
      <c r="X16" s="27" cm="1">
        <f t="array" ref="X16">_xll.FDS(B43,"FE_VALUATION(FFEV_SALES,MEAN,ANN,+1,NOW,,,'')")</f>
        <v>11.872312000000001</v>
      </c>
      <c r="Y16" s="27" cm="1">
        <f t="array" ref="Y16">_xll.FDS(B43,"FE_VALUATION(FFEV_SALES,MEAN,ANN,+2,NOW,,,'')")</f>
        <v>8.9792439999999996</v>
      </c>
      <c r="Z16" s="27" cm="1">
        <f t="array" ref="Z16">_xll.FDS(B43,"FE_VALUATION(FFEV_EBITDA,MEAN,ANN,+1,NOW,,,'')")</f>
        <v>39.160550000000001</v>
      </c>
      <c r="AA16" s="27" cm="1">
        <f t="array" ref="AA16">_xll.FDS(B43,"FE_VALUATION(FFEV_EBITDA,MEAN,ANN,+2,NOW,,,'')")</f>
        <v>24.784628000000001</v>
      </c>
      <c r="AB16" s="27" cm="1">
        <f t="array" ref="AB16">_xll.FDS(B43,"FE_VALUATION(PE,MEAN,ANN,+1,NOW,,,'')")</f>
        <v>49.930835999999999</v>
      </c>
      <c r="AC16" s="27" cm="1">
        <f t="array" ref="AC16">_xll.FDS(B43,"FE_VALUATION(PE,MEAN,ANN,+2,NOW,,,'')")</f>
        <v>29.070938000000002</v>
      </c>
    </row>
    <row r="17" spans="1:29" ht="15.75" customHeight="1" x14ac:dyDescent="0.25">
      <c r="A17" s="6">
        <f t="shared" si="7"/>
        <v>5</v>
      </c>
      <c r="B17" s="28" t="str">
        <f t="shared" si="0"/>
        <v>ADI-US</v>
      </c>
      <c r="C17" s="9" t="str">
        <f t="shared" si="1"/>
        <v>Analog Devices, Inc.</v>
      </c>
      <c r="D17" s="24">
        <f t="shared" si="2"/>
        <v>227.5</v>
      </c>
      <c r="E17" s="24">
        <f t="shared" si="2"/>
        <v>502.25565499999999</v>
      </c>
      <c r="F17" s="24">
        <f t="shared" si="2"/>
        <v>114263.1615125</v>
      </c>
      <c r="G17" s="24">
        <f t="shared" si="2"/>
        <v>119819.8795125</v>
      </c>
      <c r="I17" s="24">
        <f t="shared" si="3"/>
        <v>7318.2860000000001</v>
      </c>
      <c r="J17" s="24">
        <f t="shared" si="3"/>
        <v>12013.953</v>
      </c>
      <c r="K17" s="24">
        <f t="shared" si="3"/>
        <v>12305.539000000001</v>
      </c>
      <c r="L17" s="24">
        <f t="shared" si="3"/>
        <v>5826.1049999999996</v>
      </c>
      <c r="M17" s="24">
        <f t="shared" si="3"/>
        <v>6274.9380000000001</v>
      </c>
      <c r="N17" s="24">
        <f t="shared" si="8"/>
        <v>2748.5610000000001</v>
      </c>
      <c r="O17" s="24">
        <f t="shared" si="9"/>
        <v>3314.5790000000002</v>
      </c>
      <c r="P17" s="34"/>
      <c r="Q17" s="25">
        <f t="shared" si="4"/>
        <v>0.64163480355919389</v>
      </c>
      <c r="R17" s="25">
        <f t="shared" si="4"/>
        <v>2.427061267844155E-2</v>
      </c>
      <c r="S17" s="25">
        <f t="shared" si="5"/>
        <v>0.48494488034038419</v>
      </c>
      <c r="T17" s="25">
        <f t="shared" si="5"/>
        <v>0.50992792757797933</v>
      </c>
      <c r="U17" s="26">
        <f t="shared" si="6"/>
        <v>0.22878073520014605</v>
      </c>
      <c r="V17" s="26">
        <f t="shared" si="6"/>
        <v>0.26935666938278768</v>
      </c>
      <c r="W17" s="34"/>
      <c r="X17" s="27" cm="1">
        <f t="array" ref="X17">_xll.FDS(B44,"FE_VALUATION(FFEV_SALES,MEAN,ANN,+1,NOW,,,'')")</f>
        <v>12.472246</v>
      </c>
      <c r="Y17" s="27" cm="1">
        <f t="array" ref="Y17">_xll.FDS(B44,"FE_VALUATION(FFEV_SALES,MEAN,ANN,+2,NOW,,,'')")</f>
        <v>11.256157999999999</v>
      </c>
      <c r="Z17" s="27" cm="1">
        <f t="array" ref="Z17">_xll.FDS(B44,"FE_VALUATION(FFEV_EBITDA,MEAN,ANN,+1,NOW,,,'')")</f>
        <v>28.329312999999999</v>
      </c>
      <c r="AA17" s="27" cm="1">
        <f t="array" ref="AA17">_xll.FDS(B44,"FE_VALUATION(FFEV_EBITDA,MEAN,ANN,+2,NOW,,,'')")</f>
        <v>26.349112000000002</v>
      </c>
      <c r="AB17" s="27" cm="1">
        <f t="array" ref="AB17">_xll.FDS(B44,"FE_VALUATION(PE,MEAN,ANN,+1,NOW,,,'')")</f>
        <v>35.220739999999999</v>
      </c>
      <c r="AC17" s="27" cm="1">
        <f t="array" ref="AC17">_xll.FDS(B44,"FE_VALUATION(PE,MEAN,ANN,+2,NOW,,,'')")</f>
        <v>29.530197000000001</v>
      </c>
    </row>
    <row r="18" spans="1:29" ht="15.75" customHeight="1" x14ac:dyDescent="0.25">
      <c r="A18" s="6">
        <f t="shared" si="7"/>
        <v>6</v>
      </c>
      <c r="B18" s="28" t="str">
        <f t="shared" si="0"/>
        <v>GFS-US</v>
      </c>
      <c r="C18" s="9" t="str">
        <f t="shared" si="1"/>
        <v>GlobalFoundries Inc.</v>
      </c>
      <c r="D18" s="24">
        <f t="shared" si="2"/>
        <v>46.06</v>
      </c>
      <c r="E18" s="24">
        <f t="shared" si="2"/>
        <v>560.26298599999996</v>
      </c>
      <c r="F18" s="24">
        <f t="shared" si="2"/>
        <v>25805.71313516</v>
      </c>
      <c r="G18" s="24">
        <f t="shared" si="2"/>
        <v>25191.71313516</v>
      </c>
      <c r="I18" s="24">
        <f t="shared" si="3"/>
        <v>6585.0789999999997</v>
      </c>
      <c r="J18" s="24">
        <f t="shared" si="3"/>
        <v>8108</v>
      </c>
      <c r="K18" s="24">
        <f t="shared" si="3"/>
        <v>7392</v>
      </c>
      <c r="L18" s="24">
        <f t="shared" si="3"/>
        <v>2884</v>
      </c>
      <c r="M18" s="24">
        <f t="shared" si="3"/>
        <v>2651</v>
      </c>
      <c r="N18" s="24">
        <f t="shared" si="8"/>
        <v>1448</v>
      </c>
      <c r="O18" s="24">
        <f t="shared" si="9"/>
        <v>1020</v>
      </c>
      <c r="P18" s="34"/>
      <c r="Q18" s="25">
        <f t="shared" si="4"/>
        <v>0.23126844795635715</v>
      </c>
      <c r="R18" s="25">
        <f t="shared" si="4"/>
        <v>-8.8307844104588029E-2</v>
      </c>
      <c r="S18" s="25">
        <f t="shared" si="5"/>
        <v>0.35569807597434633</v>
      </c>
      <c r="T18" s="25">
        <f t="shared" si="5"/>
        <v>0.35863095238095238</v>
      </c>
      <c r="U18" s="26">
        <f t="shared" si="6"/>
        <v>0.17858904785397139</v>
      </c>
      <c r="V18" s="26">
        <f t="shared" si="6"/>
        <v>0.13798701298701299</v>
      </c>
      <c r="W18" s="34"/>
      <c r="X18" s="27" cm="1">
        <f t="array" ref="X18">_xll.FDS(B45,"FE_VALUATION(FFEV_SALES,MEAN,ANN,+1,NOW,,,'')")</f>
        <v>3.6041455</v>
      </c>
      <c r="Y18" s="27" cm="1">
        <f t="array" ref="Y18">_xll.FDS(B45,"FE_VALUATION(FFEV_SALES,MEAN,ANN,+2,NOW,,,'')")</f>
        <v>3.1870083999999999</v>
      </c>
      <c r="Z18" s="27" cm="1">
        <f t="array" ref="Z18">_xll.FDS(B45,"FE_VALUATION(FFEV_EBITDA,MEAN,ANN,+1,NOW,,,'')")</f>
        <v>10.12125</v>
      </c>
      <c r="AA18" s="27" cm="1">
        <f t="array" ref="AA18">_xll.FDS(B45,"FE_VALUATION(FFEV_EBITDA,MEAN,ANN,+2,NOW,,,'')")</f>
        <v>8.871041</v>
      </c>
      <c r="AB18" s="27" cm="1">
        <f t="array" ref="AB18">_xll.FDS(B45,"FE_VALUATION(PE,MEAN,ANN,+1,NOW,,,'')")</f>
        <v>31.937107000000001</v>
      </c>
      <c r="AC18" s="27" cm="1">
        <f t="array" ref="AC18">_xll.FDS(B45,"FE_VALUATION(PE,MEAN,ANN,+2,NOW,,,'')")</f>
        <v>23.263822999999999</v>
      </c>
    </row>
    <row r="19" spans="1:29" ht="15.75" customHeight="1" x14ac:dyDescent="0.25">
      <c r="A19" s="6">
        <f>A18+1</f>
        <v>7</v>
      </c>
      <c r="B19" s="28" t="str">
        <f>B46</f>
        <v>TSM-US</v>
      </c>
      <c r="C19" s="9" t="str">
        <f>VLOOKUP($B19,$B$39:$Q$59,C$35,0)</f>
        <v>Taiwan Semiconductor Manufacturing Co., Ltd. Sponsored ADR</v>
      </c>
      <c r="D19" s="24">
        <f t="shared" si="2"/>
        <v>171.44</v>
      </c>
      <c r="E19" s="24">
        <f t="shared" si="2"/>
        <v>25934.180992000001</v>
      </c>
      <c r="F19" s="24">
        <f t="shared" si="2"/>
        <v>4446155.9892684799</v>
      </c>
      <c r="G19" s="24">
        <f t="shared" si="2"/>
        <v>4414699.2934621796</v>
      </c>
      <c r="I19" s="24">
        <f t="shared" si="3"/>
        <v>56831.680421361998</v>
      </c>
      <c r="J19" s="24">
        <f t="shared" si="3"/>
        <v>75936.463750142604</v>
      </c>
      <c r="K19" s="24">
        <f t="shared" si="3"/>
        <v>69350.225288014102</v>
      </c>
      <c r="L19" s="24">
        <f t="shared" si="3"/>
        <v>52289.07821</v>
      </c>
      <c r="M19" s="24">
        <f t="shared" si="3"/>
        <v>46628.177470000002</v>
      </c>
      <c r="N19" s="24">
        <f t="shared" si="8"/>
        <v>34096.916524608401</v>
      </c>
      <c r="O19" s="24">
        <f t="shared" si="9"/>
        <v>26899.679784637301</v>
      </c>
      <c r="P19" s="34"/>
      <c r="Q19" s="25">
        <f>J19/I19-1</f>
        <v>0.33616432220785541</v>
      </c>
      <c r="R19" s="25">
        <f>K19/J19-1</f>
        <v>-8.673354192261995E-2</v>
      </c>
      <c r="S19" s="25">
        <f>L19/J19</f>
        <v>0.68858985035238496</v>
      </c>
      <c r="T19" s="25">
        <f>M19/K19</f>
        <v>0.67235798119402523</v>
      </c>
      <c r="U19" s="26">
        <f>N19/J19</f>
        <v>0.44901901985848491</v>
      </c>
      <c r="V19" s="26">
        <f>O19/K19</f>
        <v>0.38788164959698279</v>
      </c>
      <c r="W19" s="34"/>
      <c r="X19" s="27" cm="1">
        <f t="array" ref="X19">_xll.FDS(B46,"FE_VALUATION(FFEV_SALES,MEAN,ANN,+1,NOW,,,'')")</f>
        <v>9.6887190000000007</v>
      </c>
      <c r="Y19" s="27" cm="1">
        <f t="array" ref="Y19">_xll.FDS(B46,"FE_VALUATION(FFEV_SALES,MEAN,ANN,+2,NOW,,,'')")</f>
        <v>7.8415127</v>
      </c>
      <c r="Z19" s="27" cm="1">
        <f t="array" ref="Z19">_xll.FDS(B46,"FE_VALUATION(FFEV_EBITDA,MEAN,ANN,+1,NOW,,,'')")</f>
        <v>14.357804</v>
      </c>
      <c r="AA19" s="27" cm="1">
        <f t="array" ref="AA19">_xll.FDS(B46,"FE_VALUATION(FFEV_EBITDA,MEAN,ANN,+2,NOW,,,'')")</f>
        <v>11.40657</v>
      </c>
      <c r="AB19" s="27" cm="1">
        <f t="array" ref="AB19">_xll.FDS(B46,"FE_VALUATION(PE,MEAN,ANN,+1,NOW,,,'')")</f>
        <v>25.927717000000001</v>
      </c>
      <c r="AC19" s="27" cm="1">
        <f t="array" ref="AC19">_xll.FDS(B46,"FE_VALUATION(PE,MEAN,ANN,+2,NOW,,,'')")</f>
        <v>20.37114</v>
      </c>
    </row>
    <row r="20" spans="1:29" ht="15.75" customHeight="1" x14ac:dyDescent="0.25">
      <c r="A20" s="6">
        <f t="shared" ref="A20:A22" si="10">A19+1</f>
        <v>8</v>
      </c>
      <c r="B20" s="28" t="str">
        <f>B47</f>
        <v>CSCO-US</v>
      </c>
      <c r="C20" s="9" t="str">
        <f t="shared" si="1"/>
        <v>Cisco Systems, Inc.</v>
      </c>
      <c r="D20" s="24">
        <f t="shared" si="2"/>
        <v>50.45</v>
      </c>
      <c r="E20" s="24">
        <f>VLOOKUP($B20,$B$39:$Q$49,E$35,0)</f>
        <v>4066</v>
      </c>
      <c r="F20" s="24">
        <f t="shared" si="2"/>
        <v>205129.7</v>
      </c>
      <c r="G20" s="24">
        <f>VLOOKUP($B20,$B$39:$Q$49,G$35,0)</f>
        <v>218237.7</v>
      </c>
      <c r="I20" s="24">
        <f t="shared" si="3"/>
        <v>51557</v>
      </c>
      <c r="J20" s="24">
        <f t="shared" si="3"/>
        <v>56998</v>
      </c>
      <c r="K20" s="24">
        <f t="shared" si="3"/>
        <v>53803</v>
      </c>
      <c r="L20" s="24">
        <f t="shared" si="3"/>
        <v>17256</v>
      </c>
      <c r="M20" s="24">
        <f t="shared" si="3"/>
        <v>15477</v>
      </c>
      <c r="N20" s="24">
        <f t="shared" si="8"/>
        <v>12613</v>
      </c>
      <c r="O20" s="24">
        <f t="shared" si="9"/>
        <v>10320</v>
      </c>
      <c r="P20" s="34"/>
      <c r="Q20" s="25">
        <f t="shared" ref="Q20:R22" si="11">J20/I20-1</f>
        <v>0.10553368116841555</v>
      </c>
      <c r="R20" s="25">
        <f t="shared" si="11"/>
        <v>-5.6054598406961698E-2</v>
      </c>
      <c r="S20" s="25">
        <f t="shared" ref="S20:T22" si="12">L20/J20</f>
        <v>0.30274746482332715</v>
      </c>
      <c r="T20" s="25">
        <f t="shared" si="12"/>
        <v>0.28766053937512776</v>
      </c>
      <c r="U20" s="26">
        <f t="shared" ref="U20:V22" si="13">N20/J20</f>
        <v>0.2212884662619741</v>
      </c>
      <c r="V20" s="26">
        <f t="shared" si="13"/>
        <v>0.1918108655651172</v>
      </c>
      <c r="W20" s="34"/>
      <c r="X20" s="27" cm="1">
        <f t="array" ref="X20">_xll.FDS(B46,"FE_VALUATION(FFEV_SALES,MEAN,ANN,+1,NOW,,,'')")</f>
        <v>9.6887190000000007</v>
      </c>
      <c r="Y20" s="27" cm="1">
        <f t="array" ref="Y20">_xll.FDS(B46,"FE_VALUATION(FFEV_SALES,MEAN,ANN,+2,NOW,,,'')")</f>
        <v>7.8415127</v>
      </c>
      <c r="Z20" s="27" cm="1">
        <f t="array" ref="Z20">_xll.FDS(B46,"FE_VALUATION(FFEV_EBITDA,MEAN,ANN,+1,NOW,,,'')")</f>
        <v>14.357804</v>
      </c>
      <c r="AA20" s="27" cm="1">
        <f t="array" ref="AA20">_xll.FDS(B46,"FE_VALUATION(FFEV_EBITDA,MEAN,ANN,+2,NOW,,,'')")</f>
        <v>11.40657</v>
      </c>
      <c r="AB20" s="27" cm="1">
        <f t="array" ref="AB20">_xll.FDS(B46,"FE_VALUATION(PE,MEAN,ANN,+1,NOW,,,'')")</f>
        <v>25.927717000000001</v>
      </c>
      <c r="AC20" s="27" cm="1">
        <f t="array" ref="AC20">_xll.FDS(B47,"FE_VALUATION(PE,MEAN,ANN,+2,NOW,,,'')")</f>
        <v>13.00231</v>
      </c>
    </row>
    <row r="21" spans="1:29" ht="15.75" customHeight="1" x14ac:dyDescent="0.25">
      <c r="A21" s="6">
        <f t="shared" si="10"/>
        <v>9</v>
      </c>
      <c r="B21" s="28" t="str">
        <f t="shared" si="0"/>
        <v>IBM-US</v>
      </c>
      <c r="C21" s="9" t="str">
        <f t="shared" si="1"/>
        <v>International Business Machines Corporation</v>
      </c>
      <c r="D21" s="24">
        <f t="shared" si="2"/>
        <v>197.21</v>
      </c>
      <c r="E21" s="24">
        <f t="shared" si="2"/>
        <v>943.56626400000005</v>
      </c>
      <c r="F21" s="24">
        <f t="shared" si="2"/>
        <v>186080.70292344003</v>
      </c>
      <c r="G21" s="24">
        <f t="shared" si="2"/>
        <v>229960.70292344003</v>
      </c>
      <c r="I21" s="24">
        <f t="shared" si="3"/>
        <v>57351</v>
      </c>
      <c r="J21" s="24">
        <f t="shared" si="3"/>
        <v>60530</v>
      </c>
      <c r="K21" s="24">
        <f t="shared" si="3"/>
        <v>61860</v>
      </c>
      <c r="L21" s="24">
        <f t="shared" si="3"/>
        <v>12569</v>
      </c>
      <c r="M21" s="24">
        <f t="shared" si="3"/>
        <v>14899</v>
      </c>
      <c r="N21" s="24">
        <f t="shared" si="8"/>
        <v>1783</v>
      </c>
      <c r="O21" s="24">
        <f t="shared" si="9"/>
        <v>7514</v>
      </c>
      <c r="P21" s="34"/>
      <c r="Q21" s="25">
        <f t="shared" si="11"/>
        <v>5.5430594061132377E-2</v>
      </c>
      <c r="R21" s="25">
        <f t="shared" si="11"/>
        <v>2.197257558235588E-2</v>
      </c>
      <c r="S21" s="25">
        <f t="shared" si="12"/>
        <v>0.20764909962002312</v>
      </c>
      <c r="T21" s="25">
        <f t="shared" si="12"/>
        <v>0.2408503071451665</v>
      </c>
      <c r="U21" s="26">
        <f t="shared" si="13"/>
        <v>2.9456467867173302E-2</v>
      </c>
      <c r="V21" s="26">
        <f t="shared" si="13"/>
        <v>0.12146783058519237</v>
      </c>
      <c r="W21" s="34"/>
      <c r="X21" s="27" cm="1">
        <f t="array" ref="X21">_xll.FDS(B48,"FE_VALUATION(FFEV_SALES,MEAN,ANN,+1,NOW,,,'')")</f>
        <v>3.5804836999999998</v>
      </c>
      <c r="Y21" s="27" cm="1">
        <f t="array" ref="Y21">_xll.FDS(B48,"FE_VALUATION(FFEV_SALES,MEAN,ANN,+2,NOW,,,'')")</f>
        <v>3.4149609999999999</v>
      </c>
      <c r="Z21" s="27" cm="1">
        <f t="array" ref="Z21">_xll.FDS(B48,"FE_VALUATION(FFEV_EBITDA,MEAN,ANN,+1,NOW,,,'')")</f>
        <v>14.545292999999999</v>
      </c>
      <c r="AA21" s="27" cm="1">
        <f t="array" ref="AA21">_xll.FDS(B48,"FE_VALUATION(FFEV_EBITDA,MEAN,ANN,+2,NOW,,,'')")</f>
        <v>13.867103999999999</v>
      </c>
      <c r="AB21" s="27" cm="1">
        <f t="array" ref="AB21">_xll.FDS(B48,"FE_VALUATION(PE,MEAN,ANN,+1,NOW,,,'')")</f>
        <v>19.390789999999999</v>
      </c>
      <c r="AC21" s="27" cm="1">
        <f t="array" ref="AC21">_xll.FDS(B48,"FE_VALUATION(PE,MEAN,ANN,+2,NOW,,,'')")</f>
        <v>18.473905999999999</v>
      </c>
    </row>
    <row r="22" spans="1:29" ht="15.75" customHeight="1" x14ac:dyDescent="0.25">
      <c r="A22" s="6">
        <f t="shared" si="10"/>
        <v>10</v>
      </c>
      <c r="B22" s="28" t="str">
        <f t="shared" si="0"/>
        <v>CRWD-US</v>
      </c>
      <c r="C22" s="9" t="str">
        <f t="shared" si="1"/>
        <v>CrowdStrike Holdings, Inc. Class A</v>
      </c>
      <c r="D22" s="24">
        <f t="shared" si="2"/>
        <v>273.20999999999998</v>
      </c>
      <c r="E22" s="24">
        <f t="shared" si="2"/>
        <v>254.530812</v>
      </c>
      <c r="F22" s="24">
        <f t="shared" si="2"/>
        <v>69540.363146519987</v>
      </c>
      <c r="G22" s="24">
        <f t="shared" si="2"/>
        <v>66630.902146519977</v>
      </c>
      <c r="I22" s="24">
        <f t="shared" si="3"/>
        <v>1451.5940000000001</v>
      </c>
      <c r="J22" s="24">
        <f t="shared" si="3"/>
        <v>2241.2359999999999</v>
      </c>
      <c r="K22" s="24">
        <f t="shared" si="3"/>
        <v>3055.5549999999998</v>
      </c>
      <c r="L22" s="24">
        <f t="shared" si="3"/>
        <v>-93.638000000000005</v>
      </c>
      <c r="M22" s="24">
        <f t="shared" si="3"/>
        <v>155.43799999999999</v>
      </c>
      <c r="N22" s="24">
        <f t="shared" si="8"/>
        <v>-183.245</v>
      </c>
      <c r="O22" s="24">
        <f t="shared" si="9"/>
        <v>89.326999999999998</v>
      </c>
      <c r="P22" s="34"/>
      <c r="Q22" s="25">
        <f t="shared" si="11"/>
        <v>0.5439826838633941</v>
      </c>
      <c r="R22" s="25">
        <f t="shared" si="11"/>
        <v>0.3633347849133246</v>
      </c>
      <c r="S22" s="25">
        <f t="shared" si="12"/>
        <v>-4.1779625171110946E-2</v>
      </c>
      <c r="T22" s="25">
        <f t="shared" si="12"/>
        <v>5.087062743102317E-2</v>
      </c>
      <c r="U22" s="26">
        <f t="shared" si="13"/>
        <v>-8.1760689191142752E-2</v>
      </c>
      <c r="V22" s="26">
        <f t="shared" si="13"/>
        <v>2.9234296224417495E-2</v>
      </c>
      <c r="W22" s="34"/>
      <c r="X22" s="27" cm="1">
        <f t="array" ref="X22">_xll.FDS(B49,"FE_VALUATION(FFEV_SALES,MEAN,ANN,+1,NOW,,,'')")</f>
        <v>16.054932000000001</v>
      </c>
      <c r="Y22" s="27" cm="1">
        <f t="array" ref="Y22">_xll.FDS(B49,"FE_VALUATION(FFEV_SALES,MEAN,ANN,+2,NOW,,,'')")</f>
        <v>12.955251000000001</v>
      </c>
      <c r="Z22" s="27" cm="1">
        <f t="array" ref="Z22">_xll.FDS(B49,"FE_VALUATION(FFEV_EBITDA,MEAN,ANN,+1,NOW,,,'')")</f>
        <v>62.773926000000003</v>
      </c>
      <c r="AA22" s="27" cm="1">
        <f t="array" ref="AA22">_xll.FDS(B49,"FE_VALUATION(FFEV_EBITDA,MEAN,ANN,+2,NOW,,,'')")</f>
        <v>48.961852999999998</v>
      </c>
      <c r="AB22" s="27" cm="1">
        <f t="array" ref="AB22">_xll.FDS(B49,"FE_VALUATION(PE,MEAN,ANN,+1,NOW,,,'')")</f>
        <v>69.131910000000005</v>
      </c>
      <c r="AC22" s="27"/>
    </row>
    <row r="23" spans="1:29" ht="5.25" customHeight="1" x14ac:dyDescent="0.25">
      <c r="B23" s="28"/>
      <c r="D23" s="6"/>
      <c r="E23" s="6"/>
      <c r="F23" s="31"/>
      <c r="G23" s="31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spans="1:29" outlineLevel="1" x14ac:dyDescent="0.25">
      <c r="B24" s="35" t="s">
        <v>30</v>
      </c>
      <c r="C24" s="36"/>
      <c r="D24" s="36"/>
      <c r="E24" s="36"/>
      <c r="F24" s="36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>
        <f>AVERAGE(Q13:Q22)</f>
        <v>0.24768172090223928</v>
      </c>
      <c r="R24" s="37">
        <f t="shared" ref="R24:V24" si="14">AVERAGE(R13:R22)</f>
        <v>0.11884458208541929</v>
      </c>
      <c r="S24" s="37">
        <f t="shared" si="14"/>
        <v>0.30505414326564517</v>
      </c>
      <c r="T24" s="37">
        <f t="shared" si="14"/>
        <v>0.32225349307898038</v>
      </c>
      <c r="U24" s="37">
        <f t="shared" si="14"/>
        <v>0.13427138943825787</v>
      </c>
      <c r="V24" s="37">
        <f t="shared" si="14"/>
        <v>0.15255605697521862</v>
      </c>
      <c r="W24" s="37"/>
      <c r="X24" s="38">
        <f>AVERAGE(X13:X22)</f>
        <v>10.430462020000002</v>
      </c>
      <c r="Y24" s="38">
        <f t="shared" ref="Y24:AA24" si="15">AVERAGE(Y13:Y22)</f>
        <v>8.3403310400000006</v>
      </c>
      <c r="Z24" s="38">
        <f t="shared" si="15"/>
        <v>26.976541299999997</v>
      </c>
      <c r="AA24" s="38">
        <f t="shared" si="15"/>
        <v>20.449681999999999</v>
      </c>
      <c r="AB24" s="38">
        <f>AVERAGE(AB13:AB22)</f>
        <v>40.945343000000001</v>
      </c>
      <c r="AC24" s="38">
        <f>AVERAGE(AC13:AC22)</f>
        <v>23.521213777777778</v>
      </c>
    </row>
    <row r="25" spans="1:29" outlineLevel="1" x14ac:dyDescent="0.25">
      <c r="B25" s="39" t="s">
        <v>31</v>
      </c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1"/>
      <c r="Q25" s="41">
        <f>MEDIAN(Q13:Q22)</f>
        <v>0.27891211832297158</v>
      </c>
      <c r="R25" s="41">
        <f t="shared" ref="R25:V25" si="16">MEDIAN(R13:R22)</f>
        <v>-4.7539184293095671E-2</v>
      </c>
      <c r="S25" s="41">
        <f t="shared" si="16"/>
        <v>0.27997200435966768</v>
      </c>
      <c r="T25" s="41">
        <f t="shared" si="16"/>
        <v>0.26425542326014712</v>
      </c>
      <c r="U25" s="41">
        <f t="shared" si="16"/>
        <v>0.14451556125859763</v>
      </c>
      <c r="V25" s="41">
        <f t="shared" si="16"/>
        <v>0.12972742178610269</v>
      </c>
      <c r="W25" s="41"/>
      <c r="X25" s="42">
        <f t="shared" ref="X25:AC25" si="17">MEDIAN(X13:X22)</f>
        <v>9.6887190000000007</v>
      </c>
      <c r="Y25" s="42">
        <f t="shared" si="17"/>
        <v>7.8415127</v>
      </c>
      <c r="Z25" s="42">
        <f t="shared" si="17"/>
        <v>21.437303</v>
      </c>
      <c r="AA25" s="42">
        <f t="shared" si="17"/>
        <v>19.068929999999998</v>
      </c>
      <c r="AB25" s="42">
        <f t="shared" si="17"/>
        <v>39.805959999999999</v>
      </c>
      <c r="AC25" s="42">
        <f t="shared" si="17"/>
        <v>23.263822999999999</v>
      </c>
    </row>
    <row r="26" spans="1:29" ht="15.75" customHeight="1" outlineLevel="1" x14ac:dyDescent="0.25">
      <c r="B26" s="19"/>
      <c r="C26" s="19"/>
      <c r="D26" s="20"/>
      <c r="E26" s="20"/>
      <c r="F26" s="20"/>
      <c r="G26" s="20"/>
      <c r="I26" s="20"/>
      <c r="J26" s="20"/>
      <c r="K26" s="20"/>
      <c r="L26" s="20"/>
      <c r="M26" s="20"/>
      <c r="N26" s="20"/>
      <c r="O26" s="20"/>
      <c r="P26" s="20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5.75" customHeight="1" outlineLevel="1" x14ac:dyDescent="0.25">
      <c r="A27" s="43"/>
      <c r="B27" s="12"/>
      <c r="C27" s="12"/>
      <c r="D27" s="15" t="s">
        <v>32</v>
      </c>
      <c r="E27" s="15"/>
      <c r="F27" s="15"/>
      <c r="G27" s="14"/>
      <c r="H27" s="15" t="s">
        <v>33</v>
      </c>
      <c r="I27" s="15"/>
      <c r="J27" s="15"/>
      <c r="K27" s="14"/>
      <c r="L27" s="15" t="s">
        <v>34</v>
      </c>
      <c r="M27" s="15"/>
      <c r="N27" s="15"/>
      <c r="O27" s="14"/>
      <c r="P27" s="14"/>
      <c r="Q27" s="15"/>
      <c r="R27" s="15"/>
      <c r="S27" s="15"/>
      <c r="T27" s="15" t="s">
        <v>35</v>
      </c>
      <c r="U27" s="15"/>
      <c r="V27" s="15"/>
      <c r="W27" s="14"/>
      <c r="X27" s="15" t="s">
        <v>36</v>
      </c>
      <c r="Y27" s="15"/>
      <c r="Z27" s="15"/>
      <c r="AA27" s="14"/>
      <c r="AB27" s="14"/>
      <c r="AC27" s="14"/>
    </row>
    <row r="28" spans="1:29" ht="15.75" customHeight="1" outlineLevel="1" x14ac:dyDescent="0.25">
      <c r="B28" s="16" t="s">
        <v>37</v>
      </c>
      <c r="C28" s="16"/>
      <c r="D28" s="17" t="s">
        <v>1</v>
      </c>
      <c r="E28" s="17" t="s">
        <v>9</v>
      </c>
      <c r="F28" s="17" t="s">
        <v>38</v>
      </c>
      <c r="G28" s="17"/>
      <c r="H28" s="17" t="s">
        <v>1</v>
      </c>
      <c r="I28" s="17" t="s">
        <v>9</v>
      </c>
      <c r="J28" s="17" t="s">
        <v>39</v>
      </c>
      <c r="K28" s="17"/>
      <c r="L28" s="17" t="s">
        <v>1</v>
      </c>
      <c r="M28" s="17" t="s">
        <v>9</v>
      </c>
      <c r="N28" s="17" t="s">
        <v>10</v>
      </c>
      <c r="O28" s="17"/>
      <c r="P28" s="17" t="s">
        <v>40</v>
      </c>
      <c r="Q28" s="17" t="s">
        <v>41</v>
      </c>
      <c r="R28" s="17" t="s">
        <v>42</v>
      </c>
      <c r="S28" s="17"/>
      <c r="T28" s="17" t="s">
        <v>1</v>
      </c>
      <c r="U28" s="17" t="s">
        <v>9</v>
      </c>
      <c r="V28" s="17" t="s">
        <v>10</v>
      </c>
      <c r="W28" s="17"/>
      <c r="X28" s="17" t="s">
        <v>1</v>
      </c>
      <c r="Y28" s="17" t="s">
        <v>9</v>
      </c>
      <c r="Z28" s="17" t="s">
        <v>10</v>
      </c>
      <c r="AA28" s="17"/>
      <c r="AB28" s="17"/>
      <c r="AC28" s="17"/>
    </row>
    <row r="29" spans="1:29" ht="15.75" customHeight="1" outlineLevel="1" x14ac:dyDescent="0.25">
      <c r="B29" s="19" t="s">
        <v>43</v>
      </c>
      <c r="C29" s="19"/>
      <c r="D29" s="44">
        <f>MIN(X13:X22)</f>
        <v>2.188402</v>
      </c>
      <c r="E29" s="44">
        <f>MIN(Z13:Z22)</f>
        <v>9.8793310000000005</v>
      </c>
      <c r="F29" s="44">
        <f>MIN(AB13:AB22)</f>
        <v>19.390789999999999</v>
      </c>
      <c r="G29" s="20"/>
      <c r="H29" s="31">
        <f>K11</f>
        <v>35819</v>
      </c>
      <c r="I29" s="31">
        <f>M11</f>
        <v>20290</v>
      </c>
      <c r="J29" s="285">
        <f>_xll.FDS("AVGO-US","FF_EPS(ANN_R,0)")</f>
        <v>3.2978999999999998</v>
      </c>
      <c r="L29" s="31">
        <f>H29*D29</f>
        <v>78386.371237999992</v>
      </c>
      <c r="M29" s="31">
        <f t="shared" ref="L29:M32" si="18">I29*E29</f>
        <v>200451.62599</v>
      </c>
      <c r="N29" s="31" t="s">
        <v>44</v>
      </c>
      <c r="P29" s="46" cm="1">
        <f t="array" ref="P29">_xll.FDS(B39,"FF_CASH_ST(QTR_R,0)")</f>
        <v>9809</v>
      </c>
      <c r="Q29" s="46">
        <f t="array" ref="Q29">_xll.FDS(B39,"FF_DEBT(QTR_R,0)")</f>
        <v>74016</v>
      </c>
      <c r="R29" s="47" cm="1">
        <f t="array" ref="R29">_xll.FDS(B39,"FREF_SHARES_COMPANY(0,,,,0,""LEGACY"")")</f>
        <v>4654.88330078125</v>
      </c>
      <c r="S29" s="48"/>
      <c r="T29" s="49">
        <f>L29+P29-Q29</f>
        <v>14179.371237999992</v>
      </c>
      <c r="U29" s="49">
        <f>M29+P29-Q29</f>
        <v>136244.62599</v>
      </c>
      <c r="V29" s="49">
        <f>F29*J29*R29</f>
        <v>297674.60313227901</v>
      </c>
      <c r="W29" s="21"/>
      <c r="X29" s="50">
        <f t="shared" ref="X29:Z32" si="19">T29/$R29</f>
        <v>3.0461281887819194</v>
      </c>
      <c r="Y29" s="50">
        <f t="shared" si="19"/>
        <v>29.269181886285626</v>
      </c>
      <c r="Z29" s="50">
        <f>V29/$R29</f>
        <v>63.948886340999984</v>
      </c>
      <c r="AB29" s="21"/>
      <c r="AC29" s="21"/>
    </row>
    <row r="30" spans="1:29" ht="15.75" customHeight="1" outlineLevel="1" x14ac:dyDescent="0.25">
      <c r="B30" s="19" t="s">
        <v>30</v>
      </c>
      <c r="C30" s="19"/>
      <c r="D30" s="44">
        <f>X24</f>
        <v>10.430462020000002</v>
      </c>
      <c r="E30" s="44">
        <f>Z24</f>
        <v>26.976541299999997</v>
      </c>
      <c r="F30" s="44">
        <f>AB24</f>
        <v>40.945343000000001</v>
      </c>
      <c r="G30" s="20"/>
      <c r="H30" s="30">
        <f t="shared" ref="H30:J32" si="20">H29</f>
        <v>35819</v>
      </c>
      <c r="I30" s="30">
        <f t="shared" si="20"/>
        <v>20290</v>
      </c>
      <c r="J30" s="45">
        <f t="shared" si="20"/>
        <v>3.2978999999999998</v>
      </c>
      <c r="K30" s="31"/>
      <c r="L30" s="31">
        <f>H30*D30</f>
        <v>373608.7190943801</v>
      </c>
      <c r="M30" s="31">
        <f t="shared" si="18"/>
        <v>547354.02297699999</v>
      </c>
      <c r="N30" s="31" t="s">
        <v>44</v>
      </c>
      <c r="P30" s="46">
        <f>P29</f>
        <v>9809</v>
      </c>
      <c r="Q30" s="46">
        <f t="shared" ref="P30:R32" si="21">Q29</f>
        <v>74016</v>
      </c>
      <c r="R30" s="46">
        <f>R29</f>
        <v>4654.88330078125</v>
      </c>
      <c r="T30" s="49">
        <f>L30+P30-Q30</f>
        <v>309401.7190943801</v>
      </c>
      <c r="U30" s="49">
        <f>M30+P30-Q30</f>
        <v>483147.02297699999</v>
      </c>
      <c r="V30" s="49">
        <f>F30*J30*R30</f>
        <v>628565.86697293096</v>
      </c>
      <c r="W30" s="21"/>
      <c r="X30" s="50">
        <f>T30/$R30</f>
        <v>66.468201048660404</v>
      </c>
      <c r="Y30" s="50">
        <f t="shared" si="19"/>
        <v>103.79358444838161</v>
      </c>
      <c r="Z30" s="50">
        <f t="shared" si="19"/>
        <v>135.03364667969998</v>
      </c>
      <c r="AA30" s="21"/>
      <c r="AB30" s="21"/>
      <c r="AC30" s="21"/>
    </row>
    <row r="31" spans="1:29" ht="15.75" customHeight="1" outlineLevel="1" x14ac:dyDescent="0.25">
      <c r="B31" s="19" t="s">
        <v>31</v>
      </c>
      <c r="C31" s="19"/>
      <c r="D31" s="44">
        <f>X25</f>
        <v>9.6887190000000007</v>
      </c>
      <c r="E31" s="44">
        <f>Z25</f>
        <v>21.437303</v>
      </c>
      <c r="F31" s="44">
        <f>AB25</f>
        <v>39.805959999999999</v>
      </c>
      <c r="G31" s="20"/>
      <c r="H31" s="30">
        <f t="shared" si="20"/>
        <v>35819</v>
      </c>
      <c r="I31" s="30">
        <f>I30</f>
        <v>20290</v>
      </c>
      <c r="J31" s="45">
        <f t="shared" si="20"/>
        <v>3.2978999999999998</v>
      </c>
      <c r="K31" s="31"/>
      <c r="L31" s="31">
        <f t="shared" si="18"/>
        <v>347040.22586100001</v>
      </c>
      <c r="M31" s="31">
        <f t="shared" si="18"/>
        <v>434962.87787000003</v>
      </c>
      <c r="N31" s="31" t="s">
        <v>44</v>
      </c>
      <c r="P31" s="46">
        <f t="shared" si="21"/>
        <v>9809</v>
      </c>
      <c r="Q31" s="46">
        <f t="shared" si="21"/>
        <v>74016</v>
      </c>
      <c r="R31" s="46">
        <f t="shared" si="21"/>
        <v>4654.88330078125</v>
      </c>
      <c r="T31" s="49">
        <f>L31+P31-Q31</f>
        <v>282833.22586100001</v>
      </c>
      <c r="U31" s="49">
        <f>M31+P31-Q31</f>
        <v>370755.87787000003</v>
      </c>
      <c r="V31" s="49">
        <f>F31*J31*R31</f>
        <v>611074.81156257039</v>
      </c>
      <c r="W31" s="21"/>
      <c r="X31" s="50">
        <f t="shared" si="19"/>
        <v>60.760540616245059</v>
      </c>
      <c r="Y31" s="50">
        <f>U31/$R31</f>
        <v>79.648801895371776</v>
      </c>
      <c r="Z31" s="50">
        <f t="shared" si="19"/>
        <v>131.27607548399999</v>
      </c>
      <c r="AA31" s="21"/>
      <c r="AB31" s="21"/>
      <c r="AC31" s="21"/>
    </row>
    <row r="32" spans="1:29" ht="15.75" customHeight="1" outlineLevel="1" x14ac:dyDescent="0.25">
      <c r="B32" s="19" t="s">
        <v>45</v>
      </c>
      <c r="C32" s="19"/>
      <c r="D32" s="44">
        <f>MAX(X13:X22)</f>
        <v>25.568135999999999</v>
      </c>
      <c r="E32" s="44">
        <f>MAX(Z13:Z22)</f>
        <v>62.773926000000003</v>
      </c>
      <c r="F32" s="44">
        <f>MAX(AB13:AB22)</f>
        <v>69.131910000000005</v>
      </c>
      <c r="G32" s="20"/>
      <c r="H32" s="30">
        <f t="shared" si="20"/>
        <v>35819</v>
      </c>
      <c r="I32" s="30">
        <f t="shared" si="20"/>
        <v>20290</v>
      </c>
      <c r="J32" s="45">
        <f t="shared" si="20"/>
        <v>3.2978999999999998</v>
      </c>
      <c r="K32" s="31"/>
      <c r="L32" s="31">
        <f t="shared" si="18"/>
        <v>915825.06338399998</v>
      </c>
      <c r="M32" s="31">
        <f t="shared" si="18"/>
        <v>1273682.95854</v>
      </c>
      <c r="N32" s="31" t="s">
        <v>44</v>
      </c>
      <c r="P32" s="46">
        <f t="shared" si="21"/>
        <v>9809</v>
      </c>
      <c r="Q32" s="46">
        <f t="shared" si="21"/>
        <v>74016</v>
      </c>
      <c r="R32" s="46">
        <f t="shared" si="21"/>
        <v>4654.88330078125</v>
      </c>
      <c r="T32" s="49">
        <f>L32+P32-Q32</f>
        <v>851618.06338399998</v>
      </c>
      <c r="U32" s="49">
        <f>M32+P32-Q32</f>
        <v>1209475.95854</v>
      </c>
      <c r="V32" s="49">
        <f>F32*J32*R32</f>
        <v>1061267.4302092094</v>
      </c>
      <c r="W32" s="21"/>
      <c r="X32" s="50">
        <f t="shared" si="19"/>
        <v>182.9515389228059</v>
      </c>
      <c r="Y32" s="50">
        <f>U32/$R32</f>
        <v>259.82949096425432</v>
      </c>
      <c r="Z32" s="50">
        <f t="shared" si="19"/>
        <v>227.99012598900001</v>
      </c>
      <c r="AA32" s="21"/>
      <c r="AB32" s="21"/>
      <c r="AC32" s="21"/>
    </row>
    <row r="33" spans="1:29" ht="15.75" customHeight="1" outlineLevel="1" x14ac:dyDescent="0.25">
      <c r="B33" s="19"/>
      <c r="C33" s="19"/>
      <c r="D33" s="44"/>
      <c r="E33" s="44"/>
      <c r="F33" s="44"/>
      <c r="G33" s="20"/>
      <c r="H33" s="6"/>
      <c r="I33" s="31"/>
      <c r="J33" s="31"/>
      <c r="K33" s="31"/>
      <c r="L33" s="31"/>
      <c r="M33" s="31"/>
      <c r="N33" s="31"/>
      <c r="P33" s="31"/>
      <c r="Q33" s="31"/>
      <c r="R33" s="5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s="57" customFormat="1" ht="15.75" customHeight="1" outlineLevel="1" x14ac:dyDescent="0.25">
      <c r="A34" s="52"/>
      <c r="B34" s="53" t="s">
        <v>46</v>
      </c>
      <c r="C34" s="53"/>
      <c r="D34" s="54"/>
      <c r="E34" s="54"/>
      <c r="F34" s="54"/>
      <c r="G34" s="55"/>
      <c r="H34" s="52"/>
      <c r="I34" s="56"/>
      <c r="J34" s="56"/>
      <c r="K34" s="56"/>
      <c r="L34" s="56"/>
      <c r="M34" s="56"/>
      <c r="N34" s="56"/>
      <c r="P34" s="56"/>
      <c r="Q34" s="56"/>
      <c r="R34" s="58"/>
      <c r="U34" s="59"/>
      <c r="V34" s="59"/>
      <c r="W34" s="59"/>
      <c r="X34" s="59"/>
      <c r="Y34" s="59"/>
      <c r="Z34" s="59"/>
      <c r="AA34" s="59"/>
      <c r="AB34" s="59"/>
      <c r="AC34" s="59"/>
    </row>
    <row r="35" spans="1:29" ht="15.75" customHeight="1" x14ac:dyDescent="0.25">
      <c r="B35" s="60">
        <v>1</v>
      </c>
      <c r="C35" s="60">
        <f t="shared" ref="C35:O35" si="22">B35+1</f>
        <v>2</v>
      </c>
      <c r="D35" s="61">
        <f t="shared" si="22"/>
        <v>3</v>
      </c>
      <c r="E35" s="61">
        <f t="shared" si="22"/>
        <v>4</v>
      </c>
      <c r="F35" s="61">
        <f t="shared" si="22"/>
        <v>5</v>
      </c>
      <c r="G35" s="61">
        <f t="shared" si="22"/>
        <v>6</v>
      </c>
      <c r="H35" s="60">
        <f t="shared" si="22"/>
        <v>7</v>
      </c>
      <c r="I35" s="60">
        <f t="shared" si="22"/>
        <v>8</v>
      </c>
      <c r="J35" s="61">
        <f t="shared" si="22"/>
        <v>9</v>
      </c>
      <c r="K35" s="61">
        <f t="shared" si="22"/>
        <v>10</v>
      </c>
      <c r="L35" s="61">
        <f t="shared" si="22"/>
        <v>11</v>
      </c>
      <c r="M35" s="61">
        <f t="shared" si="22"/>
        <v>12</v>
      </c>
      <c r="N35" s="60">
        <f t="shared" si="22"/>
        <v>13</v>
      </c>
      <c r="O35" s="60">
        <f t="shared" si="22"/>
        <v>14</v>
      </c>
      <c r="P35" s="20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5.75" customHeight="1" x14ac:dyDescent="0.25">
      <c r="B36" s="12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 x14ac:dyDescent="0.25">
      <c r="B37" s="12"/>
      <c r="C37" s="12"/>
      <c r="D37" s="14" t="s">
        <v>5</v>
      </c>
      <c r="E37" s="14" t="s">
        <v>6</v>
      </c>
      <c r="F37" s="14" t="s">
        <v>7</v>
      </c>
      <c r="G37" s="14" t="s">
        <v>8</v>
      </c>
      <c r="H37" s="14"/>
      <c r="I37" s="14"/>
      <c r="J37" s="15"/>
      <c r="K37" s="15" t="s">
        <v>1</v>
      </c>
      <c r="L37" s="15"/>
      <c r="M37" s="15"/>
      <c r="N37" s="15" t="s">
        <v>9</v>
      </c>
      <c r="O37" s="15"/>
      <c r="P37" s="15" t="s">
        <v>10</v>
      </c>
      <c r="Q37" s="15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 x14ac:dyDescent="0.25">
      <c r="B38" s="16" t="s">
        <v>17</v>
      </c>
      <c r="C38" s="16" t="s">
        <v>18</v>
      </c>
      <c r="D38" s="17" t="s">
        <v>19</v>
      </c>
      <c r="E38" s="17" t="s">
        <v>20</v>
      </c>
      <c r="F38" s="17" t="s">
        <v>21</v>
      </c>
      <c r="G38" s="17" t="s">
        <v>22</v>
      </c>
      <c r="H38" s="17" t="s">
        <v>40</v>
      </c>
      <c r="I38" s="17" t="s">
        <v>41</v>
      </c>
      <c r="J38" s="18"/>
      <c r="K38" s="18" t="s">
        <v>23</v>
      </c>
      <c r="L38" s="18" t="s">
        <v>24</v>
      </c>
      <c r="M38" s="18" t="s">
        <v>25</v>
      </c>
      <c r="N38" s="18" t="s">
        <v>26</v>
      </c>
      <c r="O38" s="18" t="s">
        <v>27</v>
      </c>
      <c r="P38" s="18" t="str">
        <f>N38</f>
        <v>'22</v>
      </c>
      <c r="Q38" s="18" t="str">
        <f>O38</f>
        <v>'23</v>
      </c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ht="15.75" customHeight="1" x14ac:dyDescent="0.25">
      <c r="B39" s="28" t="s">
        <v>225</v>
      </c>
      <c r="C39" s="62" t="str">
        <f t="array" ref="C39">_xll.FDS(B39,"FG_COMPANY_NAME")</f>
        <v>Broadcom Inc.</v>
      </c>
      <c r="D39" s="63" cm="1">
        <f t="array" ref="D39">_xll.FDS(B39,"FG_PRICE(0,,,USD)")</f>
        <v>165.78</v>
      </c>
      <c r="E39" s="31">
        <f t="array" ref="E39">_xll.FDS(B39,"FCS_SHARES(TOT,SHS,ANN,0,,,,,M)")</f>
        <v>4359.9999350309399</v>
      </c>
      <c r="F39" s="31">
        <f t="shared" ref="F39:F49" si="23">D39*E39</f>
        <v>722800.78922942921</v>
      </c>
      <c r="G39" s="31">
        <f t="shared" ref="G39:G47" si="24">F39+I39-H39</f>
        <v>787007.78922942921</v>
      </c>
      <c r="H39" s="9">
        <f t="array" ref="H39">_xll.FDS(B39,"FF_CASH_ST(QTR_R,0)")</f>
        <v>9809</v>
      </c>
      <c r="I39" s="9">
        <f t="array" ref="I39">_xll.FDS(B39,"FF_DEBT(QTR_R,0)")</f>
        <v>74016</v>
      </c>
      <c r="K39" s="31">
        <f t="array" ref="K39">_xll.FDS(B39,"FF_SALES(ANN_R,-2AY,,,,USD)")</f>
        <v>27450</v>
      </c>
      <c r="L39" s="31">
        <f t="array" ref="L39">_xll.FDS(B39,"FF_SALES(ANN_R,-1AY,,,,USD)")</f>
        <v>33203</v>
      </c>
      <c r="M39" s="31">
        <f t="array" ref="M39">_xll.FDS(B39,"FF_SALES(ANN_R,0Y,,,,USD)")</f>
        <v>35819</v>
      </c>
      <c r="N39" s="31">
        <f t="array" ref="N39">_xll.FDS(B39,"FF_EBITDA_OPER(ANN_R,-1AY,,,,USD)")</f>
        <v>19271</v>
      </c>
      <c r="O39" s="31">
        <f t="array" ref="O39">_xll.FDS(B39,"FF_EBITDA_OPER(ANN_R,0Y,,,,USD)")</f>
        <v>20290</v>
      </c>
      <c r="P39" s="31">
        <f t="array" ref="P39">_xll.FDS(B39,"FF_NET_INC(ANN_R,-1AY,,,,USD)")</f>
        <v>11495</v>
      </c>
      <c r="Q39" s="31">
        <f t="array" ref="Q39">_xll.FDS(B39,"FF_NET_INC(ANN_R,0Y,,,,USD)")</f>
        <v>14082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5.75" customHeight="1" x14ac:dyDescent="0.25">
      <c r="B40" s="28" t="s">
        <v>227</v>
      </c>
      <c r="C40" s="62" t="str">
        <f t="array" ref="C40">_xll.FDS(B40,"FG_COMPANY_NAME")</f>
        <v>Advanced Micro Devices, Inc.</v>
      </c>
      <c r="D40" s="63">
        <f t="array" ref="D40">_xll.FDS(B40,"FG_PRICE(0,,,USD)")</f>
        <v>157.81</v>
      </c>
      <c r="E40" s="31">
        <f t="array" ref="E40">_xll.FDS(B40,"FCS_SHARES(TOT,SHS,ANN,0,,,,,M)")</f>
        <v>1651.609389</v>
      </c>
      <c r="F40" s="31">
        <f t="shared" si="23"/>
        <v>260640.47767808998</v>
      </c>
      <c r="G40" s="31">
        <f t="shared" si="24"/>
        <v>257545.47767808998</v>
      </c>
      <c r="H40" s="9">
        <f t="array" ref="H40">_xll.FDS(B40,"FF_CASH_ST(QTR_R,0)")</f>
        <v>5340</v>
      </c>
      <c r="I40" s="9">
        <f t="array" ref="I40">_xll.FDS(B40,"FF_DEBT(QTR_R,0)")</f>
        <v>2245</v>
      </c>
      <c r="K40" s="31">
        <f t="array" ref="K40">_xll.FDS(B40,"FF_SALES(ANN_R,-2AY,,,,USD)")</f>
        <v>16434</v>
      </c>
      <c r="L40" s="31">
        <f t="array" ref="L40">_xll.FDS(B40,"FF_SALES(ANN_R,-1AY,,,,USD)")</f>
        <v>23601</v>
      </c>
      <c r="M40" s="31">
        <f t="array" ref="M40">_xll.FDS(B40,"FF_SALES(ANN_R,0Y,,,,USD)")</f>
        <v>22680</v>
      </c>
      <c r="N40" s="31">
        <f t="array" ref="N40">_xll.FDS(B40,"FF_EBITDA_OPER(ANN_R,-1AY,,,,USD)")</f>
        <v>5876</v>
      </c>
      <c r="O40" s="31">
        <f t="array" ref="O40">_xll.FDS(B40,"FF_EBITDA_OPER(ANN_R,0Y,,,,USD)")</f>
        <v>4176</v>
      </c>
      <c r="P40" s="31">
        <f t="array" ref="P40">_xll.FDS(B40,"FF_NET_INC(ANN_R,-1AY,,,,USD)")</f>
        <v>1320</v>
      </c>
      <c r="Q40" s="31">
        <f t="array" ref="Q40">_xll.FDS(B40,"FF_NET_INC(ANN_R,0Y,,,,USD)")</f>
        <v>854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5.75" customHeight="1" x14ac:dyDescent="0.25">
      <c r="B41" s="28" t="s">
        <v>228</v>
      </c>
      <c r="C41" s="62" t="str">
        <f t="array" ref="C41">_xll.FDS(B41,"FG_COMPANY_NAME")</f>
        <v>Intel Corporation</v>
      </c>
      <c r="D41" s="63">
        <f t="array" ref="D41">_xll.FDS(B41,"FG_PRICE(0,,,USD)")</f>
        <v>21.41</v>
      </c>
      <c r="E41" s="31">
        <f t="array" ref="E41">_xll.FDS(B41,"FCS_SHARES(TOT,SHS,ANN,0,,,,,M)")</f>
        <v>4400.8999999999996</v>
      </c>
      <c r="F41" s="31">
        <f t="shared" si="23"/>
        <v>94223.268999999986</v>
      </c>
      <c r="G41" s="31">
        <f t="shared" si="24"/>
        <v>117979.26899999997</v>
      </c>
      <c r="H41" s="9">
        <f t="array" ref="H41">_xll.FDS(B41,"FF_CASH_ST(QTR_R,0)")</f>
        <v>29273</v>
      </c>
      <c r="I41" s="9">
        <f t="array" ref="I41">_xll.FDS(B41,"FF_DEBT(QTR_R,0)")</f>
        <v>53029</v>
      </c>
      <c r="K41" s="31">
        <f t="array" ref="K41">_xll.FDS(B41,"FF_SALES(ANN_R,-2AY,,,,USD)")</f>
        <v>79024</v>
      </c>
      <c r="L41" s="31">
        <f t="array" ref="L41">_xll.FDS(B41,"FF_SALES(ANN_R,-1AY,,,,USD)")</f>
        <v>63054</v>
      </c>
      <c r="M41" s="31">
        <f>_xll.FDS(B41,"FF_SALES(ANN_R,0Y,,,,USD)")</f>
        <v>54228</v>
      </c>
      <c r="N41" s="31">
        <f t="array" ref="N41">_xll.FDS(B41,"FF_EBITDA_OPER(ANN_R,-1AY,,,,USD)")</f>
        <v>15371</v>
      </c>
      <c r="O41" s="31">
        <f t="array" ref="O41">_xll.FDS(B41,"FF_EBITDA_OPER(ANN_R,0Y,,,,USD)")</f>
        <v>9633</v>
      </c>
      <c r="P41" s="31">
        <f t="array" ref="P41">_xll.FDS(B41,"FF_NET_INC(ANN_R,-1AY,,,,USD)")</f>
        <v>8014</v>
      </c>
      <c r="Q41" s="31">
        <f t="array" ref="Q41">_xll.FDS(B41,"FF_NET_INC(ANN_R,0Y,,,,USD)")</f>
        <v>1689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5.75" customHeight="1" x14ac:dyDescent="0.25">
      <c r="B42" s="28" t="s">
        <v>229</v>
      </c>
      <c r="C42" s="62" t="str">
        <f t="array" ref="C42">_xll.FDS(B42,"FG_COMPANY_NAME")</f>
        <v>NVIDIA Corporation</v>
      </c>
      <c r="D42" s="63">
        <f t="array" ref="D42">_xll.FDS(B42,"FG_PRICE(0,,,USD)")</f>
        <v>128.5</v>
      </c>
      <c r="E42" s="31">
        <f t="array" ref="E42">_xll.FDS(B42,"FCS_SHARES(TOT,SHS,ANN,0,,,,,M)")</f>
        <v>25009.999627321999</v>
      </c>
      <c r="F42" s="31">
        <f t="shared" si="23"/>
        <v>3213784.9521108768</v>
      </c>
      <c r="G42" s="31">
        <f t="shared" si="24"/>
        <v>3193583.9521108768</v>
      </c>
      <c r="H42" s="9">
        <f t="array" ref="H42">_xll.FDS(B42,"FF_CASH_ST(QTR_R,0)")</f>
        <v>31438</v>
      </c>
      <c r="I42" s="9">
        <f t="array" ref="I42">_xll.FDS(B42,"FF_DEBT(QTR_R,0)")</f>
        <v>11237</v>
      </c>
      <c r="K42" s="31">
        <f t="array" ref="K42">_xll.FDS(B42,"FF_SALES(ANN_R,-2AY,,,,USD)")</f>
        <v>26914</v>
      </c>
      <c r="L42" s="31">
        <f t="array" ref="L42">_xll.FDS(B42,"FF_SALES(ANN_R,-1AY,,,,USD)")</f>
        <v>26974</v>
      </c>
      <c r="M42" s="31">
        <f t="array" ref="M42">_xll.FDS(B42,"FF_SALES(ANN_R,0Y,,,,USD)")</f>
        <v>60922</v>
      </c>
      <c r="N42" s="31">
        <f t="array" ref="N42">_xll.FDS(B42,"FF_EBITDA_OPER(ANN_R,-1AY,,,,USD)")</f>
        <v>7121</v>
      </c>
      <c r="O42" s="31">
        <f t="array" ref="O42">_xll.FDS(B42,"FF_EBITDA_OPER(ANN_R,0Y,,,,USD)")</f>
        <v>34480</v>
      </c>
      <c r="P42" s="31">
        <f t="array" ref="P42">_xll.FDS(B42,"FF_NET_INC(ANN_R,-1AY,,,,USD)")</f>
        <v>4368</v>
      </c>
      <c r="Q42" s="31">
        <f t="array" ref="Q42">_xll.FDS(B42,"FF_NET_INC(ANN_R,0Y,,,,USD)")</f>
        <v>29760</v>
      </c>
      <c r="R42" s="21"/>
      <c r="S42" s="21"/>
      <c r="T42" s="21"/>
      <c r="U42" s="21"/>
      <c r="V42" s="64"/>
      <c r="W42" s="21"/>
      <c r="X42" s="21"/>
      <c r="Y42" s="21"/>
      <c r="Z42" s="21"/>
      <c r="AA42" s="21"/>
      <c r="AB42" s="21"/>
      <c r="AC42" s="21"/>
    </row>
    <row r="43" spans="1:29" ht="15.75" customHeight="1" x14ac:dyDescent="0.25">
      <c r="B43" s="28" t="s">
        <v>230</v>
      </c>
      <c r="C43" s="62" t="str">
        <f t="array" ref="C43">_xll.FDS(B43,"FG_COMPANY_NAME")</f>
        <v>Marvell Technology, Inc.</v>
      </c>
      <c r="D43" s="63">
        <f t="array" ref="D43">_xll.FDS(B43,"FG_PRICE(0,,,USD)")</f>
        <v>71.34</v>
      </c>
      <c r="E43" s="31">
        <f t="array" ref="E43">_xll.FDS(B43,"FCS_SHARES(TOT,SHS,ANN,0,,,,,M)")</f>
        <v>886.85487899999998</v>
      </c>
      <c r="F43" s="31">
        <f t="shared" si="23"/>
        <v>63268.227067860003</v>
      </c>
      <c r="G43" s="31">
        <f t="shared" si="24"/>
        <v>67077.127067860012</v>
      </c>
      <c r="H43" s="9">
        <f t="array" ref="H43">_xll.FDS(B43,"FF_CASH_ST(QTR_R,0)")</f>
        <v>847.7</v>
      </c>
      <c r="I43" s="9">
        <f t="array" ref="I43">_xll.FDS(B43,"FF_DEBT(QTR_R,0)")</f>
        <v>4656.6000000000004</v>
      </c>
      <c r="K43" s="31">
        <f t="array" ref="K43">_xll.FDS(B43,"FF_SALES(ANN_R,-2AY,,,,USD)")</f>
        <v>4462.3829999999998</v>
      </c>
      <c r="L43" s="31">
        <f t="array" ref="L43">_xll.FDS(B43,"FF_SALES(ANN_R,-1AY,,,,USD)")</f>
        <v>5919.6</v>
      </c>
      <c r="M43" s="31">
        <f t="array" ref="M43">_xll.FDS(B43,"FF_SALES(ANN_R,0Y,,,,USD)")</f>
        <v>5507.7</v>
      </c>
      <c r="N43" s="31">
        <f t="array" ref="N43">_xll.FDS(B43,"FF_EBITDA_OPER(ANN_R,-1AY,,,,USD)")</f>
        <v>1751.9</v>
      </c>
      <c r="O43" s="31">
        <f t="array" ref="O43">_xll.FDS(B43,"FF_EBITDA_OPER(ANN_R,0Y,,,,USD)")</f>
        <v>961.1</v>
      </c>
      <c r="P43" s="31">
        <f t="array" ref="P43">_xll.FDS(B43,"FF_NET_INC(ANN_R,-1AY,,,,USD)")</f>
        <v>-163.5</v>
      </c>
      <c r="Q43" s="31">
        <f t="array" ref="Q43">_xll.FDS(B43,"FF_NET_INC(ANN_R,0Y,,,,USD)")</f>
        <v>-933.4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5.75" customHeight="1" x14ac:dyDescent="0.25">
      <c r="B44" s="28" t="s">
        <v>231</v>
      </c>
      <c r="C44" s="62" t="str">
        <f t="array" ref="C44">_xll.FDS(B44,"FG_COMPANY_NAME")</f>
        <v>Analog Devices, Inc.</v>
      </c>
      <c r="D44" s="63">
        <f t="array" ref="D44">_xll.FDS(B44,"FG_PRICE(0,,,USD)")</f>
        <v>227.5</v>
      </c>
      <c r="E44" s="31">
        <f t="array" ref="E44">_xll.FDS(B44,"FCS_SHARES(TOT,SHS,ANN,0,,,,,M)")</f>
        <v>502.25565499999999</v>
      </c>
      <c r="F44" s="31">
        <f t="shared" si="23"/>
        <v>114263.1615125</v>
      </c>
      <c r="G44" s="31">
        <f t="shared" si="24"/>
        <v>119819.8795125</v>
      </c>
      <c r="H44" s="9">
        <f t="array" ref="H44">_xll.FDS(B44,"FF_CASH_ST(QTR_R,0)")</f>
        <v>2545.6990000000001</v>
      </c>
      <c r="I44" s="9">
        <f t="array" ref="I44">_xll.FDS(B44,"FF_DEBT(QTR_R,0)")</f>
        <v>8102.4170000000004</v>
      </c>
      <c r="K44" s="31">
        <f t="array" ref="K44">_xll.FDS(B44,"FF_SALES(ANN_R,-2AY,,,,USD)")</f>
        <v>7318.2860000000001</v>
      </c>
      <c r="L44" s="31">
        <f t="array" ref="L44">_xll.FDS(B44,"FF_SALES(ANN_R,-1AY,,,,USD)")</f>
        <v>12013.953</v>
      </c>
      <c r="M44" s="31">
        <f t="array" ref="M44">_xll.FDS(B44,"FF_SALES(ANN_R,0Y,,,,USD)")</f>
        <v>12305.539000000001</v>
      </c>
      <c r="N44" s="31">
        <f t="array" ref="N44">_xll.FDS(B44,"FF_EBITDA_OPER(ANN_R,-1AY,,,,USD)")</f>
        <v>5826.1049999999996</v>
      </c>
      <c r="O44" s="31">
        <f t="array" ref="O44">_xll.FDS(B44,"FF_EBITDA_OPER(ANN_R,0Y,,,,USD)")</f>
        <v>6274.9380000000001</v>
      </c>
      <c r="P44" s="31">
        <f t="array" ref="P44">_xll.FDS(B44,"FF_NET_INC(ANN_R,-1AY,,,,USD)")</f>
        <v>2748.5610000000001</v>
      </c>
      <c r="Q44" s="31">
        <f t="array" ref="Q44">_xll.FDS(B44,"FF_NET_INC(ANN_R,0Y,,,,USD)")</f>
        <v>3314.5790000000002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5.75" customHeight="1" x14ac:dyDescent="0.25">
      <c r="B45" s="28" t="s">
        <v>233</v>
      </c>
      <c r="C45" s="62" t="str">
        <f t="array" ref="C45">_xll.FDS(B45,"FG_COMPANY_NAME")</f>
        <v>GlobalFoundries Inc.</v>
      </c>
      <c r="D45" s="63">
        <f t="array" ref="D45">_xll.FDS(B45,"FG_PRICE(0,,,USD)")</f>
        <v>46.06</v>
      </c>
      <c r="E45" s="31">
        <f t="array" ref="E45">_xll.FDS(B45,"FCS_SHARES(TOT,SHS,ANN,0,,,,,M)")</f>
        <v>560.26298599999996</v>
      </c>
      <c r="F45" s="31">
        <f t="shared" si="23"/>
        <v>25805.71313516</v>
      </c>
      <c r="G45" s="31">
        <f t="shared" si="24"/>
        <v>25191.71313516</v>
      </c>
      <c r="H45" s="9">
        <f t="array" ref="H45">_xll.FDS(B45,"FF_CASH_ST(QTR_R,0)")</f>
        <v>3367</v>
      </c>
      <c r="I45" s="9">
        <f t="array" ref="I45">_xll.FDS(B45,"FF_DEBT(QTR_R,0)")</f>
        <v>2753</v>
      </c>
      <c r="K45" s="31">
        <f t="array" ref="K45">_xll.FDS(B45,"FF_SALES(ANN_R,-2AY,,,,USD)")</f>
        <v>6585.0789999999997</v>
      </c>
      <c r="L45" s="31">
        <f t="array" ref="L45">_xll.FDS(B45,"FF_SALES(ANN_R,-1AY,,,,USD)")</f>
        <v>8108</v>
      </c>
      <c r="M45" s="31">
        <f t="array" ref="M45">_xll.FDS(B45,"FF_SALES(ANN_R,0Y,,,,USD)")</f>
        <v>7392</v>
      </c>
      <c r="N45" s="31">
        <f t="array" ref="N45">_xll.FDS(B45,"FF_EBITDA_OPER(ANN_R,-1AY,,,,USD)")</f>
        <v>2884</v>
      </c>
      <c r="O45" s="31">
        <f t="array" ref="O45">_xll.FDS(B45,"FF_EBITDA_OPER(ANN_R,0Y,,,,USD)")</f>
        <v>2651</v>
      </c>
      <c r="P45" s="31">
        <f t="array" ref="P45">_xll.FDS(B45,"FF_NET_INC(ANN_R,-1AY,,,,USD)")</f>
        <v>1448</v>
      </c>
      <c r="Q45" s="31">
        <f t="array" ref="Q45">_xll.FDS(B45,"FF_NET_INC(ANN_R,0Y,,,,USD)")</f>
        <v>1020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5.75" customHeight="1" x14ac:dyDescent="0.25">
      <c r="B46" s="28" t="s">
        <v>240</v>
      </c>
      <c r="C46" s="62" t="str">
        <f>_xll.FDS(B46,"FG_COMPANY_NAME")</f>
        <v>Taiwan Semiconductor Manufacturing Co., Ltd. Sponsored ADR</v>
      </c>
      <c r="D46" s="63">
        <f>_xll.FDS(B46,"FG_PRICE(0,,,USD)")</f>
        <v>171.44</v>
      </c>
      <c r="E46" s="31">
        <f>_xll.FDS(B46,"FCS_SHARES(TOT,SHS,ANN,0,,,,,M)")</f>
        <v>25934.180992000001</v>
      </c>
      <c r="F46" s="31">
        <f>D46*E46</f>
        <v>4446155.9892684799</v>
      </c>
      <c r="G46" s="31">
        <f>F46+I46-H46</f>
        <v>4414699.2934621796</v>
      </c>
      <c r="H46" s="9">
        <f>_xll.FDS(B46,"FF_CASH_ST(QTR_R,0)")</f>
        <v>63152.575004244201</v>
      </c>
      <c r="I46" s="9">
        <f>_xll.FDS(B46,"FF_DEBT(QTR_R,0)")</f>
        <v>31695.879197943799</v>
      </c>
      <c r="K46" s="31">
        <f>_xll.FDS(B46,"FF_SALES(ANN_R,-2AY,,,,USD)")</f>
        <v>56831.680421361998</v>
      </c>
      <c r="L46" s="31">
        <f>_xll.FDS(B46,"FF_SALES(ANN_R,-1AY,,,,USD)")</f>
        <v>75936.463750142604</v>
      </c>
      <c r="M46" s="31">
        <f>_xll.FDS(B46,"FF_SALES(ANN_R,0Y,,,,USD)")</f>
        <v>69350.225288014102</v>
      </c>
      <c r="N46" s="31">
        <f>_xll.FDS(B46,"FF_EBITDA_OPER(ANN_R,-1AY,,,,USD)")</f>
        <v>52289.07821</v>
      </c>
      <c r="O46" s="31">
        <f>_xll.FDS(B46,"FF_EBITDA_OPER(ANN_R,0Y,,,,USD)")</f>
        <v>46628.177470000002</v>
      </c>
      <c r="P46" s="31">
        <f>_xll.FDS(B46,"FF_NET_INC(ANN_R,-1AY,,,,USD)")</f>
        <v>34096.916524608401</v>
      </c>
      <c r="Q46" s="31">
        <f>_xll.FDS(B46,"FF_NET_INC(ANN_R,0Y,,,,USD)")</f>
        <v>26899.679784637301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x14ac:dyDescent="0.25">
      <c r="B47" s="28" t="s">
        <v>232</v>
      </c>
      <c r="C47" s="267" t="str">
        <f>_xll.FDS(B47,"FG_COMPANY_NAME")</f>
        <v>Cisco Systems, Inc.</v>
      </c>
      <c r="D47" s="63">
        <f>_xll.FDS(B47,"FG_PRICE(0,,,USD)")</f>
        <v>50.45</v>
      </c>
      <c r="E47" s="31">
        <v>4066</v>
      </c>
      <c r="F47" s="31">
        <f>D47*E47</f>
        <v>205129.7</v>
      </c>
      <c r="G47" s="31">
        <f t="shared" si="24"/>
        <v>218237.7</v>
      </c>
      <c r="H47" s="9">
        <f>_xll.FDS(B47,"FF_CASH_ST(QTR_R,0)")</f>
        <v>17854</v>
      </c>
      <c r="I47" s="9">
        <f>_xll.FDS(B47,"FF_DEBT(QTR_R,0)")</f>
        <v>30962</v>
      </c>
      <c r="K47" s="31">
        <f>_xll.FDS(B47,"FF_SALES(ANN_R,-2AY,,,,USD)")</f>
        <v>51557</v>
      </c>
      <c r="L47" s="31">
        <f>_xll.FDS(B47,"FF_SALES(ANN_R,-1AY,,,,USD)")</f>
        <v>56998</v>
      </c>
      <c r="M47" s="31">
        <f>_xll.FDS(B47,"FF_SALES(ANN_R,0Y,,,,USD)")</f>
        <v>53803</v>
      </c>
      <c r="N47" s="31">
        <f>_xll.FDS(B47,"FF_EBITDA_OPER(ANN_R,-1AY,,,,USD)")</f>
        <v>17256</v>
      </c>
      <c r="O47" s="31">
        <f>_xll.FDS(B47,"FF_EBITDA_OPER(ANN_R,0Y,,,,USD)")</f>
        <v>15477</v>
      </c>
      <c r="P47" s="31">
        <f>_xll.FDS(B47,"FF_NET_INC(ANN_R,-1AY,,,,USD)")</f>
        <v>12613</v>
      </c>
      <c r="Q47" s="31">
        <f>_xll.FDS(B47,"FF_NET_INC(ANN_R,0Y,,,,USD)")</f>
        <v>10320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x14ac:dyDescent="0.25">
      <c r="B48" s="28" t="s">
        <v>235</v>
      </c>
      <c r="C48" s="267" t="str">
        <f t="array" ref="C48">_xll.FDS(B48,"FG_COMPANY_NAME")</f>
        <v>International Business Machines Corporation</v>
      </c>
      <c r="D48" s="63">
        <f t="array" ref="D48">_xll.FDS(B48,"FG_PRICE(0,,,USD)")</f>
        <v>197.21</v>
      </c>
      <c r="E48" s="31" cm="1">
        <f t="array" ref="E48">_xll.FDS(B48,"FCS_SHARES(TOT,SHS,ANN,0,,,,,M)")</f>
        <v>943.56626400000005</v>
      </c>
      <c r="F48" s="31">
        <f t="shared" si="23"/>
        <v>186080.70292344003</v>
      </c>
      <c r="G48" s="31">
        <f>F48+I48-H48</f>
        <v>229960.70292344003</v>
      </c>
      <c r="H48" s="9">
        <f t="array" ref="H48">_xll.FDS(B48,"FF_CASH_ST(QTR_R,0)")</f>
        <v>15959</v>
      </c>
      <c r="I48" s="9">
        <f t="array" ref="I48">_xll.FDS(B48,"FF_DEBT(QTR_R,0)")</f>
        <v>59839</v>
      </c>
      <c r="K48" s="31">
        <f t="array" ref="K48">_xll.FDS(B48,"FF_SALES(ANN_R,-2AY,,,,USD)")</f>
        <v>57351</v>
      </c>
      <c r="L48" s="31">
        <f t="array" ref="L48">_xll.FDS(B48,"FF_SALES(ANN_R,-1AY,,,,USD)")</f>
        <v>60530</v>
      </c>
      <c r="M48" s="31">
        <f t="array" ref="M48">_xll.FDS(B48,"FF_SALES(ANN_R,0Y,,,,USD)")</f>
        <v>61860</v>
      </c>
      <c r="N48" s="31">
        <f t="array" ref="N48">_xll.FDS(B48,"FF_EBITDA_OPER(ANN_R,-1AY,,,,USD)")</f>
        <v>12569</v>
      </c>
      <c r="O48" s="31">
        <f t="array" ref="O48">_xll.FDS(B48,"FF_EBITDA_OPER(ANN_R,0Y,,,,USD)")</f>
        <v>14899</v>
      </c>
      <c r="P48" s="31">
        <f t="array" ref="P48">_xll.FDS(B48,"FF_NET_INC(ANN_R,-1AY,,,,USD)")</f>
        <v>1783</v>
      </c>
      <c r="Q48" s="31">
        <f t="array" ref="Q48">_xll.FDS(B48,"FF_NET_INC(ANN_R,0Y,,,,USD)")</f>
        <v>7514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2:29" x14ac:dyDescent="0.25">
      <c r="B49" s="28" t="s">
        <v>234</v>
      </c>
      <c r="C49" s="267" t="str">
        <f t="array" ref="C49">_xll.FDS(B49,"FG_COMPANY_NAME")</f>
        <v>CrowdStrike Holdings, Inc. Class A</v>
      </c>
      <c r="D49" s="63">
        <f t="array" ref="D49">_xll.FDS(B49,"FG_PRICE(0,,,USD)")</f>
        <v>273.20999999999998</v>
      </c>
      <c r="E49" s="31">
        <f t="array" ref="E49">_xll.FDS(B49,"FCS_SHARES(TOT,SHS,ANN,0,,,,,M)")</f>
        <v>254.530812</v>
      </c>
      <c r="F49" s="31">
        <f t="shared" si="23"/>
        <v>69540.363146519987</v>
      </c>
      <c r="G49" s="31">
        <f t="shared" ref="G49" si="25">F49+I49-H49</f>
        <v>66630.902146519977</v>
      </c>
      <c r="H49" s="9">
        <f t="array" ref="H49">_xll.FDS(B49,"FF_CASH_ST(QTR_R,0)")</f>
        <v>3702.4369999999999</v>
      </c>
      <c r="I49" s="9">
        <f t="array" ref="I49">_xll.FDS(B49,"FF_DEBT(QTR_R,0)")</f>
        <v>792.976</v>
      </c>
      <c r="K49" s="31">
        <f t="array" ref="K49">_xll.FDS(B49,"FF_SALES(ANN_R,-2AY,,,,USD)")</f>
        <v>1451.5940000000001</v>
      </c>
      <c r="L49" s="31">
        <f t="array" ref="L49">_xll.FDS(B49,"FF_SALES(ANN_R,-1AY,,,,USD)")</f>
        <v>2241.2359999999999</v>
      </c>
      <c r="M49" s="31">
        <f t="array" ref="M49">_xll.FDS(B49,"FF_SALES(ANN_R,0Y,,,,USD)")</f>
        <v>3055.5549999999998</v>
      </c>
      <c r="N49" s="31">
        <f t="array" ref="N49">_xll.FDS(B49,"FF_EBITDA_OPER(ANN_R,-1AY,,,,USD)")</f>
        <v>-93.638000000000005</v>
      </c>
      <c r="O49" s="31">
        <f t="array" ref="O49">_xll.FDS(B49,"FF_EBITDA_OPER(ANN_R,0Y,,,,USD)")</f>
        <v>155.43799999999999</v>
      </c>
      <c r="P49" s="31">
        <f t="array" ref="P49">_xll.FDS(B49,"FF_NET_INC(ANN_R,-1AY,,,,USD)")</f>
        <v>-183.245</v>
      </c>
      <c r="Q49" s="31">
        <f t="array" ref="Q49">_xll.FDS(B49,"FF_NET_INC(ANN_R,0Y,,,,USD)")</f>
        <v>89.326999999999998</v>
      </c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2:29" x14ac:dyDescent="0.25">
      <c r="B50" s="28"/>
      <c r="D50" s="63"/>
      <c r="E50" s="31"/>
      <c r="F50" s="31"/>
      <c r="G50" s="31"/>
      <c r="K50" s="31"/>
      <c r="L50" s="31"/>
      <c r="M50" s="31"/>
      <c r="N50" s="31"/>
      <c r="O50" s="31"/>
      <c r="P50" s="31"/>
      <c r="Q50" s="3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2:29" x14ac:dyDescent="0.25">
      <c r="B51" s="28"/>
      <c r="D51" s="63"/>
      <c r="E51" s="31"/>
      <c r="F51" s="31"/>
      <c r="G51" s="31"/>
      <c r="K51" s="31"/>
      <c r="L51" s="31"/>
      <c r="M51" s="31"/>
      <c r="N51" s="31"/>
      <c r="O51" s="31"/>
      <c r="P51" s="31"/>
      <c r="Q51" s="3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2:29" ht="18" x14ac:dyDescent="0.25">
      <c r="B52" s="28"/>
      <c r="D52" s="63"/>
      <c r="E52" s="15" t="s">
        <v>1</v>
      </c>
      <c r="F52" s="15"/>
      <c r="G52" s="15"/>
      <c r="H52" s="15" t="s">
        <v>9</v>
      </c>
      <c r="I52" s="15"/>
      <c r="J52" s="15" t="s">
        <v>10</v>
      </c>
      <c r="K52" s="15"/>
      <c r="L52" s="31"/>
      <c r="M52" s="31"/>
      <c r="N52" s="31"/>
      <c r="O52" s="31"/>
      <c r="P52" s="31"/>
      <c r="Q52" s="3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2:29" x14ac:dyDescent="0.25">
      <c r="B53" s="28"/>
      <c r="D53" s="63"/>
      <c r="E53" s="18" t="s">
        <v>23</v>
      </c>
      <c r="F53" s="18" t="s">
        <v>24</v>
      </c>
      <c r="G53" s="18" t="s">
        <v>25</v>
      </c>
      <c r="H53" s="18" t="s">
        <v>26</v>
      </c>
      <c r="I53" s="18" t="s">
        <v>27</v>
      </c>
      <c r="J53" s="18" t="str">
        <f>H53</f>
        <v>'22</v>
      </c>
      <c r="K53" s="18" t="str">
        <f>I53</f>
        <v>'23</v>
      </c>
      <c r="L53" s="31"/>
      <c r="M53" s="31"/>
      <c r="N53" s="31"/>
      <c r="O53" s="31"/>
      <c r="P53" s="31"/>
      <c r="Q53" s="3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2:29" x14ac:dyDescent="0.25">
      <c r="B54" s="28"/>
      <c r="D54" s="63" t="str">
        <f>B39</f>
        <v>AVGO-US</v>
      </c>
      <c r="E54" s="65">
        <f>K39</f>
        <v>27450</v>
      </c>
      <c r="F54" s="65">
        <f t="shared" ref="F54:K54" si="26">L39</f>
        <v>33203</v>
      </c>
      <c r="G54" s="65">
        <f t="shared" si="26"/>
        <v>35819</v>
      </c>
      <c r="H54" s="65">
        <f t="shared" si="26"/>
        <v>19271</v>
      </c>
      <c r="I54" s="65">
        <f t="shared" si="26"/>
        <v>20290</v>
      </c>
      <c r="J54" s="65">
        <f t="shared" si="26"/>
        <v>11495</v>
      </c>
      <c r="K54" s="65">
        <f t="shared" si="26"/>
        <v>14082</v>
      </c>
      <c r="L54" s="31"/>
      <c r="M54" s="31"/>
      <c r="N54" s="31"/>
      <c r="O54" s="31"/>
      <c r="P54" s="31"/>
      <c r="Q54" s="3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2:29" x14ac:dyDescent="0.25">
      <c r="B55" s="28"/>
      <c r="D55" s="63" t="str">
        <f t="shared" ref="D55:D64" si="27">B40</f>
        <v>AMD-US</v>
      </c>
      <c r="E55" s="65">
        <f t="shared" ref="E55:E64" si="28">K40</f>
        <v>16434</v>
      </c>
      <c r="F55" s="65">
        <f t="shared" ref="F55:F64" si="29">L40</f>
        <v>23601</v>
      </c>
      <c r="G55" s="65">
        <f t="shared" ref="G55:G61" si="30">M40</f>
        <v>22680</v>
      </c>
      <c r="H55" s="65">
        <f t="shared" ref="H55:H64" si="31">N40</f>
        <v>5876</v>
      </c>
      <c r="I55" s="65">
        <f t="shared" ref="I55:I64" si="32">O40</f>
        <v>4176</v>
      </c>
      <c r="J55" s="65">
        <f t="shared" ref="J55:J64" si="33">P40</f>
        <v>1320</v>
      </c>
      <c r="K55" s="65">
        <f t="shared" ref="K55:K64" si="34">Q40</f>
        <v>854</v>
      </c>
      <c r="L55" s="31"/>
      <c r="M55" s="31"/>
      <c r="N55" s="31"/>
      <c r="O55" s="31"/>
      <c r="P55" s="31"/>
      <c r="Q55" s="3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2:29" x14ac:dyDescent="0.25">
      <c r="B56" s="28"/>
      <c r="D56" s="63" t="str">
        <f t="shared" si="27"/>
        <v>INTC-US</v>
      </c>
      <c r="E56" s="65">
        <f t="shared" si="28"/>
        <v>79024</v>
      </c>
      <c r="F56" s="65">
        <f t="shared" si="29"/>
        <v>63054</v>
      </c>
      <c r="G56" s="65">
        <f t="shared" si="30"/>
        <v>54228</v>
      </c>
      <c r="H56" s="65">
        <f t="shared" si="31"/>
        <v>15371</v>
      </c>
      <c r="I56" s="65">
        <f t="shared" si="32"/>
        <v>9633</v>
      </c>
      <c r="J56" s="65">
        <f t="shared" si="33"/>
        <v>8014</v>
      </c>
      <c r="K56" s="65">
        <f t="shared" si="34"/>
        <v>1689</v>
      </c>
      <c r="L56" s="31"/>
      <c r="M56" s="31"/>
      <c r="N56" s="31"/>
      <c r="O56" s="31"/>
      <c r="P56" s="31"/>
      <c r="Q56" s="3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2:29" x14ac:dyDescent="0.25">
      <c r="B57" s="28"/>
      <c r="D57" s="63" t="str">
        <f t="shared" si="27"/>
        <v>NVDA-US</v>
      </c>
      <c r="E57" s="65">
        <f t="shared" si="28"/>
        <v>26914</v>
      </c>
      <c r="F57" s="65">
        <f t="shared" si="29"/>
        <v>26974</v>
      </c>
      <c r="G57" s="65">
        <f t="shared" si="30"/>
        <v>60922</v>
      </c>
      <c r="H57" s="65">
        <f t="shared" si="31"/>
        <v>7121</v>
      </c>
      <c r="I57" s="65">
        <f t="shared" si="32"/>
        <v>34480</v>
      </c>
      <c r="J57" s="65">
        <f t="shared" si="33"/>
        <v>4368</v>
      </c>
      <c r="K57" s="65">
        <f t="shared" si="34"/>
        <v>29760</v>
      </c>
      <c r="L57" s="31"/>
      <c r="M57" s="31"/>
      <c r="N57" s="31"/>
      <c r="O57" s="31"/>
      <c r="P57" s="31"/>
      <c r="Q57" s="3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2:29" x14ac:dyDescent="0.25">
      <c r="B58" s="28"/>
      <c r="D58" s="63" t="str">
        <f t="shared" si="27"/>
        <v>MRVL-US</v>
      </c>
      <c r="E58" s="65">
        <f t="shared" si="28"/>
        <v>4462.3829999999998</v>
      </c>
      <c r="F58" s="65">
        <f t="shared" si="29"/>
        <v>5919.6</v>
      </c>
      <c r="G58" s="65">
        <f t="shared" si="30"/>
        <v>5507.7</v>
      </c>
      <c r="H58" s="65">
        <f t="shared" si="31"/>
        <v>1751.9</v>
      </c>
      <c r="I58" s="65">
        <f t="shared" si="32"/>
        <v>961.1</v>
      </c>
      <c r="J58" s="65">
        <f t="shared" si="33"/>
        <v>-163.5</v>
      </c>
      <c r="K58" s="65">
        <f t="shared" si="34"/>
        <v>-933.4</v>
      </c>
      <c r="L58" s="31"/>
      <c r="M58" s="31"/>
      <c r="N58" s="31"/>
      <c r="O58" s="31"/>
      <c r="P58" s="31"/>
      <c r="Q58" s="3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2:29" x14ac:dyDescent="0.25">
      <c r="B59" s="28"/>
      <c r="D59" s="63" t="str">
        <f t="shared" si="27"/>
        <v>ADI-US</v>
      </c>
      <c r="E59" s="65">
        <f t="shared" si="28"/>
        <v>7318.2860000000001</v>
      </c>
      <c r="F59" s="65">
        <f t="shared" si="29"/>
        <v>12013.953</v>
      </c>
      <c r="G59" s="65">
        <f t="shared" si="30"/>
        <v>12305.539000000001</v>
      </c>
      <c r="H59" s="65">
        <f t="shared" si="31"/>
        <v>5826.1049999999996</v>
      </c>
      <c r="I59" s="65">
        <f t="shared" si="32"/>
        <v>6274.9380000000001</v>
      </c>
      <c r="J59" s="65">
        <f t="shared" si="33"/>
        <v>2748.5610000000001</v>
      </c>
      <c r="K59" s="65">
        <f t="shared" si="34"/>
        <v>3314.5790000000002</v>
      </c>
      <c r="L59" s="31"/>
      <c r="M59" s="31"/>
      <c r="N59" s="31"/>
      <c r="O59" s="31"/>
      <c r="P59" s="31"/>
      <c r="Q59" s="3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2:29" x14ac:dyDescent="0.25">
      <c r="B60" s="28"/>
      <c r="D60" s="63" t="str">
        <f t="shared" si="27"/>
        <v>GFS-US</v>
      </c>
      <c r="E60" s="65">
        <f t="shared" si="28"/>
        <v>6585.0789999999997</v>
      </c>
      <c r="F60" s="65">
        <f t="shared" si="29"/>
        <v>8108</v>
      </c>
      <c r="G60" s="65">
        <f t="shared" si="30"/>
        <v>7392</v>
      </c>
      <c r="H60" s="65">
        <f t="shared" si="31"/>
        <v>2884</v>
      </c>
      <c r="I60" s="65">
        <f t="shared" si="32"/>
        <v>2651</v>
      </c>
      <c r="J60" s="65">
        <f t="shared" si="33"/>
        <v>1448</v>
      </c>
      <c r="K60" s="65">
        <f t="shared" si="34"/>
        <v>1020</v>
      </c>
      <c r="L60" s="31"/>
      <c r="M60" s="31"/>
      <c r="N60" s="31"/>
      <c r="O60" s="31"/>
      <c r="P60" s="34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2:29" x14ac:dyDescent="0.25">
      <c r="B61" s="28"/>
      <c r="D61" s="63" t="str">
        <f t="shared" si="27"/>
        <v>TSM-US</v>
      </c>
      <c r="E61" s="65">
        <f t="shared" si="28"/>
        <v>56831.680421361998</v>
      </c>
      <c r="F61" s="65">
        <f t="shared" si="29"/>
        <v>75936.463750142604</v>
      </c>
      <c r="G61" s="65">
        <f t="shared" si="30"/>
        <v>69350.225288014102</v>
      </c>
      <c r="H61" s="65">
        <f t="shared" si="31"/>
        <v>52289.07821</v>
      </c>
      <c r="I61" s="65">
        <f t="shared" si="32"/>
        <v>46628.177470000002</v>
      </c>
      <c r="J61" s="65">
        <f t="shared" si="33"/>
        <v>34096.916524608401</v>
      </c>
      <c r="K61" s="65">
        <f t="shared" si="34"/>
        <v>26899.679784637301</v>
      </c>
      <c r="L61" s="31"/>
      <c r="M61" s="31"/>
      <c r="N61" s="31"/>
      <c r="O61" s="31"/>
      <c r="P61" s="34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2:29" x14ac:dyDescent="0.25">
      <c r="B62" s="28"/>
      <c r="D62" s="63" t="str">
        <f t="shared" si="27"/>
        <v>CSCO-US</v>
      </c>
      <c r="E62" s="65">
        <f t="shared" si="28"/>
        <v>51557</v>
      </c>
      <c r="F62" s="65">
        <f t="shared" si="29"/>
        <v>56998</v>
      </c>
      <c r="G62" s="65"/>
      <c r="H62" s="65">
        <f t="shared" si="31"/>
        <v>17256</v>
      </c>
      <c r="I62" s="65">
        <f t="shared" si="32"/>
        <v>15477</v>
      </c>
      <c r="J62" s="65">
        <f t="shared" si="33"/>
        <v>12613</v>
      </c>
      <c r="K62" s="65">
        <f t="shared" si="34"/>
        <v>10320</v>
      </c>
      <c r="L62" s="31"/>
      <c r="M62" s="31"/>
      <c r="N62" s="31"/>
      <c r="O62" s="31"/>
      <c r="P62" s="34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2:29" x14ac:dyDescent="0.25">
      <c r="B63" s="28"/>
      <c r="D63" s="63" t="str">
        <f t="shared" si="27"/>
        <v>IBM-US</v>
      </c>
      <c r="E63" s="65">
        <f t="shared" si="28"/>
        <v>57351</v>
      </c>
      <c r="F63" s="65">
        <f t="shared" si="29"/>
        <v>60530</v>
      </c>
      <c r="G63" s="65"/>
      <c r="H63" s="65">
        <f t="shared" si="31"/>
        <v>12569</v>
      </c>
      <c r="I63" s="65">
        <f t="shared" si="32"/>
        <v>14899</v>
      </c>
      <c r="J63" s="65">
        <f t="shared" si="33"/>
        <v>1783</v>
      </c>
      <c r="K63" s="65">
        <f t="shared" si="34"/>
        <v>7514</v>
      </c>
      <c r="L63" s="31"/>
      <c r="M63" s="31"/>
      <c r="N63" s="31"/>
      <c r="O63" s="31"/>
      <c r="P63" s="34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2:29" x14ac:dyDescent="0.25">
      <c r="B64" s="28"/>
      <c r="D64" s="63" t="str">
        <f t="shared" si="27"/>
        <v>CRWD-US</v>
      </c>
      <c r="E64" s="65">
        <f t="shared" si="28"/>
        <v>1451.5940000000001</v>
      </c>
      <c r="F64" s="65">
        <f t="shared" si="29"/>
        <v>2241.2359999999999</v>
      </c>
      <c r="G64" s="65"/>
      <c r="H64" s="65">
        <f t="shared" si="31"/>
        <v>-93.638000000000005</v>
      </c>
      <c r="I64" s="65">
        <f t="shared" si="32"/>
        <v>155.43799999999999</v>
      </c>
      <c r="J64" s="65">
        <f t="shared" si="33"/>
        <v>-183.245</v>
      </c>
      <c r="K64" s="65">
        <f t="shared" si="34"/>
        <v>89.326999999999998</v>
      </c>
      <c r="L64" s="31"/>
      <c r="M64" s="31"/>
      <c r="N64" s="31"/>
      <c r="O64" s="31"/>
      <c r="P64" s="34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2:29" x14ac:dyDescent="0.25">
      <c r="B65" s="28"/>
      <c r="D65" s="63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4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2:29" x14ac:dyDescent="0.25">
      <c r="B66" s="28"/>
      <c r="D66" s="66" t="s">
        <v>0</v>
      </c>
      <c r="E66" s="31">
        <f t="shared" ref="E66:K66" si="35">SUM(E54:E62)</f>
        <v>276576.42842136195</v>
      </c>
      <c r="F66" s="31">
        <f t="shared" si="35"/>
        <v>305808.01675014262</v>
      </c>
      <c r="G66" s="31">
        <f t="shared" si="35"/>
        <v>268204.4642880141</v>
      </c>
      <c r="H66" s="31">
        <f t="shared" si="35"/>
        <v>127646.08321000001</v>
      </c>
      <c r="I66" s="31">
        <f t="shared" si="35"/>
        <v>140571.21547</v>
      </c>
      <c r="J66" s="31">
        <f t="shared" si="35"/>
        <v>75939.977524608403</v>
      </c>
      <c r="K66" s="31">
        <f t="shared" si="35"/>
        <v>87005.858784637298</v>
      </c>
      <c r="L66" s="31"/>
      <c r="M66" s="31"/>
      <c r="N66" s="31"/>
      <c r="O66" s="31"/>
      <c r="P66" s="32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2:29" x14ac:dyDescent="0.25">
      <c r="B67" s="28"/>
      <c r="L67" s="31"/>
      <c r="M67" s="31"/>
      <c r="N67" s="31"/>
      <c r="O67" s="31"/>
      <c r="P67" s="34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2:29" x14ac:dyDescent="0.25">
      <c r="B68" s="28"/>
      <c r="D68" s="6" t="s">
        <v>47</v>
      </c>
      <c r="E68" s="67">
        <f t="shared" ref="E68:K68" si="36">E54/E66</f>
        <v>9.9249238833108891E-2</v>
      </c>
      <c r="F68" s="67">
        <f t="shared" si="36"/>
        <v>0.10857465527834144</v>
      </c>
      <c r="G68" s="67">
        <f t="shared" si="36"/>
        <v>0.13355109541180268</v>
      </c>
      <c r="H68" s="67">
        <f t="shared" si="36"/>
        <v>0.15097212163020979</v>
      </c>
      <c r="I68" s="67">
        <f t="shared" si="36"/>
        <v>0.14433964970823057</v>
      </c>
      <c r="J68" s="67">
        <f t="shared" si="36"/>
        <v>0.1513695470383177</v>
      </c>
      <c r="K68" s="67">
        <f t="shared" si="36"/>
        <v>0.1618511695270626</v>
      </c>
      <c r="L68" s="31"/>
      <c r="M68" s="31"/>
      <c r="N68" s="31"/>
      <c r="O68" s="31"/>
      <c r="P68" s="34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2:29" x14ac:dyDescent="0.25">
      <c r="B69" s="28"/>
      <c r="D69" s="6"/>
      <c r="E69" s="49" t="s">
        <v>44</v>
      </c>
      <c r="F69" s="67">
        <f>F68-E68</f>
        <v>9.3254164452325483E-3</v>
      </c>
      <c r="G69" s="67">
        <f>G68-F68</f>
        <v>2.4976440133461245E-2</v>
      </c>
      <c r="I69" s="68"/>
      <c r="J69" s="68"/>
      <c r="K69" s="68"/>
      <c r="L69" s="31"/>
      <c r="M69" s="31"/>
      <c r="N69" s="31"/>
      <c r="O69" s="31"/>
      <c r="P69" s="34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2:29" x14ac:dyDescent="0.25">
      <c r="B70" s="28"/>
      <c r="D70" s="6"/>
      <c r="E70" s="31"/>
      <c r="F70" s="31"/>
      <c r="G70" s="31"/>
      <c r="I70" s="68"/>
      <c r="J70" s="68"/>
      <c r="K70" s="68"/>
      <c r="L70" s="31"/>
      <c r="M70" s="31"/>
      <c r="N70" s="31"/>
      <c r="O70" s="31"/>
      <c r="P70" s="34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2:29" x14ac:dyDescent="0.25">
      <c r="B71" s="28"/>
      <c r="O71" s="31"/>
      <c r="P71" s="34"/>
      <c r="Q71" s="21"/>
      <c r="R71" s="21"/>
      <c r="S71" s="21"/>
      <c r="T71" s="21"/>
      <c r="U71" s="21"/>
      <c r="V71" s="21"/>
      <c r="W71" s="21"/>
      <c r="X71" s="21"/>
      <c r="Y71" s="21"/>
      <c r="Z71" s="64"/>
      <c r="AA71" s="21"/>
      <c r="AB71" s="21"/>
      <c r="AC71" s="21"/>
    </row>
    <row r="72" spans="2:29" x14ac:dyDescent="0.25">
      <c r="B72" s="28"/>
      <c r="O72" s="31"/>
      <c r="P72" s="34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2:29" x14ac:dyDescent="0.25">
      <c r="B73" s="28"/>
      <c r="E73" s="3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 spans="2:29" x14ac:dyDescent="0.25">
      <c r="B74" s="28"/>
      <c r="D74" s="6"/>
      <c r="E74" s="34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 spans="2:29" x14ac:dyDescent="0.25">
      <c r="B75" s="28"/>
      <c r="D75" s="6"/>
      <c r="E75" s="34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 spans="2:29" x14ac:dyDescent="0.25">
      <c r="B76" s="28"/>
      <c r="D76" s="6"/>
      <c r="E76" s="31"/>
      <c r="F76" s="31"/>
      <c r="G76" s="69"/>
      <c r="I76" s="31"/>
      <c r="J76" s="31"/>
      <c r="K76" s="31"/>
      <c r="L76" s="31"/>
      <c r="M76" s="31"/>
      <c r="N76" s="31"/>
      <c r="O76" s="31"/>
      <c r="P76" s="34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2:29" x14ac:dyDescent="0.25">
      <c r="B77" s="28"/>
      <c r="I77" s="70"/>
      <c r="L77" s="31"/>
      <c r="M77" s="31"/>
      <c r="N77" s="31"/>
      <c r="O77" s="31"/>
      <c r="P77" s="34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2:29" x14ac:dyDescent="0.25">
      <c r="B78" s="28"/>
      <c r="I78" s="70"/>
      <c r="L78" s="31"/>
      <c r="M78" s="31"/>
      <c r="N78" s="31"/>
      <c r="O78" s="31"/>
      <c r="P78" s="34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2:29" x14ac:dyDescent="0.25">
      <c r="B79" s="28"/>
      <c r="I79" s="31"/>
      <c r="O79" s="31"/>
      <c r="P79" s="34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2:29" x14ac:dyDescent="0.25">
      <c r="B80" s="28"/>
      <c r="I80" s="31"/>
      <c r="O80" s="31"/>
      <c r="P80" s="34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2:29" x14ac:dyDescent="0.25">
      <c r="B81" s="28"/>
      <c r="O81" s="31"/>
      <c r="P8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2:29" x14ac:dyDescent="0.25">
      <c r="B82" s="28"/>
      <c r="O82" s="34"/>
      <c r="P82" s="34"/>
      <c r="Q82" s="34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2:29" x14ac:dyDescent="0.25">
      <c r="B83" s="28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2:29" x14ac:dyDescent="0.25">
      <c r="B84" s="28"/>
      <c r="E84" s="71"/>
      <c r="F84" s="71"/>
      <c r="G84" s="71"/>
      <c r="H84" s="7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2:29" ht="15.75" customHeight="1" x14ac:dyDescent="0.25">
      <c r="B85" s="28"/>
      <c r="E85" s="71"/>
      <c r="F85" s="71"/>
      <c r="G85" s="71"/>
      <c r="H85" s="7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2:29" ht="15.75" customHeight="1" x14ac:dyDescent="0.25">
      <c r="B86" s="28"/>
      <c r="E86" s="71"/>
      <c r="F86" s="71"/>
      <c r="G86" s="71"/>
      <c r="H86" s="71"/>
      <c r="R86" s="34"/>
      <c r="S86" s="34"/>
      <c r="T86" s="34"/>
      <c r="U86" s="34"/>
      <c r="V86" s="34"/>
      <c r="W86" s="34"/>
      <c r="X86" s="33"/>
      <c r="Y86" s="33"/>
      <c r="Z86" s="33"/>
      <c r="AA86" s="33"/>
      <c r="AB86" s="33"/>
      <c r="AC86" s="33"/>
    </row>
    <row r="87" spans="2:29" x14ac:dyDescent="0.25">
      <c r="E87" s="71"/>
      <c r="F87" s="71"/>
      <c r="G87" s="71"/>
      <c r="H87" s="71"/>
    </row>
    <row r="88" spans="2:29" x14ac:dyDescent="0.25">
      <c r="E88" s="71"/>
      <c r="F88" s="71"/>
      <c r="G88" s="71"/>
      <c r="H88" s="71"/>
    </row>
    <row r="89" spans="2:29" x14ac:dyDescent="0.25">
      <c r="E89" s="71"/>
      <c r="F89" s="71"/>
      <c r="G89" s="71"/>
      <c r="H89" s="71"/>
    </row>
    <row r="90" spans="2:29" x14ac:dyDescent="0.25">
      <c r="E90" s="71"/>
      <c r="F90" s="71"/>
      <c r="G90" s="71"/>
      <c r="H90" s="71"/>
    </row>
    <row r="91" spans="2:29" x14ac:dyDescent="0.25">
      <c r="E91" s="71"/>
      <c r="F91" s="71"/>
      <c r="G91" s="71"/>
      <c r="H91" s="71"/>
    </row>
    <row r="92" spans="2:29" x14ac:dyDescent="0.25">
      <c r="E92" s="71"/>
      <c r="F92" s="71"/>
      <c r="G92" s="71"/>
      <c r="H92" s="71"/>
    </row>
    <row r="97" spans="4:13" x14ac:dyDescent="0.25">
      <c r="I97" s="71"/>
      <c r="J97" s="71"/>
      <c r="K97" s="71"/>
      <c r="L97" s="71"/>
      <c r="M97" s="72"/>
    </row>
    <row r="98" spans="4:13" x14ac:dyDescent="0.25">
      <c r="I98" s="71"/>
      <c r="J98" s="71"/>
      <c r="K98" s="71"/>
      <c r="L98" s="71"/>
      <c r="M98" s="72"/>
    </row>
    <row r="99" spans="4:13" x14ac:dyDescent="0.25">
      <c r="I99" s="71"/>
      <c r="J99" s="71"/>
      <c r="K99" s="71"/>
      <c r="L99" s="71"/>
      <c r="M99" s="72"/>
    </row>
    <row r="100" spans="4:13" x14ac:dyDescent="0.25">
      <c r="I100" s="71"/>
      <c r="J100" s="71"/>
      <c r="K100" s="71"/>
      <c r="L100" s="71"/>
      <c r="M100" s="72"/>
    </row>
    <row r="101" spans="4:13" x14ac:dyDescent="0.25">
      <c r="I101" s="71"/>
      <c r="J101" s="71"/>
      <c r="K101" s="71"/>
      <c r="L101" s="71"/>
      <c r="M101" s="72"/>
    </row>
    <row r="102" spans="4:13" x14ac:dyDescent="0.25">
      <c r="I102" s="71"/>
      <c r="J102" s="71"/>
      <c r="K102" s="71"/>
      <c r="L102" s="71"/>
      <c r="M102" s="72"/>
    </row>
    <row r="103" spans="4:13" x14ac:dyDescent="0.25">
      <c r="I103" s="71"/>
      <c r="J103" s="71"/>
      <c r="K103" s="71"/>
      <c r="L103" s="71"/>
      <c r="M103" s="72"/>
    </row>
    <row r="104" spans="4:13" x14ac:dyDescent="0.25">
      <c r="I104" s="71"/>
      <c r="J104" s="71"/>
      <c r="K104" s="71"/>
      <c r="L104" s="71"/>
    </row>
    <row r="105" spans="4:13" x14ac:dyDescent="0.25">
      <c r="I105" s="71"/>
      <c r="J105" s="71"/>
      <c r="K105" s="71"/>
      <c r="L105" s="71"/>
    </row>
    <row r="110" spans="4:13" ht="15.75" customHeight="1" x14ac:dyDescent="0.25"/>
    <row r="111" spans="4:13" x14ac:dyDescent="0.25">
      <c r="D111" s="72"/>
    </row>
    <row r="112" spans="4:13" ht="15.75" customHeight="1" x14ac:dyDescent="0.25">
      <c r="D112" s="72"/>
    </row>
    <row r="113" spans="4:4" x14ac:dyDescent="0.25">
      <c r="D113" s="72"/>
    </row>
    <row r="114" spans="4:4" ht="18.75" customHeight="1" x14ac:dyDescent="0.25">
      <c r="D114" s="72"/>
    </row>
    <row r="115" spans="4:4" x14ac:dyDescent="0.25">
      <c r="D115" s="72"/>
    </row>
    <row r="116" spans="4:4" x14ac:dyDescent="0.25">
      <c r="D116" s="72"/>
    </row>
  </sheetData>
  <conditionalFormatting sqref="E73:E75 P67:P72 P76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3:F75 Q67:Q72 Q76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G75 R71:R72 R76:R80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3:H75 S71:S72 S76:S80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:I75 T71:T72 T76:T80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:P23 P13:P18 P20:P21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3:J75 U71:U72 U76:U80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K75 V71:V72 V76:V80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2:P82 P77:P80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:P21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0:P66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0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1:Q66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7:Q81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R21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R2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V21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V2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R4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9:R4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8:R57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:R68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9:R70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:R85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:V4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S44 S4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S4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6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:S57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:S59 S61:S70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:S70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1:S85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:T21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T2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9:T44 T4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9:T4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6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7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8:T57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:T59 T61:T70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:T70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0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1:T85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9:U4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9:U4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7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8:U57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8:U70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1:U8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9:V41 V43:V4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9:V41 V43:V4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7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8:V57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8:V70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1:V85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X18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0:X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9:X46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7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7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:X68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9:X70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1:X72 X76:X80 M73:M75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1:X85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1:AC18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0:AB2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Y18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18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0:Y2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9:Y46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7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7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8:Y70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1:Y72 Y76:Y80 N73:N75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1:Y85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1:Z1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3:Z18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0:Z2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9:Z46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7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7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8:Z70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6:Z80 Z72 O73:O75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81:Z85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A18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:AA2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:AA46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7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8:AA70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1:AA72 AA76:AA80 P73:P7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1:AA85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B12 AC1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B1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0:AB2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46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7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7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8:AB68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9:AB7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1:AB72 AB76:AB80 Q73:Q75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1:AB85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C18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0:AB2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12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3:AC1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9:AC46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7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7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8:AC68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9:AC70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1:AC72 AC76:AC80 R73:R7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81:AC85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:AB1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BB04-0F5B-4E9C-ABBA-5AD0ECE86F15}">
  <dimension ref="A1:O6"/>
  <sheetViews>
    <sheetView workbookViewId="0">
      <selection activeCell="F27" sqref="F27"/>
    </sheetView>
  </sheetViews>
  <sheetFormatPr defaultRowHeight="15" x14ac:dyDescent="0.25"/>
  <cols>
    <col min="1" max="1" width="26.42578125" bestFit="1" customWidth="1"/>
  </cols>
  <sheetData>
    <row r="1" spans="1:15" x14ac:dyDescent="0.25">
      <c r="A1" t="s">
        <v>224</v>
      </c>
      <c r="B1" s="102" t="s">
        <v>58</v>
      </c>
      <c r="C1" s="102" t="s">
        <v>59</v>
      </c>
      <c r="D1" s="102" t="s">
        <v>60</v>
      </c>
      <c r="E1" s="102" t="s">
        <v>61</v>
      </c>
      <c r="F1" s="102" t="s">
        <v>62</v>
      </c>
      <c r="G1" s="102" t="s">
        <v>63</v>
      </c>
      <c r="H1" s="102" t="s">
        <v>64</v>
      </c>
      <c r="I1" s="102" t="s">
        <v>65</v>
      </c>
      <c r="J1" s="102" t="s">
        <v>66</v>
      </c>
      <c r="K1" s="102" t="s">
        <v>67</v>
      </c>
      <c r="L1" s="102" t="s">
        <v>68</v>
      </c>
      <c r="M1" s="102" t="s">
        <v>69</v>
      </c>
      <c r="N1" s="102" t="s">
        <v>70</v>
      </c>
      <c r="O1" s="102" t="s">
        <v>71</v>
      </c>
    </row>
    <row r="2" spans="1:15" x14ac:dyDescent="0.25">
      <c r="A2" t="s">
        <v>226</v>
      </c>
      <c r="B2" s="184">
        <v>1420</v>
      </c>
      <c r="C2" s="184">
        <v>1530</v>
      </c>
      <c r="D2" s="184">
        <v>1800</v>
      </c>
      <c r="E2" s="184">
        <v>1900</v>
      </c>
      <c r="F2" s="184">
        <v>1900</v>
      </c>
      <c r="G2" s="184">
        <v>2200</v>
      </c>
      <c r="H2" s="184">
        <v>2300</v>
      </c>
      <c r="I2" s="184">
        <v>2500</v>
      </c>
      <c r="J2" s="184">
        <v>2300</v>
      </c>
      <c r="K2" s="184">
        <v>2600</v>
      </c>
      <c r="L2" s="184">
        <v>2800</v>
      </c>
      <c r="M2" s="184">
        <v>3100</v>
      </c>
      <c r="N2" s="184">
        <v>3300</v>
      </c>
      <c r="O2" s="183">
        <v>3800</v>
      </c>
    </row>
    <row r="3" spans="1:15" x14ac:dyDescent="0.25">
      <c r="A3" s="182" t="s">
        <v>221</v>
      </c>
      <c r="B3" s="184">
        <v>1960</v>
      </c>
      <c r="C3" s="184">
        <v>1630</v>
      </c>
      <c r="D3" s="184">
        <v>1400</v>
      </c>
      <c r="E3" s="184">
        <v>1800</v>
      </c>
      <c r="F3" s="184">
        <v>2000</v>
      </c>
      <c r="G3" s="184">
        <v>1700</v>
      </c>
      <c r="H3" s="184">
        <v>1600</v>
      </c>
      <c r="I3" s="184">
        <v>2100</v>
      </c>
      <c r="J3" s="184">
        <v>2100</v>
      </c>
      <c r="K3" s="184">
        <v>1600</v>
      </c>
      <c r="L3" s="184">
        <v>1600</v>
      </c>
      <c r="M3" s="184">
        <v>2000</v>
      </c>
      <c r="N3" s="184">
        <v>2000</v>
      </c>
      <c r="O3" s="184">
        <v>1600</v>
      </c>
    </row>
    <row r="4" spans="1:15" x14ac:dyDescent="0.25">
      <c r="A4" s="182" t="s">
        <v>210</v>
      </c>
      <c r="B4" s="184">
        <v>588</v>
      </c>
      <c r="C4" s="184">
        <v>576</v>
      </c>
      <c r="D4" s="184">
        <v>673</v>
      </c>
      <c r="E4" s="184">
        <v>815</v>
      </c>
      <c r="F4" s="184">
        <v>801</v>
      </c>
      <c r="G4" s="184">
        <v>939</v>
      </c>
      <c r="H4" s="184">
        <v>1100</v>
      </c>
      <c r="I4" s="184">
        <v>1200</v>
      </c>
      <c r="J4" s="184">
        <v>1300</v>
      </c>
      <c r="K4" s="184">
        <v>1100</v>
      </c>
      <c r="L4" s="184">
        <v>1100</v>
      </c>
      <c r="M4" s="184">
        <v>1000</v>
      </c>
      <c r="N4" s="184">
        <v>887</v>
      </c>
      <c r="O4" s="183">
        <v>824</v>
      </c>
    </row>
    <row r="5" spans="1:15" x14ac:dyDescent="0.25">
      <c r="A5" s="182" t="s">
        <v>222</v>
      </c>
      <c r="B5" s="184">
        <v>735</v>
      </c>
      <c r="C5" s="184">
        <v>864</v>
      </c>
      <c r="D5" s="184">
        <v>910</v>
      </c>
      <c r="E5" s="184">
        <v>872</v>
      </c>
      <c r="F5" s="184">
        <v>911</v>
      </c>
      <c r="G5" s="184">
        <v>1100</v>
      </c>
      <c r="H5" s="184">
        <v>1100</v>
      </c>
      <c r="I5" s="184">
        <v>1000</v>
      </c>
      <c r="J5" s="184">
        <v>1200</v>
      </c>
      <c r="K5" s="184">
        <v>1200</v>
      </c>
      <c r="L5" s="184">
        <v>1100</v>
      </c>
      <c r="M5" s="184">
        <v>950</v>
      </c>
      <c r="N5" s="184">
        <v>940</v>
      </c>
      <c r="O5" s="183">
        <v>730</v>
      </c>
    </row>
    <row r="6" spans="1:15" x14ac:dyDescent="0.25">
      <c r="A6" s="182" t="s">
        <v>223</v>
      </c>
      <c r="B6" s="184">
        <v>196</v>
      </c>
      <c r="C6" s="184">
        <v>192</v>
      </c>
      <c r="D6" s="184">
        <v>205</v>
      </c>
      <c r="E6" s="184">
        <v>197</v>
      </c>
      <c r="F6" s="184">
        <v>243</v>
      </c>
      <c r="G6" s="184">
        <v>254</v>
      </c>
      <c r="H6" s="184">
        <v>244</v>
      </c>
      <c r="I6" s="184">
        <v>234</v>
      </c>
      <c r="J6" s="184">
        <v>229</v>
      </c>
      <c r="K6" s="184">
        <v>260</v>
      </c>
      <c r="L6" s="184">
        <v>236</v>
      </c>
      <c r="M6" s="184">
        <v>236</v>
      </c>
      <c r="N6" s="184">
        <v>215</v>
      </c>
      <c r="O6" s="183">
        <v>234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D5D8-39D1-44B1-97BF-C0CE9C133D18}">
  <dimension ref="B4:G37"/>
  <sheetViews>
    <sheetView workbookViewId="0">
      <selection activeCell="Z22" sqref="Z22"/>
    </sheetView>
  </sheetViews>
  <sheetFormatPr defaultRowHeight="15" x14ac:dyDescent="0.25"/>
  <sheetData>
    <row r="4" spans="2:7" ht="15" customHeight="1" x14ac:dyDescent="0.25">
      <c r="B4" s="287" t="s">
        <v>238</v>
      </c>
      <c r="C4" s="287"/>
      <c r="D4" s="287"/>
      <c r="E4" s="287"/>
      <c r="F4" s="287"/>
      <c r="G4" s="287"/>
    </row>
    <row r="5" spans="2:7" x14ac:dyDescent="0.25">
      <c r="B5" s="287"/>
      <c r="C5" s="287"/>
      <c r="D5" s="287"/>
      <c r="E5" s="287"/>
      <c r="F5" s="287"/>
      <c r="G5" s="287"/>
    </row>
    <row r="6" spans="2:7" x14ac:dyDescent="0.25">
      <c r="B6" s="287"/>
      <c r="C6" s="287"/>
      <c r="D6" s="287"/>
      <c r="E6" s="287"/>
      <c r="F6" s="287"/>
      <c r="G6" s="287"/>
    </row>
    <row r="7" spans="2:7" x14ac:dyDescent="0.25">
      <c r="B7" s="287"/>
      <c r="C7" s="287"/>
      <c r="D7" s="287"/>
      <c r="E7" s="287"/>
      <c r="F7" s="287"/>
      <c r="G7" s="287"/>
    </row>
    <row r="8" spans="2:7" x14ac:dyDescent="0.25">
      <c r="B8" s="287"/>
      <c r="C8" s="287"/>
      <c r="D8" s="287"/>
      <c r="E8" s="287"/>
      <c r="F8" s="287"/>
      <c r="G8" s="287"/>
    </row>
    <row r="9" spans="2:7" x14ac:dyDescent="0.25">
      <c r="B9" s="287"/>
      <c r="C9" s="287"/>
      <c r="D9" s="287"/>
      <c r="E9" s="287"/>
      <c r="F9" s="287"/>
      <c r="G9" s="287"/>
    </row>
    <row r="10" spans="2:7" x14ac:dyDescent="0.25">
      <c r="B10" s="287"/>
      <c r="C10" s="287"/>
      <c r="D10" s="287"/>
      <c r="E10" s="287"/>
      <c r="F10" s="287"/>
      <c r="G10" s="287"/>
    </row>
    <row r="11" spans="2:7" x14ac:dyDescent="0.25">
      <c r="B11" s="287"/>
      <c r="C11" s="287"/>
      <c r="D11" s="287"/>
      <c r="E11" s="287"/>
      <c r="F11" s="287"/>
      <c r="G11" s="287"/>
    </row>
    <row r="12" spans="2:7" x14ac:dyDescent="0.25">
      <c r="B12" s="287"/>
      <c r="C12" s="287"/>
      <c r="D12" s="287"/>
      <c r="E12" s="287"/>
      <c r="F12" s="287"/>
      <c r="G12" s="287"/>
    </row>
    <row r="13" spans="2:7" x14ac:dyDescent="0.25">
      <c r="B13" s="287"/>
      <c r="C13" s="287"/>
      <c r="D13" s="287"/>
      <c r="E13" s="287"/>
      <c r="F13" s="287"/>
      <c r="G13" s="287"/>
    </row>
    <row r="14" spans="2:7" x14ac:dyDescent="0.25">
      <c r="B14" s="287"/>
      <c r="C14" s="287"/>
      <c r="D14" s="287"/>
      <c r="E14" s="287"/>
      <c r="F14" s="287"/>
      <c r="G14" s="287"/>
    </row>
    <row r="15" spans="2:7" x14ac:dyDescent="0.25">
      <c r="B15" s="287"/>
      <c r="C15" s="287"/>
      <c r="D15" s="287"/>
      <c r="E15" s="287"/>
      <c r="F15" s="287"/>
      <c r="G15" s="287"/>
    </row>
    <row r="16" spans="2:7" x14ac:dyDescent="0.25">
      <c r="B16" s="287"/>
      <c r="C16" s="287"/>
      <c r="D16" s="287"/>
      <c r="E16" s="287"/>
      <c r="F16" s="287"/>
      <c r="G16" s="287"/>
    </row>
    <row r="17" spans="2:7" x14ac:dyDescent="0.25">
      <c r="B17" s="287"/>
      <c r="C17" s="287"/>
      <c r="D17" s="287"/>
      <c r="E17" s="287"/>
      <c r="F17" s="287"/>
      <c r="G17" s="287"/>
    </row>
    <row r="18" spans="2:7" x14ac:dyDescent="0.25">
      <c r="B18" s="287"/>
      <c r="C18" s="287"/>
      <c r="D18" s="287"/>
      <c r="E18" s="287"/>
      <c r="F18" s="287"/>
      <c r="G18" s="287"/>
    </row>
    <row r="19" spans="2:7" x14ac:dyDescent="0.25">
      <c r="B19" s="287"/>
      <c r="C19" s="287"/>
      <c r="D19" s="287"/>
      <c r="E19" s="287"/>
      <c r="F19" s="287"/>
      <c r="G19" s="287"/>
    </row>
    <row r="20" spans="2:7" x14ac:dyDescent="0.25">
      <c r="B20" s="287"/>
      <c r="C20" s="287"/>
      <c r="D20" s="287"/>
      <c r="E20" s="287"/>
      <c r="F20" s="287"/>
      <c r="G20" s="287"/>
    </row>
    <row r="21" spans="2:7" x14ac:dyDescent="0.25">
      <c r="B21" s="287"/>
      <c r="C21" s="287"/>
      <c r="D21" s="287"/>
      <c r="E21" s="287"/>
      <c r="F21" s="287"/>
      <c r="G21" s="287"/>
    </row>
    <row r="22" spans="2:7" x14ac:dyDescent="0.25">
      <c r="B22" s="287"/>
      <c r="C22" s="287"/>
      <c r="D22" s="287"/>
      <c r="E22" s="287"/>
      <c r="F22" s="287"/>
      <c r="G22" s="287"/>
    </row>
    <row r="30" spans="2:7" x14ac:dyDescent="0.25">
      <c r="B30" s="287" t="s">
        <v>239</v>
      </c>
      <c r="C30" s="287"/>
      <c r="D30" s="287"/>
      <c r="E30" s="287"/>
      <c r="F30" s="287"/>
      <c r="G30" s="287"/>
    </row>
    <row r="31" spans="2:7" x14ac:dyDescent="0.25">
      <c r="B31" s="287"/>
      <c r="C31" s="287"/>
      <c r="D31" s="287"/>
      <c r="E31" s="287"/>
      <c r="F31" s="287"/>
      <c r="G31" s="287"/>
    </row>
    <row r="32" spans="2:7" x14ac:dyDescent="0.25">
      <c r="B32" s="287"/>
      <c r="C32" s="287"/>
      <c r="D32" s="287"/>
      <c r="E32" s="287"/>
      <c r="F32" s="287"/>
      <c r="G32" s="287"/>
    </row>
    <row r="33" spans="2:7" x14ac:dyDescent="0.25">
      <c r="B33" s="287"/>
      <c r="C33" s="287"/>
      <c r="D33" s="287"/>
      <c r="E33" s="287"/>
      <c r="F33" s="287"/>
      <c r="G33" s="287"/>
    </row>
    <row r="34" spans="2:7" x14ac:dyDescent="0.25">
      <c r="B34" s="287"/>
      <c r="C34" s="287"/>
      <c r="D34" s="287"/>
      <c r="E34" s="287"/>
      <c r="F34" s="287"/>
      <c r="G34" s="287"/>
    </row>
    <row r="35" spans="2:7" x14ac:dyDescent="0.25">
      <c r="B35" s="287"/>
      <c r="C35" s="287"/>
      <c r="D35" s="287"/>
      <c r="E35" s="287"/>
      <c r="F35" s="287"/>
      <c r="G35" s="287"/>
    </row>
    <row r="36" spans="2:7" x14ac:dyDescent="0.25">
      <c r="B36" s="287"/>
      <c r="C36" s="287"/>
      <c r="D36" s="287"/>
      <c r="E36" s="287"/>
      <c r="F36" s="287"/>
      <c r="G36" s="287"/>
    </row>
    <row r="37" spans="2:7" x14ac:dyDescent="0.25">
      <c r="B37" s="287"/>
      <c r="C37" s="287"/>
      <c r="D37" s="287"/>
      <c r="E37" s="287"/>
      <c r="F37" s="287"/>
      <c r="G37" s="287"/>
    </row>
  </sheetData>
  <mergeCells count="2">
    <mergeCell ref="B4:G22"/>
    <mergeCell ref="B30:G37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212F-8207-49E8-BF4B-1AC7103361C4}">
  <dimension ref="C3:H17"/>
  <sheetViews>
    <sheetView workbookViewId="0">
      <selection activeCell="K26" sqref="K26"/>
    </sheetView>
  </sheetViews>
  <sheetFormatPr defaultRowHeight="15" x14ac:dyDescent="0.25"/>
  <cols>
    <col min="7" max="7" width="16.140625" bestFit="1" customWidth="1"/>
    <col min="8" max="8" width="14" bestFit="1" customWidth="1"/>
  </cols>
  <sheetData>
    <row r="3" spans="3:8" x14ac:dyDescent="0.25">
      <c r="D3" s="288" t="s">
        <v>241</v>
      </c>
      <c r="E3" s="288"/>
      <c r="F3" s="288"/>
      <c r="G3" t="s">
        <v>252</v>
      </c>
      <c r="H3" t="s">
        <v>253</v>
      </c>
    </row>
    <row r="4" spans="3:8" x14ac:dyDescent="0.25">
      <c r="D4" s="281" t="s">
        <v>242</v>
      </c>
      <c r="E4" s="281" t="s">
        <v>243</v>
      </c>
      <c r="F4" s="281" t="s">
        <v>244</v>
      </c>
      <c r="G4" s="282" t="s">
        <v>244</v>
      </c>
      <c r="H4" s="283" t="s">
        <v>5</v>
      </c>
    </row>
    <row r="5" spans="3:8" x14ac:dyDescent="0.25">
      <c r="C5" t="s">
        <v>236</v>
      </c>
      <c r="D5" s="280">
        <f>((168.08+0.53*3+0.46)/83.06)^(1/1)-1</f>
        <v>1.048278352997833</v>
      </c>
      <c r="E5" s="280">
        <f>((168.08+0.53*3+0.46*4+0.41*4+0.36)/48.49)^(1/3)-1</f>
        <v>0.52952803582362762</v>
      </c>
      <c r="F5" s="280">
        <f>((168.08+0.53*3+0.46*4+0.41*4+0.36*4+0.33*4+0.27)/27.61)^(1/5)-1</f>
        <v>0.44869859792339173</v>
      </c>
      <c r="G5" s="284">
        <f>((0.53*4)/(0.27*4))^(1/5)-1</f>
        <v>0.1444120475235473</v>
      </c>
      <c r="H5" s="280">
        <f>(0.53*4/168.08)*100%</f>
        <v>1.2613041408852927E-2</v>
      </c>
    </row>
    <row r="6" spans="3:8" x14ac:dyDescent="0.25">
      <c r="C6" t="s">
        <v>245</v>
      </c>
      <c r="D6" s="280">
        <f>((125.72+0.16*4)/43.5)^(1/1)-1</f>
        <v>1.9048275862068964</v>
      </c>
      <c r="E6" s="280">
        <f>((125.72+0.16*12)/20.72)^(1/3)-1</f>
        <v>0.83315427021107435</v>
      </c>
      <c r="F6" s="280">
        <f>((125.72+0.16*20)/4.35)^(1/5)-1</f>
        <v>0.96954636048896181</v>
      </c>
      <c r="G6" s="280">
        <f>((0.16*4)/(0.16*4))^(1/5)-1</f>
        <v>0</v>
      </c>
      <c r="H6" s="280">
        <f>(0.16*4/125.72)*100%</f>
        <v>5.0906776964683422E-3</v>
      </c>
    </row>
    <row r="7" spans="3:8" x14ac:dyDescent="0.25">
      <c r="C7" t="s">
        <v>246</v>
      </c>
      <c r="D7" s="280">
        <f>((153.4)/102.82)^(1/1)-1</f>
        <v>0.49192764053686067</v>
      </c>
      <c r="E7" s="280">
        <f>((153.4)/102.9)^(1/3)-1</f>
        <v>0.14236089566368171</v>
      </c>
      <c r="F7" s="280">
        <f>((153.4)/28.99)^(1/5)-1</f>
        <v>0.39545369138789943</v>
      </c>
      <c r="G7" s="184" t="s">
        <v>90</v>
      </c>
      <c r="H7" s="184" t="s">
        <v>90</v>
      </c>
    </row>
    <row r="8" spans="3:8" x14ac:dyDescent="0.25">
      <c r="C8" t="s">
        <v>247</v>
      </c>
      <c r="D8" s="280">
        <f>((20.65+0.13*4)/35.55)^(1/1)-1</f>
        <v>-0.40450070323488041</v>
      </c>
      <c r="E8" s="280">
        <f>((20.65+0.13*6+0.37*5+0.35)/53.28)^(1/3)-1</f>
        <v>-0.2373946720402127</v>
      </c>
      <c r="F8" s="280">
        <f>((20.65+0.13*6+0.37*5+0.35*4+0.33*4+0.32)/51.53)^(1/5)-1</f>
        <v>-0.12573086083010876</v>
      </c>
      <c r="G8" s="280">
        <f>((0.13*4)/(0.32*4))^(1/5)-1</f>
        <v>-0.1648611738325948</v>
      </c>
      <c r="H8" s="280">
        <f>(0.13*4/20.65)*100%</f>
        <v>2.5181598062953999E-2</v>
      </c>
    </row>
    <row r="9" spans="3:8" x14ac:dyDescent="0.25">
      <c r="C9" t="s">
        <v>248</v>
      </c>
      <c r="D9" s="280">
        <f>((70.31+0.06*4)/54.13)^(1/1)-1</f>
        <v>0.30334380195824862</v>
      </c>
      <c r="E9" s="280">
        <f>((70.31+0.06*12)/60.31)^(1/3)-1</f>
        <v>5.6049224719756818E-2</v>
      </c>
      <c r="F9" s="280">
        <f>((70.31+0.06*20)/24.97)^(1/5)-1</f>
        <v>0.23421166602072141</v>
      </c>
      <c r="G9" s="280">
        <f>((0.16*4)/(0.16*4))^(1/5)-1</f>
        <v>0</v>
      </c>
      <c r="H9" s="280">
        <f>(0.06*4/70.31)*100%</f>
        <v>3.4134547006115772E-3</v>
      </c>
    </row>
    <row r="10" spans="3:8" x14ac:dyDescent="0.25">
      <c r="C10" t="s">
        <v>249</v>
      </c>
      <c r="D10" s="280">
        <f>((224.21+0.92*2+0.86*2)/175.09)^(1/1)-1</f>
        <v>0.30087383631275344</v>
      </c>
      <c r="E10" s="280">
        <f>((224.21+0.92*2+0.86*4+0.76*4+0.69)/167.48)^(1/3)-1</f>
        <v>0.11669424920799076</v>
      </c>
      <c r="F10" s="280">
        <f>((224.21+0.92*2+0.86*4+0.76*4+0.69*4+0.62*4+0.54)/111.73)^(1/5)-1</f>
        <v>0.16357529991557951</v>
      </c>
      <c r="G10" s="280">
        <f>((0.92*4)/(0.54*4))^(1/5)-1</f>
        <v>0.11244567910677539</v>
      </c>
      <c r="H10" s="280">
        <f>(0.92*4/224.21)*100%</f>
        <v>1.6413184068507204E-2</v>
      </c>
    </row>
    <row r="11" spans="3:8" x14ac:dyDescent="0.25">
      <c r="C11" t="s">
        <v>250</v>
      </c>
      <c r="D11" s="280">
        <f>((168.4+0.54+0.55+0.48+0.47)/86.9)^(1/1)-1</f>
        <v>0.96133486766398146</v>
      </c>
      <c r="E11" s="280">
        <f>((168.4+0.54+0.55+0.48+0.47+0.45*4+0.47+0.49+0.5*2)/111.65)^(1/3)-1</f>
        <v>0.15983570566978567</v>
      </c>
      <c r="F11" s="280">
        <f>((168.4+0.54+0.55+0.48+0.47+0.45*4+0.47+0.49+0.5*2+0.45*2+0.44+0.43+0.42*2+0.41+0.32)/46.48)^(1/5)-1</f>
        <v>0.30739259023058141</v>
      </c>
      <c r="G11" s="280">
        <f>((0.54*4)/(0.32*4))^(1/5)-1</f>
        <v>0.11032151746146002</v>
      </c>
      <c r="H11" s="280">
        <f>(0.54*4/168.4)*100%</f>
        <v>1.2826603325415678E-2</v>
      </c>
    </row>
    <row r="12" spans="3:8" x14ac:dyDescent="0.25">
      <c r="C12" t="s">
        <v>251</v>
      </c>
      <c r="D12" s="280">
        <f>((44.87)/58.19)^(1/1)-1</f>
        <v>-0.22890531019075444</v>
      </c>
      <c r="E12" s="280" t="s">
        <v>90</v>
      </c>
      <c r="F12" s="280" t="s">
        <v>90</v>
      </c>
      <c r="G12" s="280" t="s">
        <v>90</v>
      </c>
      <c r="H12" s="280" t="s">
        <v>90</v>
      </c>
    </row>
    <row r="13" spans="3:8" ht="15.75" x14ac:dyDescent="0.25">
      <c r="E13" s="28"/>
    </row>
    <row r="14" spans="3:8" ht="15.75" x14ac:dyDescent="0.25">
      <c r="E14" s="28"/>
    </row>
    <row r="15" spans="3:8" ht="15.75" x14ac:dyDescent="0.25">
      <c r="E15" s="28"/>
    </row>
    <row r="16" spans="3:8" ht="15.75" x14ac:dyDescent="0.25">
      <c r="E16" s="28"/>
    </row>
    <row r="17" spans="5:5" ht="15.75" x14ac:dyDescent="0.25">
      <c r="E17" s="28"/>
    </row>
  </sheetData>
  <mergeCells count="1">
    <mergeCell ref="D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4354467"><![CDATA[{"CRWD-US^FE_VALUATION(PE,MEAN,ANN,+2,NOW,,,'')":57.509613,"CRWD-US^FE_VALUATION(PE,MEAN,ANN,+1,NOW,,,'')":69.13191,"CRWD-US^FE_VALUATION(FFEV_EBITDA,MEAN,ANN,+2,NOW,,,'')":48.961853,"CRWD-US^FE_VALUATION(FFEV_EBITDA,MEAN,ANN,+1,NOW,,,'')":62.773926,"CRWD-US^FE_VALUATION(FFEV_SALES,MEAN,ANN,+2,NOW,,,'')":12.955251,"CRWD-US^FE_VALUATION(FFEV_SALES,MEAN,ANN,+1,NOW,,,'')":16.054932,"IBM-US^FE_VALUATION(PE,MEAN,ANN,+2,NOW,,,'')":18.473906,"IBM-US^FE_VALUATION(PE,MEAN,ANN,+1,NOW,,,'')":19.39079,"IBM-US^FE_VALUATION(FFEV_EBITDA,MEAN,ANN,+2,NOW,,,'')":13.867104,"IBM-US^FE_VALUATION(FFEV_EBITDA,MEAN,ANN,+1,NOW,,,'')":14.545293,"IBM-US^FE_VALUATION(FFEV_SALES,MEAN,ANN,+2,NOW,,,'')":3.414961,"IBM-US^FE_VALUATION(FFEV_SALES,MEAN,ANN,+1,NOW,,,'')":3.5804837,"CSCO-US^FE_VALUATION(PE,MEAN,ANN,+2,NOW,,,'')":13.00231,"TSM-US^FE_VALUATION(PE,MEAN,ANN,+1,NOW,,,'')":25.927717,"TSM-US^FE_VALUATION(FFEV_EBITDA,MEAN,ANN,+2,NOW,,,'')":11.40657,"TSM-US^FE_VALUATION(FFEV_EBITDA,MEAN,ANN,+1,NOW,,,'')":14.357804,"TSM-US^FE_VALUATION(FFEV_SALES,MEAN,ANN,+2,NOW,,,'')":7.8415127,"TSM-US^FE_VALUATION(FFEV_SALES,MEAN,ANN,+1,NOW,,,'')":9.688719,"TSM-US^FE_VALUATION(PE,MEAN,ANN,+2,NOW,,,'')":20.37114,"GFS-US^FE_VALUATION(PE,MEAN,ANN,+2,NOW,,,'')":23.263823,"GFS-US^FE_VALUATION(PE,MEAN,ANN,+1,NOW,,,'')":31.937107,"GFS-US^FE_VALUATION(FFEV_EBITDA,MEAN,ANN,+2,NOW,,,'')":8.871041,"GFS-US^FE_VALUATION(FFEV_EBITDA,MEAN,ANN,+1,NOW,,,'')":10.12125,"GFS-US^FE_VALUATION(FFEV_SALES,MEAN,ANN,+2,NOW,,,'')":3.1870084,"GFS-US^FE_VALUATION(FFEV_SALES,MEAN,ANN,+1,NOW,,,'')":3.6041455,"ADI-US^FE_VALUATION(PE,MEAN,ANN,+2,NOW,,,'')":29.530197,"ADI-US^FE_VALUATION(PE,MEAN,ANN,+1,NOW,,,'')":35.22074,"ADI-US^FE_VALUATION(FFEV_EBITDA,MEAN,ANN,+2,NOW,,,'')":26.349112,"ADI-US^FE_VALUATION(FFEV_EBITDA,MEAN,ANN,+1,NOW,,,'')":28.329313,"ADI-US^FE_VALUATION(FFEV_SALES,MEAN,ANN,+2,NOW,,,'')":11.256158,"ADI-US^FE_VALUATION(FFEV_SALES,MEAN,ANN,+1,NOW,,,'')":12.472246,"MRVL-US^FE_VALUATION(PE,MEAN,ANN,+2,NOW,,,'')":29.070938,"MRVL-US^FE_VALUATION(PE,MEAN,ANN,+1,NOW,,,'')":49.930836,"MRVL-US^FE_VALUATION(FFEV_EBITDA,MEAN,ANN,+2,NOW,,,'')":24.784628,"MRVL-US^FE_VALUATION(FFEV_EBITDA,MEAN,ANN,+1,NOW,,,'')":39.16055,"MRVL-US^FE_VALUATION(FFEV_SALES,MEAN,ANN,+2,NOW,,,'')":8.979244,"MRVL-US^FE_VALUATION(FFEV_SALES,MEAN,ANN,+1,NOW,,,'')":11.872312,"NVDA-US^FE_VALUATION(PE,MEAN,ANN,+2,NOW,,,'')":32.860855,"NVDA-US^FE_VALUATION(PE,MEAN,ANN,+1,NOW,,,'')":45.866238,"NVDA-US^FE_VALUATION(FFEV_EBITDA,MEAN,ANN,+2,NOW,,,'')":27.894548,"NVDA-US^FE_VALUATION(FFEV_EBITDA,MEAN,ANN,+1,NOW,,,'')":39.21878,"NVDA-US^FE_VALUATION(FFEV_SALES,MEAN,ANN,+2,NOW,,,'')":18.429348,"NVDA-US^FE_VALUATION(FFEV_SALES,MEAN,ANN,+1,NOW,,,'')":25.568136,"INTC-US^FE_VALUATION(PE,MEAN,ANN,+2,NOW,,,'')":17.199095,"INTC-US^FE_VALUATION(PE,MEAN,ANN,+1,NOW,,,'')":61.729195,"INTC-US^FE_VALUATION(FFEV_EBITDA,MEAN,ANN,+2,NOW,,,'')":6.684638,"INTC-US^FE_VALUATION(FFEV_EBITDA,MEAN,ANN,+1,NOW,,,'')":9.879331,"INTC-US^FE_VALUATION(FFEV_SALES,MEAN,ANN,+2,NOW,,,'')":2.0215542,"INTC-US^FE_VALUATION(FFEV_SALES,MEAN,ANN,+1,NOW,,,'')":2.188402,"AMD-US^FE_VALUATION(PE,MEAN,ANN,+2,NOW,,,'')":27.91866,"AMD-US^FE_VALUATION(PE,MEAN,ANN,+1,NOW,,,'')":44.39118,"AMD-US^FE_VALUATION(FFEV_EBITDA,MEAN,ANN,+2,NOW,,,'')":24.270756,"AMD-US^FE_VALUATION(FFEV_EBITDA,MEAN,ANN,+1,NOW,,,'')":37.021362,"AMD-US^FE_VALUATION(FFEV_SALES,MEAN,ANN,+2,NOW,,,'')":7.4767604,"AMD-US^FE_VALUATION(FFEV_SALES,MEAN,ANN,+1,NOW,,,'')":9.586525,"AVGO-US^FE_VALUATION(PE,MEAN,ANN,+2,NOW,,,'')":26.884516,"AVGO-US^FE_VALUATION(PE,MEAN,ANN,+1,NOW,,,'')":34.219448,"AVGO-US^FE_VALUATION(FFEV_EBITDA,MEAN,ANN,+2,NOW,,,'')":21.10771,"AVGO-US^FE_VALUATION(FFEV_EBITDA,MEAN,ANN,+1,NOW,,,'')":25.761395,"AVGO-US^FE_VALUATION(FFEV_SALES,MEAN,ANN,+2,NOW,,,'')":13.34524,"AVGO-US^FE_VALUATION(FFEV_SALES,MEAN,ANN,+1,NOW,,,'')":15.562963,"AVGO-US^FREF_SHARES_COMPANY(0,,,,0,\"LEGACY\")":4654.88330078125,"AVGO-US^FF_DEBT(QTR_R,0)":74016.0,"AVGO-US^FF_CASH_ST(QTR_R,0)":9809.0,"CRWD-US^FF_NET_INC(ANN_R,0Y,,,,USD)":89.327,"CRWD-US^FF_NET_INC(ANN_R,-1AY,,,,USD)":-183.245,"CRWD-US^FF_EBITDA_OPER(ANN_R,0Y,,,,USD)":155.438,"CRWD-US^FF_EBITDA_OPER(ANN_R,-1AY,,,,USD)":-93.638,"CRWD-US^FF_SALES(ANN_R,0Y,,,,USD)":3055.555,"CRWD-US^FF_SALES(ANN_R,-1AY,,,,USD)":2241.236,"CRWD-US^FF_SALES(ANN_R,-2AY,,,,USD)":1451.594,"IBM-US^FF_NET_INC(ANN_R,0Y,,,,USD)":7514.0,"IBM-US^FF_NET_INC(ANN_R,-1AY,,,,USD)":1783.0,"IBM-US^FF_EBITDA_OPER(ANN_R,0Y,,,,USD)":14899.0,"IBM-US^FF_EBITDA_OPER(ANN_R,-1AY,,,,USD)":12569.0,"IBM-US^FF_SALES(ANN_R,0Y,,,,USD)":61860.0,"IBM-US^FF_SALES(ANN_R,-1AY,,,,USD)":60530.0,"IBM-US^FF_SALES(ANN_R,-2AY,,,,USD)":57351.0,"CSCO-US^FF_NET_INC(ANN_R,0Y,,,,USD)":10320.0,"CSCO-US^FF_NET_INC(ANN_R,-1AY,,,,USD)":12613.0,"CSCO-US^FF_EBITDA_OPER(ANN_R,0Y,,,,USD)":15477.0,"CSCO-US^FF_EBITDA_OPER(ANN_R,-1AY,,,,USD)":17256.0,"CSCO-US^FF_SALES(ANN_R,0Y,,,,USD)":53803.0,"CSCO-US^FF_SALES(ANN_R,-1AY,,,,USD)":56998.0,"CSCO-US^FF_SALES(ANN_R,-2AY,,,,USD)":51557.0,"TSM-US^FF_NET_INC(ANN_R,0Y,,,,USD)":26899.6797846373,"TSM-US^FF_NET_INC(ANN_R,-1AY,,,,USD)":34096.9165246084,"TSM-US^FF_EBITDA_OPER(ANN_R,0Y,,,,USD)":46628.17747,"TSM-US^FF_EBITDA_OPER(ANN_R,-1AY,,,,USD)":52289.07821,"TSM-US^FF_SALES(ANN_R,0Y,,,,USD)":69350.2252880141,"TSM-US^FF_SALES(ANN_R,-1AY,,,,USD)":75936.4637501426,"TSM-US^FF_SALES(ANN_R,-2AY,,,,USD)":56831.680421362,"GFS-US^FF_NET_INC(ANN_R,0Y,,,,USD)":1020.0,"GFS-US^FF_NET_INC(ANN_R,-1AY,,,,USD)":1448.0,"GFS-US^FF_EBITDA_OPER(ANN_R,0Y,,,,USD)":2651.0,"GFS-US^FF_EBITDA_OPER(ANN_R,-1AY,,,,USD)":2884.0,"GFS-US^FF_SALES(ANN_R,0Y,,,,USD)":7392.0,"GFS-US^FF_SALES(ANN_R,-1AY,,,,USD)":8108.0,"GFS-US^FF_SALES(ANN_R,-2AY,,,,USD)":6585.079,"ADI-US^FF_NET_INC(ANN_R,0Y,,,,USD)":3314.579,"ADI-US^FF_NET_INC(ANN_R,-1AY,,,,USD)":2748.561,"ADI-US^FF_EBITDA_OPER(ANN_R,0Y,,,,USD)":6274.938,"ADI-US^FF_EBITDA_OPER(ANN_R,-1AY,,,,USD)":5826.105,"ADI-US^FF_SALES(ANN_R,0Y,,,,USD)":12305.539,"ADI-US^FF_SALES(ANN_R,-1AY,,,,USD)":12013.953,"ADI-US^FF_SALES(ANN_R,-2AY,,,,USD)":7318.286,"MRVL-US^FF_NET_INC(ANN_R,0Y,,,,USD)":-933.4,"MRVL-US^FF_NET_INC(ANN_R,-1AY,,,,USD)":-163.5,"MRVL-US^FF_EBITDA_OPER(ANN_R,0Y,,,,USD)":961.1,"MRVL-US^FF_EBITDA_OPER(ANN_R,-1AY,,,,USD)":1751.9,"MRVL-US^FF_SALES(ANN_R,0Y,,,,USD)":5507.7,"MRVL-US^FF_SALES(ANN_R,-1AY,,,,USD)":5919.6,"MRVL-US^FF_SALES(ANN_R,-2AY,,,,USD)":4462.383,"NVDA-US^FF_NET_INC(ANN_R,0Y,,,,USD)":29760.0,"NVDA-US^FF_NET_INC(ANN_R,-1AY,,,,USD)":4368.0,"NVDA-US^FF_EBITDA_OPER(ANN_R,0Y,,,,USD)":34480.0,"NVDA-US^FF_EBITDA_OPER(ANN_R,-1AY,,,,USD)":7121.0,"NVDA-US^FF_SALES(ANN_R,0Y,,,,USD)":60922.0,"NVDA-US^FF_SALES(ANN_R,-1AY,,,,USD)":26974.0,"NVDA-US^FF_SALES(ANN_R,-2AY,,,,USD)":26914.0,"INTC-US^FF_NET_INC(ANN_R,0Y,,,,USD)":1689.0,"INTC-US^FF_NET_INC(ANN_R,-1AY,,,,USD)":8014.0,"INTC-US^FF_EBITDA_OPER(ANN_R,0Y,,,,USD)":9633.0,"INTC-US^FF_EBITDA_OPER(ANN_R,-1AY,,,,USD)":15371.0,"INTC-US^FF_SALES(ANN_R,0Y,,,,USD)":54228.0,"INTC-US^FF_SALES(ANN_R,-1AY,,,,USD)":63054.0,"INTC-US^FF_SALES(ANN_R,-2AY,,,,USD)":79024.0,"AMD-US^FF_NET_INC(ANN_R,0Y,,,,USD)":854.0,"AMD-US^FF_NET_INC(ANN_R,-1AY,,,,USD)":1320.0,"AMD-US^FF_EBITDA_OPER(ANN_R,0Y,,,,USD)":4176.0,"AMD-US^FF_EBITDA_OPER(ANN_R,-1AY,,,,USD)":5876.0,"AMD-US^FF_SALES(ANN_R,0Y,,,,USD)":22680.0,"AMD-US^FF_SALES(ANN_R,-1AY,,,,USD)":23601.0,"AMD-US^FF_SALES(ANN_R,-2AY,,,,USD)":16434.0,"AVGO-US^FF_NET_INC(ANN_R,0Y,,,,USD)":14082.0,"AVGO-US^FF_NET_INC(ANN_R,-1AY,,,,USD)":11495.0,"AVGO-US^FF_EBITDA_OPER(ANN_R,0Y,,,,USD)":20290.0,"AVGO-US^FF_EBITDA_OPER(ANN_R,-1AY,,,,USD)":19271.0,"AVGO-US^FF_SALES(ANN_R,0Y,,,,USD)":35819.0,"AVGO-US^FF_SALES(ANN_R,-1AY,,,,USD)":33203.0,"AVGO-US^FF_SALES(ANN_R,-2AY,,,,USD)":27450.0,"AVGO-US^FF_EPS(ANN_R,NOW,,,,USD)":3.2979,"CRWD-US^FF_DEBT(QTR_R,0)":792.976,"CRWD-US^FF_CASH_ST(QTR_R,0)":3702.437,"IBM-US^FF_DEBT(QTR_R,0)":59839.0,"IBM-US^FF_CASH_ST(QTR_R,0)":15959.0,"CSCO-US^FF_DEBT(QTR_R,0)":30962.0,"CSCO-US^FF_CASH_ST(QTR_R,0)":17854.0,"TSM-US^FF_DEBT(QTR_R,0)":31695.8791979438,"TSM-US^FF_CASH_ST(QTR_R,0)":63152.5750042442,"GFS-US^FF_DEBT(QTR_R,0)":2753.0,"GFS-US^FF_CASH_ST(QTR_R,0)":3367.0,"ADI-US^FF_DEBT(QTR_R,0)":8102.417,"ADI-US^FF_CASH_ST(QTR_R,0)":2545.699,"MRVL-US^FF_DEBT(QTR_R,0)":4656.6,"MRVL-US^FF_CASH_ST(QTR_R,0)":847.7,"NVDA-US^FF_DEBT(QTR_R,0)":11237.0,"NVDA-US^FF_CASH_ST(QTR_R,0)":31438.0,"INTC-US^FF_DEBT(QTR_R,0)":53029.0,"INTC-US^FF_CASH_ST(QTR_R,0)":29273.0,"AMD-US^FF_DEBT(QTR_R,0)":2245.0,"AMD-US^FF_CASH_ST(QTR_R,0)":5340.0,"CRWD-US^FCS_SHARES(TOT,SHS,ANN,0,,,,,M)":254.530812,"CRWD-US^FG_PRICE(0,,,USD)":273.21,"CRWD-US^FG_COMPANY_NAME":"CrowdStrike Holdings, Inc. Class A","IBM-US^FCS_SHARES(TOT,SHS,ANN,0,,,,,M)":943.566264,"IBM-US^FG_PRICE(0,,,USD)":197.21,"IBM-US^FG_COMPANY_NAME":"International Business Machines Corporation","CSCO-US^FCS_SHARES(TOT,SHS,ANN,0,,,,,M)":null,"CSCO-US^FG_PRICE(0,,,USD)":50.45,"CSCO-US^FG_COMPANY_NAME":"Cisco Systems, Inc.","TSM-US^FCS_SHARES(TOT,SHS,ANN,0,,,,,M)":25934.180992,"TSM-US^FG_PRICE(0,,,USD)":171.44,"TSM-US^FG_COMPANY_NAME":"Taiwan Semiconductor Manufacturing Co., Ltd. Sponsored ADR","GFS-US^FCS_SHARES(TOT,SHS,ANN,0,,,,,M)":560.262986,"GFS-US^FG_PRICE(0,,,USD)":46.06,"GFS-US^FG_COMPANY_NAME":"GlobalFoundries Inc.","ADI-US^FCS_SHARES(TOT,SHS,ANN,0,,,,,M)":502.255655,"ADI-US^FG_PRICE(0,,,USD)":227.5,"ADI-US^FG_COMPANY_NAME":"Analog Devices, Inc.","MRVL-US^FCS_SHARES(TOT,SHS,ANN,0,,,,,M)":886.854879,"MRVL-US^FG_PRICE(0,,,USD)":71.34,"MRVL-US^FG_COMPANY_NAME":"Marvell Technology, Inc.","NVDA-US^FCS_SHARES(TOT,SHS,ANN,0,,,,,M)":25009.999627322,"NVDA-US^FG_PRICE(0,,,USD)":128.5,"NVDA-US^FG_COMPANY_NAME":"NVIDIA Corporation","INTC-US^FCS_SHARES(TOT,SHS,ANN,0,,,,,M)":4400.9,"INTC-US^FG_PRICE(0,,,USD)":21.41,"INTC-US^FG_COMPANY_NAME":"Intel Corporation","AMD-US^FCS_SHARES(TOT,SHS,ANN,0,,,,,M)":1651.609389,"AMD-US^FG_PRICE(0,,,USD)":157.81,"AMD-US^FG_COMPANY_NAME":"Advanced Micro Devices, Inc.","AVGO-US^FCS_SHARES(TOT,SHS,ANN,0,,,,,M)":4359.99993503094,"AVGO-US^FG_PRICE(0,,,USD)":165.78,"AVGO-US^FG_COMPANY_NAME":"Broadcom Inc.","AVGO-US^FF_EPS(ANN_R,0)":3.2979}]]></FdsFormulaCache>
</file>

<file path=customXml/itemProps1.xml><?xml version="1.0" encoding="utf-8"?>
<ds:datastoreItem xmlns:ds="http://schemas.openxmlformats.org/officeDocument/2006/customXml" ds:itemID="{8CBA4BF3-B9AF-48D0-9FA3-58D3D5E20FD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Input</vt:lpstr>
      <vt:lpstr>MOD</vt:lpstr>
      <vt:lpstr>SUM</vt:lpstr>
      <vt:lpstr>AVGO Comps &amp; market share</vt:lpstr>
      <vt:lpstr>Semiconductor breakdown</vt:lpstr>
      <vt:lpstr>Supply Chain</vt:lpstr>
      <vt:lpstr>Annualized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Hongjia Cui</dc:creator>
  <cp:lastModifiedBy>Hongjia Cui</cp:lastModifiedBy>
  <dcterms:created xsi:type="dcterms:W3CDTF">2015-06-05T18:17:20Z</dcterms:created>
  <dcterms:modified xsi:type="dcterms:W3CDTF">2024-08-22T19:22:03Z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